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316AF4FF-6532-DD95-964C-923D217D005E}"/>
  <workbookPr codeName="ThisWorkbook" defaultThemeVersion="124226"/>
  <mc:AlternateContent xmlns:mc="http://schemas.openxmlformats.org/markup-compatibility/2006">
    <mc:Choice Requires="x15">
      <x15ac:absPath xmlns:x15ac="http://schemas.microsoft.com/office/spreadsheetml/2010/11/ac" url="https://d.docs.live.net/ecb5964942c3364e/H2/SOFTWARE 1/MOEDLO 1 - H2 ELETRÓLISE/NREL/H2A/Eletrólise/"/>
    </mc:Choice>
  </mc:AlternateContent>
  <xr:revisionPtr revIDLastSave="0" documentId="13_ncr:1_{1BA7C68C-0F68-40EC-92C0-212B1940AB87}" xr6:coauthVersionLast="47" xr6:coauthVersionMax="47" xr10:uidLastSave="{00000000-0000-0000-0000-000000000000}"/>
  <bookViews>
    <workbookView xWindow="-120" yWindow="-120" windowWidth="51840" windowHeight="21120" tabRatio="942" activeTab="15"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s>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Input_Sheet_Template!$E$100</definedName>
    <definedName name="acres">Input_Sheet_Template!$E$101</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Input_Sheet_Template!$B$124:$G$159</definedName>
    <definedName name="_xlnm.Print_Area" localSheetId="6">'Plant Scaling'!$B$2:$K$27</definedName>
    <definedName name="_xlnm.Print_Area" localSheetId="4">'Replacement Costs'!$A$13:$L$57</definedName>
    <definedName name="_xlnm.Print_Area" localSheetId="8">Results!$B$74:$G$121</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Input_Sheet_Template!$E$154</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Input_Sheet_Template!$C$87</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Input_Sheet_Template!$E$97</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Input_Sheet_Template!$C$86</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Input_Sheet_Template!$F$77:$F$78</definedName>
    <definedName name="Dynamic_Feed_Total">Input_Sheet_Template!$F$73:$F$74</definedName>
    <definedName name="Dynamic_NonE_Byprod_Total">Input_Sheet_Template!$E$137:$E$138</definedName>
    <definedName name="Dynamic_NonE_Feed_Total">Input_Sheet_Template!$E$134:$E$137</definedName>
    <definedName name="Dynamic_Utilities_Total">Input_Sheet_Template!$F$74:$F$77</definedName>
    <definedName name="Energy_Feed_List">Lists!$K$12</definedName>
    <definedName name="Energy_Feed_Years">Lists!$K$14</definedName>
    <definedName name="Engin">Input_Sheet_Template!$E$91</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Input_Sheet_Template!#REF!</definedName>
    <definedName name="feedstockIndustrial_Natural_Gas_Price">Input_Sheet_Template!#REF!</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Input_Sheet_Template!$E$95</definedName>
    <definedName name="fixed">Input_Sheet_Template!$E$122</definedName>
    <definedName name="FTE_cost">Input_Sheet_Template!$E$110</definedName>
    <definedName name="FTEs">Input_Sheet_Template!$E$109</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Input_Sheet_Template!$E$111</definedName>
    <definedName name="land_cost">Input_Sheet_Template!$E$102</definedName>
    <definedName name="lb_to_kg">'Constants and Conversions'!$C$7</definedName>
    <definedName name="licensing">Input_Sheet_Template!$E$114</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Input_Sheet_Template!$E$118</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Input_Sheet_Template!$E$104</definedName>
    <definedName name="non_dep_infl">'Cash Flow Analysis'!$B$52</definedName>
    <definedName name="NPV">'Cash Flow Analysis'!$E$26</definedName>
    <definedName name="operator_profit">Input_Sheet_Template!$E$152</definedName>
    <definedName name="other_fees">Input_Sheet_Template!$E$120</definedName>
    <definedName name="other_fixed">Input_Sheet_Template!$E$121</definedName>
    <definedName name="Other_indirect">Input_Sheet_Template!$E$94</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Input_Sheet_Template!$E$113</definedName>
    <definedName name="overhead_rate">Input_Sheet_Template!$C$112</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Input_Sheet_Template!$E$96</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Proc_CO2_MTpY">Results!$D$84</definedName>
    <definedName name="Proc_CO2_tax">Input_Sheet_Template!$E$155</definedName>
    <definedName name="Proc_CO2_taxpYear">Input_Sheet_Template!$E$156</definedName>
    <definedName name="ProcEqpCap">'Plant Scaling'!$E$27</definedName>
    <definedName name="Process_cont">Input_Sheet_Template!$E$92</definedName>
    <definedName name="prod_maint">Input_Sheet_Template!$E$119</definedName>
    <definedName name="Project_cont">Input_Sheet_Template!$E$93</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Input_Sheet_Template!$E$117</definedName>
    <definedName name="replace_factor">Input_Sheet_Template!$C$150</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Input_Sheet_Template!$E$151</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Input_Sheet_Template!$C$86</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Input_Sheet_Template!$E$90</definedName>
    <definedName name="solidwaste_treat">Input_Sheet_Template!$E$149</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Input_Sheet_Template!$A$78</definedName>
    <definedName name="START_FEED">Input_Sheet_Template!$A$74</definedName>
    <definedName name="START_NONE_BYPROD">Input_Sheet_Template!$A$138</definedName>
    <definedName name="START_NONE_FEED">Input_Sheet_Template!$A$137</definedName>
    <definedName name="START_NONE_TOP">Input_Sheet_Template!$A$134</definedName>
    <definedName name="start_time">Input_Sheet_Template!$C$38</definedName>
    <definedName name="START_TOP">Input_Sheet_Template!$A$73</definedName>
    <definedName name="START_UTILITY">Input_Sheet_Template!$A$77</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Input_Sheet_Template!$E$153</definedName>
    <definedName name="tax_ins_rate">Input_Sheet_Template!$C$115</definedName>
    <definedName name="tax_insurance">Input_Sheet_Template!$E$116</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_xlnm.Print_Titles" localSheetId="6">'Plant Scaling'!$B:$B</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Input_Sheet_Template!$C$133</definedName>
    <definedName name="TMP_NonE_Feed">Input_Sheet_Template!$C$129</definedName>
    <definedName name="TMP_NonE_StartPrice">Input_Sheet_Template!$C$130</definedName>
    <definedName name="TMP_NonE_StartYrCost">Input_Sheet_Template!$C$132</definedName>
    <definedName name="TMP_NonE_Type">Input_Sheet_Template!$B$129</definedName>
    <definedName name="TMP_NonE_Usage">Input_Sheet_Template!$C$131</definedName>
    <definedName name="TMP_NonE_Usage_txt">Input_Sheet_Template!$B$130</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Input_Sheet_Template!$C$144</definedName>
    <definedName name="total_cap">Input_Sheet_Template!$C$106</definedName>
    <definedName name="Total_Energy_Byproduct_Cost">Input_Sheet_Template!$D$82</definedName>
    <definedName name="Total_Energy_Byproduct_Credit">Input_Sheet_Template!$F$82</definedName>
    <definedName name="Total_Energy_Feed_Cost">Input_Sheet_Template!$F$80</definedName>
    <definedName name="Total_Energy_Utilities_Cost">Input_Sheet_Template!$F$81</definedName>
    <definedName name="total_feedstock">Input_Sheet_Template!$C$142</definedName>
    <definedName name="total_non_energy_byproduct_credit">Input_Sheet_Template!$C$140</definedName>
    <definedName name="Total_Non_Energy_Feed_Cost">Input_Sheet_Template!$C$139</definedName>
    <definedName name="total_other_raw">Input_Sheet_Template!$E$147</definedName>
    <definedName name="total_tax_rate">Input_Sheet_Template!$C$55</definedName>
    <definedName name="total_utilities">Input_Sheet_Template!$C$143</definedName>
    <definedName name="total_var">Input_Sheet_Template!$E$159</definedName>
    <definedName name="upper_capacity_limit">'Plant Scaling'!$C$8</definedName>
    <definedName name="Upstream_CO2_tax">Input_Sheet_Template!$E$157</definedName>
    <definedName name="Upstream_CO2_taxpYear">Input_Sheet_Template!$E$158</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Input_Sheet_Template!$D$76</definedName>
    <definedName name="utilityIndustrial_Electricity_Usage">Input_Sheet_Template!$E$76</definedName>
    <definedName name="VAR_FEED_VALUES">Input_Sheet_Template!$B$65:$D$70</definedName>
    <definedName name="var_misc">Input_Sheet_Template!$E$146</definedName>
    <definedName name="VAR_NonE_FEED_VALUES">Input_Sheet_Template!$B$129:$D$133</definedName>
    <definedName name="waste_treat">Input_Sheet_Template!$E$148</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34" i="15" l="1"/>
  <c r="P133" i="15"/>
  <c r="P132" i="15"/>
  <c r="P131" i="15"/>
  <c r="F135" i="15"/>
  <c r="F134" i="15"/>
  <c r="F133" i="15"/>
  <c r="F132" i="15"/>
  <c r="F131" i="15"/>
  <c r="F34" i="113" l="1"/>
  <c r="F32" i="113"/>
  <c r="E14" i="113"/>
  <c r="E15" i="113" s="1"/>
  <c r="A14" i="13" l="1"/>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C141" i="12"/>
  <c r="C140" i="12"/>
  <c r="C139" i="12"/>
  <c r="C138" i="12"/>
  <c r="C137" i="12"/>
  <c r="C136"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0" i="6"/>
  <c r="C139" i="6"/>
  <c r="C11" i="35"/>
  <c r="F82"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0" i="6"/>
  <c r="E110" i="6" s="1"/>
  <c r="C12" i="35"/>
  <c r="F13" i="24"/>
  <c r="F14" i="24"/>
  <c r="F15" i="24"/>
  <c r="F16" i="24"/>
  <c r="F17" i="24"/>
  <c r="F18" i="24"/>
  <c r="F19" i="24"/>
  <c r="F20" i="24"/>
  <c r="F21" i="24"/>
  <c r="F22" i="24"/>
  <c r="F23" i="24"/>
  <c r="F24" i="24"/>
  <c r="F25" i="24"/>
  <c r="F26" i="24"/>
  <c r="E89" i="6"/>
  <c r="C89" i="6"/>
  <c r="E145" i="6"/>
  <c r="C145" i="6"/>
  <c r="E108" i="6"/>
  <c r="C108" i="6"/>
  <c r="E99" i="6"/>
  <c r="C99" i="6"/>
  <c r="C9" i="35"/>
  <c r="B15" i="24"/>
  <c r="B16" i="24"/>
  <c r="B17" i="24"/>
  <c r="B18" i="24"/>
  <c r="B19" i="24"/>
  <c r="B20" i="24"/>
  <c r="B21" i="24"/>
  <c r="B22" i="24"/>
  <c r="B23" i="24"/>
  <c r="B24" i="24"/>
  <c r="B25" i="24"/>
  <c r="B26" i="24"/>
  <c r="C129" i="6"/>
  <c r="B130"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1"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2"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F14" i="13"/>
  <c r="AI507" i="11"/>
  <c r="Z677" i="11" s="1"/>
  <c r="AA507" i="11" s="1"/>
  <c r="AB507" i="11" s="1"/>
  <c r="AC507" i="11" s="1"/>
  <c r="AD507" i="11" s="1"/>
  <c r="AE507" i="11" s="1"/>
  <c r="AF507" i="11" s="1"/>
  <c r="AG507" i="11" s="1"/>
  <c r="AH507" i="11" s="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Z550" i="11" s="1"/>
  <c r="AA380" i="11" s="1"/>
  <c r="AB380" i="11" s="1"/>
  <c r="AC380" i="11" s="1"/>
  <c r="AD380" i="11" s="1"/>
  <c r="AE380" i="11" s="1"/>
  <c r="AF380" i="11" s="1"/>
  <c r="AG380" i="11" s="1"/>
  <c r="AH380" i="11" s="1"/>
  <c r="AI277" i="11"/>
  <c r="AX277" i="11" s="1"/>
  <c r="BM277" i="11" s="1"/>
  <c r="BR277" i="11"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8" i="34"/>
  <c r="B116" i="34"/>
  <c r="G49" i="11"/>
  <c r="G50" i="11" s="1"/>
  <c r="G10" i="12"/>
  <c r="D100" i="6"/>
  <c r="E100"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5" i="6"/>
  <c r="P5" i="19"/>
  <c r="AA94" i="12"/>
  <c r="AP34" i="12"/>
  <c r="AJ98" i="12"/>
  <c r="AR94" i="12"/>
  <c r="AE34" i="12"/>
  <c r="AE98" i="12"/>
  <c r="AT94" i="12"/>
  <c r="BD94" i="12"/>
  <c r="AU94" i="12"/>
  <c r="AI94" i="12"/>
  <c r="AS94" i="12"/>
  <c r="T98" i="12"/>
  <c r="N18" i="12"/>
  <c r="D91"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AX380" i="11"/>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2" i="6"/>
  <c r="E92" i="6" s="1"/>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3"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4" i="6"/>
  <c r="E94" i="6" s="1"/>
  <c r="D28" i="35"/>
  <c r="D33" i="35"/>
  <c r="F33" i="35" s="1"/>
  <c r="D90" i="6"/>
  <c r="D24" i="35"/>
  <c r="C21" i="24" s="1"/>
  <c r="H21" i="24" s="1"/>
  <c r="D93"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4" i="6"/>
  <c r="I17" i="12"/>
  <c r="Z34" i="12"/>
  <c r="AM12" i="12"/>
  <c r="BN12" i="12"/>
  <c r="K17" i="12"/>
  <c r="T66" i="12"/>
  <c r="H12" i="12"/>
  <c r="M12" i="12"/>
  <c r="D95" i="6"/>
  <c r="E95"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6" i="6"/>
  <c r="D157"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5" i="33"/>
  <c r="C281" i="15"/>
  <c r="AL28" i="12" l="1"/>
  <c r="AJ32" i="12"/>
  <c r="AY276" i="11"/>
  <c r="AZ276" i="11" s="1"/>
  <c r="BA276" i="11" s="1"/>
  <c r="BB276" i="11" s="1"/>
  <c r="BC276" i="11" s="1"/>
  <c r="BD276" i="11" s="1"/>
  <c r="BE276" i="11" s="1"/>
  <c r="BF276" i="11" s="1"/>
  <c r="BG276" i="11" s="1"/>
  <c r="BH276" i="11" s="1"/>
  <c r="BI276" i="11" s="1"/>
  <c r="BJ276" i="11" s="1"/>
  <c r="BK276" i="11" s="1"/>
  <c r="BL276" i="11" s="1"/>
  <c r="T9" i="12"/>
  <c r="E32" i="34"/>
  <c r="AE276" i="11"/>
  <c r="AF276" i="11" s="1"/>
  <c r="AG276" i="11" s="1"/>
  <c r="AH276" i="11" s="1"/>
  <c r="R7" i="12"/>
  <c r="AF9" i="12"/>
  <c r="E249" i="119"/>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0"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BC67" i="12"/>
  <c r="BD67" i="12" s="1"/>
  <c r="BE67" i="12" s="1"/>
  <c r="BF67" i="12" s="1"/>
  <c r="BG67" i="12" s="1"/>
  <c r="BH67" i="12" s="1"/>
  <c r="BI67" i="12" s="1"/>
  <c r="BJ67" i="12" s="1"/>
  <c r="BK67" i="12" s="1"/>
  <c r="BL67" i="12" s="1"/>
  <c r="BM67" i="12" s="1"/>
  <c r="BN67" i="12" s="1"/>
  <c r="BO67" i="12" s="1"/>
  <c r="BP67" i="12" s="1"/>
  <c r="AS67" i="12"/>
  <c r="AT67" i="12" s="1"/>
  <c r="AU67" i="12" s="1"/>
  <c r="AV67" i="12" s="1"/>
  <c r="AW67" i="12" s="1"/>
  <c r="AX67" i="12" s="1"/>
  <c r="AY67" i="12" s="1"/>
  <c r="AZ67" i="12" s="1"/>
  <c r="BA67" i="12" s="1"/>
  <c r="D66" i="15"/>
  <c r="M66" i="15" s="1"/>
  <c r="C34" i="34"/>
  <c r="E63" i="34" s="1"/>
  <c r="I49" i="14"/>
  <c r="C102" i="34"/>
  <c r="D102" i="34"/>
  <c r="B115" i="34"/>
  <c r="E37" i="34"/>
  <c r="H32" i="34"/>
  <c r="B110" i="34"/>
  <c r="B61" i="34"/>
  <c r="C117" i="34"/>
  <c r="D117" i="34"/>
  <c r="W66" i="15"/>
  <c r="E117" i="34"/>
  <c r="F102" i="34"/>
  <c r="F117" i="34"/>
  <c r="C49" i="14"/>
  <c r="B97" i="14" s="1"/>
  <c r="U65" i="15" s="1"/>
  <c r="E68" i="34"/>
  <c r="D68" i="34"/>
  <c r="C98" i="34"/>
  <c r="C35" i="34"/>
  <c r="E64" i="34" s="1"/>
  <c r="D98" i="34"/>
  <c r="E98" i="34"/>
  <c r="V49" i="14"/>
  <c r="L49" i="14"/>
  <c r="L66" i="15"/>
  <c r="B66" i="34"/>
  <c r="K49" i="14"/>
  <c r="W49" i="14"/>
  <c r="H49" i="14"/>
  <c r="C18" i="24"/>
  <c r="H18" i="24" s="1"/>
  <c r="F21" i="35"/>
  <c r="O49" i="14"/>
  <c r="T49" i="14"/>
  <c r="M49" i="14"/>
  <c r="K66" i="15"/>
  <c r="N49" i="14"/>
  <c r="J49" i="14"/>
  <c r="U49" i="14"/>
  <c r="S49" i="14"/>
  <c r="G49" i="14"/>
  <c r="C16" i="24"/>
  <c r="H16" i="24" s="1"/>
  <c r="F19" i="35"/>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F20" i="35"/>
  <c r="C17" i="24"/>
  <c r="H17" i="24" s="1"/>
  <c r="C19" i="24"/>
  <c r="H19" i="24" s="1"/>
  <c r="F22" i="35"/>
  <c r="F26" i="35"/>
  <c r="C23" i="24"/>
  <c r="H23" i="24" s="1"/>
  <c r="C20" i="24"/>
  <c r="H20" i="24" s="1"/>
  <c r="F23" i="35"/>
  <c r="C25" i="24"/>
  <c r="H25" i="24" s="1"/>
  <c r="F28" i="35"/>
  <c r="F29" i="35"/>
  <c r="C26" i="24"/>
  <c r="H26" i="24" s="1"/>
  <c r="C33" i="34"/>
  <c r="C111" i="34" s="1"/>
  <c r="C67" i="15"/>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AF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C282" i="15"/>
  <c r="C67" i="6"/>
  <c r="D281" i="15"/>
  <c r="BQ8" i="12" l="1"/>
  <c r="AJ358" i="11"/>
  <c r="AK358" i="11" s="1"/>
  <c r="AL358" i="11" s="1"/>
  <c r="AM358" i="11" s="1"/>
  <c r="AN358" i="11" s="1"/>
  <c r="AO358" i="11" s="1"/>
  <c r="AP358" i="11" s="1"/>
  <c r="AQ358" i="11" s="1"/>
  <c r="AR358" i="11" s="1"/>
  <c r="AS358" i="11" s="1"/>
  <c r="AT358" i="11" s="1"/>
  <c r="AU358" i="11" s="1"/>
  <c r="AV358" i="11" s="1"/>
  <c r="AW358" i="11" s="1"/>
  <c r="F16" i="13"/>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C63" i="34"/>
  <c r="E112" i="34"/>
  <c r="C180" i="119"/>
  <c r="C179" i="119"/>
  <c r="C178" i="119"/>
  <c r="C177" i="119"/>
  <c r="C176" i="119"/>
  <c r="D34" i="34"/>
  <c r="C112" i="34"/>
  <c r="D112" i="34"/>
  <c r="D63" i="34"/>
  <c r="C113" i="34"/>
  <c r="D113" i="34"/>
  <c r="E113" i="34"/>
  <c r="C64" i="34"/>
  <c r="F98" i="34"/>
  <c r="X49" i="14"/>
  <c r="D35" i="34"/>
  <c r="D64" i="34"/>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E111" i="34"/>
  <c r="D111" i="34"/>
  <c r="D62" i="34"/>
  <c r="E62" i="34"/>
  <c r="C62" i="34"/>
  <c r="D33" i="3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AF67" i="15"/>
  <c r="D67" i="15"/>
  <c r="M67" i="15" s="1"/>
  <c r="W67" i="15"/>
  <c r="K67" i="15"/>
  <c r="A51" i="14"/>
  <c r="A99" i="14"/>
  <c r="C99" i="14" s="1"/>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C140" i="15"/>
  <c r="E140" i="15"/>
  <c r="D140" i="15"/>
  <c r="D282" i="15"/>
  <c r="BR27" i="12" l="1"/>
  <c r="BS27" i="12" s="1"/>
  <c r="BT27" i="12" s="1"/>
  <c r="BU27" i="12" s="1"/>
  <c r="F17" i="13"/>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C141" i="15"/>
  <c r="E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F20" i="13"/>
  <c r="E103"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C144" i="15"/>
  <c r="E144" i="15"/>
  <c r="B74" i="15" l="1"/>
  <c r="A23" i="13" s="1"/>
  <c r="A22" i="13"/>
  <c r="B22" i="13" s="1"/>
  <c r="F21"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C145" i="15"/>
  <c r="E145" i="15"/>
  <c r="C74" i="15" l="1"/>
  <c r="H74" i="15" s="1"/>
  <c r="B75" i="15"/>
  <c r="A24" i="13" s="1"/>
  <c r="B23" i="13"/>
  <c r="F22"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A58" i="14" l="1"/>
  <c r="D74" i="15"/>
  <c r="M74" i="15" s="1"/>
  <c r="L74" i="15"/>
  <c r="W74" i="15"/>
  <c r="A106" i="14"/>
  <c r="C106" i="14" s="1"/>
  <c r="AF74" i="15"/>
  <c r="K74" i="15"/>
  <c r="C75" i="15"/>
  <c r="AF75" i="15" s="1"/>
  <c r="B76" i="15"/>
  <c r="F23" i="13"/>
  <c r="B24" i="13"/>
  <c r="C30" i="17"/>
  <c r="B31" i="17"/>
  <c r="A148" i="15"/>
  <c r="A195" i="15" s="1"/>
  <c r="A27" i="17"/>
  <c r="A75" i="15"/>
  <c r="E74" i="15"/>
  <c r="Q147" i="15"/>
  <c r="R147" i="15"/>
  <c r="V147" i="15"/>
  <c r="L147" i="15"/>
  <c r="T147" i="15"/>
  <c r="P147" i="15"/>
  <c r="M147" i="15"/>
  <c r="U147" i="15"/>
  <c r="I147" i="15"/>
  <c r="H147" i="15"/>
  <c r="N147" i="15"/>
  <c r="C147" i="15"/>
  <c r="E147" i="15"/>
  <c r="D147" i="15"/>
  <c r="H75" i="15" l="1"/>
  <c r="A107" i="14"/>
  <c r="C107" i="14" s="1"/>
  <c r="C76" i="15"/>
  <c r="A108" i="14" s="1"/>
  <c r="C108" i="14" s="1"/>
  <c r="L75" i="15"/>
  <c r="K75" i="15"/>
  <c r="A59" i="14"/>
  <c r="W75" i="15"/>
  <c r="A25" i="13"/>
  <c r="B25" i="13" s="1"/>
  <c r="D75" i="15"/>
  <c r="M75" i="15" s="1"/>
  <c r="B77" i="15"/>
  <c r="A26" i="13" s="1"/>
  <c r="F24" i="13"/>
  <c r="C31" i="17"/>
  <c r="B32" i="17"/>
  <c r="P148" i="15"/>
  <c r="U148" i="15"/>
  <c r="L148" i="15"/>
  <c r="Q148" i="15"/>
  <c r="R148" i="15"/>
  <c r="M148" i="15"/>
  <c r="H148" i="15"/>
  <c r="N148" i="15"/>
  <c r="V148" i="15"/>
  <c r="T148" i="15"/>
  <c r="I148" i="15"/>
  <c r="A149" i="15"/>
  <c r="A196" i="15" s="1"/>
  <c r="A28" i="17"/>
  <c r="A76" i="15"/>
  <c r="E75" i="15"/>
  <c r="E148" i="15"/>
  <c r="D148" i="15"/>
  <c r="C148" i="15"/>
  <c r="K76" i="15" l="1"/>
  <c r="W76" i="15"/>
  <c r="AF76" i="15"/>
  <c r="H76" i="15"/>
  <c r="L76" i="15"/>
  <c r="A60" i="14"/>
  <c r="D76" i="15"/>
  <c r="M76" i="15" s="1"/>
  <c r="B78" i="15"/>
  <c r="A27" i="13" s="1"/>
  <c r="C77" i="15"/>
  <c r="D77" i="15" s="1"/>
  <c r="M77" i="15" s="1"/>
  <c r="B26" i="13"/>
  <c r="F25" i="13"/>
  <c r="B33" i="17"/>
  <c r="C32" i="17"/>
  <c r="P149" i="15"/>
  <c r="Q149" i="15"/>
  <c r="H149" i="15"/>
  <c r="I149" i="15"/>
  <c r="N149" i="15"/>
  <c r="R149" i="15"/>
  <c r="V149" i="15"/>
  <c r="M149" i="15"/>
  <c r="L149" i="15"/>
  <c r="T149" i="15"/>
  <c r="U149" i="15"/>
  <c r="A29" i="17"/>
  <c r="A150" i="15"/>
  <c r="A197" i="15" s="1"/>
  <c r="A77" i="15"/>
  <c r="E76" i="15"/>
  <c r="D149" i="15"/>
  <c r="C149" i="15"/>
  <c r="E149" i="15"/>
  <c r="AF77" i="15" l="1"/>
  <c r="W77" i="15"/>
  <c r="A61" i="14"/>
  <c r="L77" i="15"/>
  <c r="A109" i="14"/>
  <c r="C109" i="14" s="1"/>
  <c r="H77" i="15"/>
  <c r="B79" i="15"/>
  <c r="A28" i="13" s="1"/>
  <c r="K77" i="15"/>
  <c r="C78" i="15"/>
  <c r="B27" i="13"/>
  <c r="F26" i="13"/>
  <c r="C33" i="17"/>
  <c r="B34" i="17"/>
  <c r="A30" i="17"/>
  <c r="A151" i="15"/>
  <c r="A198" i="15" s="1"/>
  <c r="A78" i="15"/>
  <c r="E77" i="15"/>
  <c r="P150" i="15"/>
  <c r="U150" i="15"/>
  <c r="I150" i="15"/>
  <c r="R150" i="15"/>
  <c r="Q150" i="15"/>
  <c r="V150" i="15"/>
  <c r="L150" i="15"/>
  <c r="N150" i="15"/>
  <c r="T150" i="15"/>
  <c r="M150" i="15"/>
  <c r="H150" i="15"/>
  <c r="E150" i="15"/>
  <c r="D150" i="15"/>
  <c r="C150" i="15"/>
  <c r="B80" i="15" l="1"/>
  <c r="A29" i="13" s="1"/>
  <c r="C79" i="15"/>
  <c r="A63" i="14" s="1"/>
  <c r="A110" i="14"/>
  <c r="C110" i="14" s="1"/>
  <c r="L78" i="15"/>
  <c r="K78" i="15"/>
  <c r="AF78" i="15"/>
  <c r="H78" i="15"/>
  <c r="A62" i="14"/>
  <c r="D78" i="15"/>
  <c r="M78" i="15" s="1"/>
  <c r="W78" i="15"/>
  <c r="B28" i="13"/>
  <c r="F27" i="13"/>
  <c r="B35" i="17"/>
  <c r="C34" i="17"/>
  <c r="A31" i="17"/>
  <c r="A152" i="15"/>
  <c r="A199" i="15" s="1"/>
  <c r="A79" i="15"/>
  <c r="E78" i="15"/>
  <c r="Q151" i="15"/>
  <c r="P151" i="15"/>
  <c r="T151" i="15"/>
  <c r="U151" i="15"/>
  <c r="I151" i="15"/>
  <c r="V151" i="15"/>
  <c r="L151" i="15"/>
  <c r="R151" i="15"/>
  <c r="N151" i="15"/>
  <c r="H151" i="15"/>
  <c r="M151" i="15"/>
  <c r="C151" i="15"/>
  <c r="E151" i="15"/>
  <c r="D151" i="15"/>
  <c r="H79" i="15" l="1"/>
  <c r="D79" i="15"/>
  <c r="M79" i="15" s="1"/>
  <c r="L79" i="15"/>
  <c r="AF79" i="15"/>
  <c r="K79" i="15"/>
  <c r="W79" i="15"/>
  <c r="A111" i="14"/>
  <c r="C111" i="14" s="1"/>
  <c r="C80" i="15"/>
  <c r="B81" i="15"/>
  <c r="A30" i="13" s="1"/>
  <c r="B29" i="13"/>
  <c r="F28" i="13"/>
  <c r="B36" i="17"/>
  <c r="C35" i="17"/>
  <c r="A32" i="17"/>
  <c r="A153" i="15"/>
  <c r="A200" i="15" s="1"/>
  <c r="A80" i="15"/>
  <c r="E79" i="15"/>
  <c r="P152" i="15"/>
  <c r="Q152" i="15"/>
  <c r="R152" i="15"/>
  <c r="H152" i="15"/>
  <c r="N152" i="15"/>
  <c r="I152" i="15"/>
  <c r="U152" i="15"/>
  <c r="T152" i="15"/>
  <c r="M152" i="15"/>
  <c r="L152" i="15"/>
  <c r="V152" i="15"/>
  <c r="C152" i="15"/>
  <c r="E152" i="15"/>
  <c r="D152" i="15"/>
  <c r="A64" i="14" l="1"/>
  <c r="D80" i="15"/>
  <c r="M80" i="15" s="1"/>
  <c r="K80" i="15"/>
  <c r="L80" i="15"/>
  <c r="AF80" i="15"/>
  <c r="W80" i="15"/>
  <c r="H80" i="15"/>
  <c r="A112" i="14"/>
  <c r="C112" i="14" s="1"/>
  <c r="C81" i="15"/>
  <c r="B82" i="15"/>
  <c r="A31" i="13" s="1"/>
  <c r="F29" i="13"/>
  <c r="B30" i="13"/>
  <c r="B37" i="17"/>
  <c r="C36" i="17"/>
  <c r="A33" i="17"/>
  <c r="A154" i="15"/>
  <c r="A201" i="15" s="1"/>
  <c r="A81" i="15"/>
  <c r="E80" i="15"/>
  <c r="M153" i="15"/>
  <c r="V153" i="15"/>
  <c r="P153" i="15"/>
  <c r="R153" i="15"/>
  <c r="L153" i="15"/>
  <c r="H153" i="15"/>
  <c r="Q153" i="15"/>
  <c r="N153" i="15"/>
  <c r="T153" i="15"/>
  <c r="I153" i="15"/>
  <c r="U153" i="15"/>
  <c r="C153" i="15"/>
  <c r="D153" i="15"/>
  <c r="E153" i="15"/>
  <c r="B83" i="15" l="1"/>
  <c r="B84" i="15" s="1"/>
  <c r="C82" i="15"/>
  <c r="W81" i="15"/>
  <c r="AF81" i="15"/>
  <c r="L81" i="15"/>
  <c r="A113" i="14"/>
  <c r="C113" i="14" s="1"/>
  <c r="K81" i="15"/>
  <c r="A65" i="14"/>
  <c r="H81" i="15"/>
  <c r="D81" i="15"/>
  <c r="M81" i="15" s="1"/>
  <c r="B31" i="13"/>
  <c r="F30" i="13"/>
  <c r="B38" i="17"/>
  <c r="C37" i="17"/>
  <c r="P154" i="15"/>
  <c r="I154" i="15"/>
  <c r="R154" i="15"/>
  <c r="M154" i="15"/>
  <c r="H154" i="15"/>
  <c r="L154" i="15"/>
  <c r="N154" i="15"/>
  <c r="Q154" i="15"/>
  <c r="U154" i="15"/>
  <c r="V154" i="15"/>
  <c r="T154" i="15"/>
  <c r="A34" i="17"/>
  <c r="A155" i="15"/>
  <c r="A202" i="15" s="1"/>
  <c r="A82" i="15"/>
  <c r="E81" i="15"/>
  <c r="D154" i="15"/>
  <c r="C154" i="15"/>
  <c r="E154" i="15"/>
  <c r="K82" i="15" l="1"/>
  <c r="A66" i="14"/>
  <c r="H82" i="15"/>
  <c r="AF82" i="15"/>
  <c r="L82" i="15"/>
  <c r="D82" i="15"/>
  <c r="M82" i="15" s="1"/>
  <c r="A114" i="14"/>
  <c r="C114" i="14" s="1"/>
  <c r="W82" i="15"/>
  <c r="A32" i="13"/>
  <c r="B32" i="13" s="1"/>
  <c r="C83" i="15"/>
  <c r="C84" i="15" s="1"/>
  <c r="A33" i="13"/>
  <c r="B85" i="15"/>
  <c r="F31" i="13"/>
  <c r="C38" i="17"/>
  <c r="B39" i="17"/>
  <c r="A156" i="15"/>
  <c r="A203" i="15" s="1"/>
  <c r="A35" i="17"/>
  <c r="A83" i="15"/>
  <c r="E82" i="15"/>
  <c r="Q155" i="15"/>
  <c r="P155" i="15"/>
  <c r="T155" i="15"/>
  <c r="M155" i="15"/>
  <c r="I155" i="15"/>
  <c r="V155" i="15"/>
  <c r="N155" i="15"/>
  <c r="L155" i="15"/>
  <c r="H155" i="15"/>
  <c r="U155" i="15"/>
  <c r="R155" i="15"/>
  <c r="E155" i="15"/>
  <c r="D155" i="15"/>
  <c r="C155" i="15"/>
  <c r="L84" i="15" l="1"/>
  <c r="AF84" i="15"/>
  <c r="A68" i="14"/>
  <c r="D84" i="15"/>
  <c r="M84" i="15" s="1"/>
  <c r="K84" i="15"/>
  <c r="H84" i="15"/>
  <c r="A116" i="14"/>
  <c r="C116" i="14" s="1"/>
  <c r="D83" i="15"/>
  <c r="M83" i="15" s="1"/>
  <c r="W83" i="15"/>
  <c r="AF83" i="15"/>
  <c r="A67" i="14"/>
  <c r="K83" i="15"/>
  <c r="H83" i="15"/>
  <c r="A115" i="14"/>
  <c r="C115" i="14" s="1"/>
  <c r="L83" i="15"/>
  <c r="C85" i="15"/>
  <c r="K85" i="15" s="1"/>
  <c r="W84" i="15"/>
  <c r="A34" i="13"/>
  <c r="B86" i="15"/>
  <c r="A35" i="13" s="1"/>
  <c r="F32" i="13"/>
  <c r="B33" i="13"/>
  <c r="B40" i="17"/>
  <c r="C39" i="17"/>
  <c r="P156" i="15"/>
  <c r="V156" i="15"/>
  <c r="R156" i="15"/>
  <c r="Q156" i="15"/>
  <c r="H156" i="15"/>
  <c r="L156" i="15"/>
  <c r="N156" i="15"/>
  <c r="M156" i="15"/>
  <c r="U156" i="15"/>
  <c r="T156" i="15"/>
  <c r="I156" i="15"/>
  <c r="A36" i="17"/>
  <c r="A157" i="15"/>
  <c r="A204" i="15" s="1"/>
  <c r="A84" i="15"/>
  <c r="E83" i="15"/>
  <c r="C156" i="15"/>
  <c r="D156" i="15"/>
  <c r="E156" i="15"/>
  <c r="D85" i="15" l="1"/>
  <c r="M85" i="15" s="1"/>
  <c r="AF85" i="15"/>
  <c r="A69" i="14"/>
  <c r="H85" i="15"/>
  <c r="W85" i="15"/>
  <c r="A117" i="14"/>
  <c r="C117" i="14" s="1"/>
  <c r="L85" i="15"/>
  <c r="C86" i="15"/>
  <c r="A118" i="14" s="1"/>
  <c r="C118" i="14" s="1"/>
  <c r="B87" i="15"/>
  <c r="A36" i="13" s="1"/>
  <c r="F33" i="13"/>
  <c r="B34" i="13"/>
  <c r="C40" i="17"/>
  <c r="B41" i="17"/>
  <c r="A37" i="17"/>
  <c r="A158" i="15"/>
  <c r="A205" i="15" s="1"/>
  <c r="A85" i="15"/>
  <c r="E84" i="15"/>
  <c r="Q157" i="15"/>
  <c r="P157" i="15"/>
  <c r="U157" i="15"/>
  <c r="L157" i="15"/>
  <c r="V157" i="15"/>
  <c r="N157" i="15"/>
  <c r="R157" i="15"/>
  <c r="H157" i="15"/>
  <c r="T157" i="15"/>
  <c r="I157" i="15"/>
  <c r="M157" i="15"/>
  <c r="E157" i="15"/>
  <c r="D157" i="15"/>
  <c r="C157" i="15"/>
  <c r="B88" i="15" l="1"/>
  <c r="A37" i="13" s="1"/>
  <c r="W86" i="15"/>
  <c r="C87" i="15"/>
  <c r="AF87" i="15" s="1"/>
  <c r="D86" i="15"/>
  <c r="M86" i="15" s="1"/>
  <c r="K86" i="15"/>
  <c r="AF86" i="15"/>
  <c r="L86" i="15"/>
  <c r="A70" i="14"/>
  <c r="H86" i="15"/>
  <c r="F34" i="13"/>
  <c r="B35" i="13"/>
  <c r="B42" i="17"/>
  <c r="C41" i="17"/>
  <c r="A159" i="15"/>
  <c r="A206" i="15" s="1"/>
  <c r="A38" i="17"/>
  <c r="A86" i="15"/>
  <c r="E85" i="15"/>
  <c r="P158" i="15"/>
  <c r="Q158" i="15"/>
  <c r="I158" i="15"/>
  <c r="V158" i="15"/>
  <c r="L158" i="15"/>
  <c r="H158" i="15"/>
  <c r="U158" i="15"/>
  <c r="M158" i="15"/>
  <c r="T158" i="15"/>
  <c r="N158" i="15"/>
  <c r="R158" i="15"/>
  <c r="E158" i="15"/>
  <c r="D158" i="15"/>
  <c r="C158" i="15"/>
  <c r="A71" i="14" l="1"/>
  <c r="C88" i="15"/>
  <c r="D88" i="15" s="1"/>
  <c r="M88" i="15" s="1"/>
  <c r="B89" i="15"/>
  <c r="A38" i="13" s="1"/>
  <c r="D87" i="15"/>
  <c r="W87" i="15"/>
  <c r="A119" i="14"/>
  <c r="C119" i="14" s="1"/>
  <c r="K87" i="15"/>
  <c r="H87" i="15"/>
  <c r="B36" i="13"/>
  <c r="F35" i="13"/>
  <c r="C42" i="17"/>
  <c r="B43" i="17"/>
  <c r="A160" i="15"/>
  <c r="A207" i="15" s="1"/>
  <c r="A39" i="17"/>
  <c r="A87" i="15"/>
  <c r="E86" i="15"/>
  <c r="Q159" i="15"/>
  <c r="P159" i="15"/>
  <c r="U159" i="15"/>
  <c r="I159" i="15"/>
  <c r="N159" i="15"/>
  <c r="H159" i="15"/>
  <c r="T159" i="15"/>
  <c r="R159" i="15"/>
  <c r="V159" i="15"/>
  <c r="L159" i="15"/>
  <c r="M159" i="15"/>
  <c r="E159" i="15"/>
  <c r="D159" i="15"/>
  <c r="C159" i="15"/>
  <c r="AF88" i="15" l="1"/>
  <c r="A120" i="14"/>
  <c r="B90" i="15"/>
  <c r="B91" i="15" s="1"/>
  <c r="A40" i="13" s="1"/>
  <c r="H88" i="15"/>
  <c r="W88" i="15"/>
  <c r="A72" i="14"/>
  <c r="L88" i="15"/>
  <c r="C89" i="15"/>
  <c r="D89" i="15" s="1"/>
  <c r="M89" i="15" s="1"/>
  <c r="K88" i="15"/>
  <c r="B37" i="13"/>
  <c r="F36" i="13"/>
  <c r="C43" i="17"/>
  <c r="B44" i="17"/>
  <c r="A40" i="17"/>
  <c r="A161" i="15"/>
  <c r="A208" i="15" s="1"/>
  <c r="A88" i="15"/>
  <c r="E87" i="15"/>
  <c r="P160" i="15"/>
  <c r="L160" i="15"/>
  <c r="M160" i="15"/>
  <c r="N160" i="15"/>
  <c r="U160" i="15"/>
  <c r="V160" i="15"/>
  <c r="Q160" i="15"/>
  <c r="T160" i="15"/>
  <c r="I160" i="15"/>
  <c r="R160" i="15"/>
  <c r="H160" i="15"/>
  <c r="D160" i="15"/>
  <c r="E160" i="15"/>
  <c r="C160" i="15"/>
  <c r="A39" i="13" l="1"/>
  <c r="W89" i="15"/>
  <c r="A121" i="14"/>
  <c r="K89" i="15"/>
  <c r="C90" i="15"/>
  <c r="L90" i="15" s="1"/>
  <c r="H89" i="15"/>
  <c r="A73" i="14"/>
  <c r="AF89" i="15"/>
  <c r="B92" i="15"/>
  <c r="B93" i="15" s="1"/>
  <c r="A42" i="13" s="1"/>
  <c r="L89" i="15"/>
  <c r="B38" i="13"/>
  <c r="F37" i="13"/>
  <c r="C44" i="17"/>
  <c r="B45" i="17"/>
  <c r="A162" i="15"/>
  <c r="A209" i="15" s="1"/>
  <c r="A41" i="17"/>
  <c r="A89" i="15"/>
  <c r="E88" i="15"/>
  <c r="Q161" i="15"/>
  <c r="L161" i="15"/>
  <c r="H161" i="15"/>
  <c r="R161" i="15"/>
  <c r="N161" i="15"/>
  <c r="I161" i="15"/>
  <c r="U161" i="15"/>
  <c r="T161" i="15"/>
  <c r="M161" i="15"/>
  <c r="P161" i="15"/>
  <c r="V161" i="15"/>
  <c r="D161" i="15"/>
  <c r="E161" i="15"/>
  <c r="C161" i="15"/>
  <c r="K90" i="15" l="1"/>
  <c r="A122" i="14"/>
  <c r="A74" i="14"/>
  <c r="W90" i="15"/>
  <c r="H90" i="15"/>
  <c r="D90" i="15"/>
  <c r="M90" i="15" s="1"/>
  <c r="A41" i="13"/>
  <c r="C91" i="15"/>
  <c r="D91" i="15" s="1"/>
  <c r="M91" i="15" s="1"/>
  <c r="AF90" i="15"/>
  <c r="B94" i="15"/>
  <c r="B95" i="15" s="1"/>
  <c r="A44" i="13" s="1"/>
  <c r="B39" i="13"/>
  <c r="F38" i="13"/>
  <c r="C45" i="17"/>
  <c r="B46" i="17"/>
  <c r="A163" i="15"/>
  <c r="A210" i="15" s="1"/>
  <c r="A42" i="17"/>
  <c r="A90" i="15"/>
  <c r="E89" i="15"/>
  <c r="P162" i="15"/>
  <c r="Q162" i="15"/>
  <c r="T162" i="15"/>
  <c r="M162" i="15"/>
  <c r="H162" i="15"/>
  <c r="R162" i="15"/>
  <c r="N162" i="15"/>
  <c r="I162" i="15"/>
  <c r="U162" i="15"/>
  <c r="V162" i="15"/>
  <c r="L162" i="15"/>
  <c r="E162" i="15"/>
  <c r="D162" i="15"/>
  <c r="C162" i="15"/>
  <c r="A75" i="14" l="1"/>
  <c r="K91" i="15"/>
  <c r="AF91" i="15"/>
  <c r="A123" i="14"/>
  <c r="C92" i="15"/>
  <c r="L91" i="15"/>
  <c r="W91" i="15"/>
  <c r="H91" i="15"/>
  <c r="A43" i="13"/>
  <c r="B96" i="15"/>
  <c r="A45" i="13" s="1"/>
  <c r="B40" i="13"/>
  <c r="F39" i="13"/>
  <c r="C46" i="17"/>
  <c r="B47" i="17"/>
  <c r="A164" i="15"/>
  <c r="A211" i="15" s="1"/>
  <c r="A43" i="17"/>
  <c r="A91" i="15"/>
  <c r="E90" i="15"/>
  <c r="Q163" i="15"/>
  <c r="T163" i="15"/>
  <c r="R163" i="15"/>
  <c r="V163" i="15"/>
  <c r="N163" i="15"/>
  <c r="P163" i="15"/>
  <c r="U163" i="15"/>
  <c r="H163" i="15"/>
  <c r="I163" i="15"/>
  <c r="M163" i="15"/>
  <c r="L163" i="15"/>
  <c r="E163" i="15"/>
  <c r="D163" i="15"/>
  <c r="C163" i="15"/>
  <c r="A124" i="14" l="1"/>
  <c r="D92" i="15"/>
  <c r="M92" i="15" s="1"/>
  <c r="A76" i="14"/>
  <c r="W92" i="15"/>
  <c r="L92" i="15"/>
  <c r="K92" i="15"/>
  <c r="AF92" i="15"/>
  <c r="C93" i="15"/>
  <c r="H92" i="15"/>
  <c r="B97" i="15"/>
  <c r="B41" i="13"/>
  <c r="F40" i="13"/>
  <c r="C47" i="17"/>
  <c r="B48" i="17"/>
  <c r="P164" i="15"/>
  <c r="Q164" i="15"/>
  <c r="R164" i="15"/>
  <c r="N164" i="15"/>
  <c r="L164" i="15"/>
  <c r="T164" i="15"/>
  <c r="H164" i="15"/>
  <c r="U164" i="15"/>
  <c r="V164" i="15"/>
  <c r="M164" i="15"/>
  <c r="I164" i="15"/>
  <c r="A44" i="17"/>
  <c r="A165" i="15"/>
  <c r="A212" i="15" s="1"/>
  <c r="A92" i="15"/>
  <c r="E91" i="15"/>
  <c r="E164" i="15"/>
  <c r="C164" i="15"/>
  <c r="D164" i="15"/>
  <c r="A77" i="14" l="1"/>
  <c r="W93" i="15"/>
  <c r="K93" i="15"/>
  <c r="L93" i="15"/>
  <c r="A125" i="14"/>
  <c r="AF93" i="15"/>
  <c r="D93" i="15"/>
  <c r="M93" i="15" s="1"/>
  <c r="C94" i="15"/>
  <c r="H93" i="15"/>
  <c r="B98" i="15"/>
  <c r="B99" i="15" s="1"/>
  <c r="A46" i="13"/>
  <c r="B42" i="13"/>
  <c r="F41" i="13"/>
  <c r="C48" i="17"/>
  <c r="B49" i="17"/>
  <c r="A45" i="17"/>
  <c r="A166" i="15"/>
  <c r="A213" i="15" s="1"/>
  <c r="A93" i="15"/>
  <c r="E92" i="15"/>
  <c r="P165" i="15"/>
  <c r="Q165" i="15"/>
  <c r="I165" i="15"/>
  <c r="M165" i="15"/>
  <c r="H165" i="15"/>
  <c r="L165" i="15"/>
  <c r="N165" i="15"/>
  <c r="R165" i="15"/>
  <c r="U165" i="15"/>
  <c r="V165" i="15"/>
  <c r="T165" i="15"/>
  <c r="E165" i="15"/>
  <c r="D165" i="15"/>
  <c r="C165" i="15"/>
  <c r="D94" i="15" l="1"/>
  <c r="M94" i="15" s="1"/>
  <c r="K94" i="15"/>
  <c r="AF94" i="15"/>
  <c r="W94" i="15"/>
  <c r="L94" i="15"/>
  <c r="H94" i="15"/>
  <c r="A126" i="14"/>
  <c r="C95" i="15"/>
  <c r="A78" i="14"/>
  <c r="A48" i="13"/>
  <c r="A47" i="13"/>
  <c r="B100" i="15"/>
  <c r="A49" i="13" s="1"/>
  <c r="F42" i="13"/>
  <c r="B43" i="13"/>
  <c r="C121" i="14"/>
  <c r="C49" i="17"/>
  <c r="B50" i="17"/>
  <c r="A46" i="17"/>
  <c r="A167" i="15"/>
  <c r="A214" i="15" s="1"/>
  <c r="A94" i="15"/>
  <c r="E93" i="15"/>
  <c r="P166" i="15"/>
  <c r="R166" i="15"/>
  <c r="V166" i="15"/>
  <c r="Q166" i="15"/>
  <c r="I166" i="15"/>
  <c r="L166" i="15"/>
  <c r="T166" i="15"/>
  <c r="H166" i="15"/>
  <c r="M166" i="15"/>
  <c r="U166" i="15"/>
  <c r="N166" i="15"/>
  <c r="D166" i="15"/>
  <c r="C166" i="15"/>
  <c r="E166" i="15"/>
  <c r="W95" i="15" l="1"/>
  <c r="L95" i="15"/>
  <c r="H95" i="15"/>
  <c r="C96" i="15"/>
  <c r="A127" i="14"/>
  <c r="K95" i="15"/>
  <c r="A79" i="14"/>
  <c r="AF95" i="15"/>
  <c r="D95" i="15"/>
  <c r="M95" i="15" s="1"/>
  <c r="B101" i="15"/>
  <c r="A50" i="13" s="1"/>
  <c r="B44" i="13"/>
  <c r="F43" i="13"/>
  <c r="C122" i="14"/>
  <c r="B51" i="17"/>
  <c r="C50" i="17"/>
  <c r="A168" i="15"/>
  <c r="A215" i="15" s="1"/>
  <c r="A47" i="17"/>
  <c r="A95" i="15"/>
  <c r="E94" i="15"/>
  <c r="Q167" i="15"/>
  <c r="P167" i="15"/>
  <c r="M167" i="15"/>
  <c r="U167" i="15"/>
  <c r="I167" i="15"/>
  <c r="V167" i="15"/>
  <c r="T167" i="15"/>
  <c r="R167" i="15"/>
  <c r="L167" i="15"/>
  <c r="N167" i="15"/>
  <c r="H167" i="15"/>
  <c r="D167" i="15"/>
  <c r="E167" i="15"/>
  <c r="C167" i="15"/>
  <c r="A128" i="14" l="1"/>
  <c r="W96" i="15"/>
  <c r="L96" i="15"/>
  <c r="K96" i="15"/>
  <c r="A80" i="14"/>
  <c r="D96" i="15"/>
  <c r="M96" i="15" s="1"/>
  <c r="C97" i="15"/>
  <c r="AF96" i="15"/>
  <c r="H96" i="15"/>
  <c r="B102" i="15"/>
  <c r="B45" i="13"/>
  <c r="F44" i="13"/>
  <c r="C123" i="14"/>
  <c r="B52" i="17"/>
  <c r="C51" i="17"/>
  <c r="A169" i="15"/>
  <c r="A216" i="15" s="1"/>
  <c r="A48" i="17"/>
  <c r="A96" i="15"/>
  <c r="E95" i="15"/>
  <c r="P168" i="15"/>
  <c r="Q168" i="15"/>
  <c r="I168" i="15"/>
  <c r="V168" i="15"/>
  <c r="N168" i="15"/>
  <c r="M168" i="15"/>
  <c r="T168" i="15"/>
  <c r="L168" i="15"/>
  <c r="H168" i="15"/>
  <c r="U168" i="15"/>
  <c r="R168" i="15"/>
  <c r="E168" i="15"/>
  <c r="D168" i="15"/>
  <c r="C168" i="15"/>
  <c r="A81" i="14" l="1"/>
  <c r="K97" i="15"/>
  <c r="H97" i="15"/>
  <c r="W97" i="15"/>
  <c r="AF97" i="15"/>
  <c r="A129" i="14"/>
  <c r="D97" i="15"/>
  <c r="M97" i="15" s="1"/>
  <c r="L97" i="15"/>
  <c r="C98" i="15"/>
  <c r="A51" i="13"/>
  <c r="B103" i="15"/>
  <c r="B46" i="13"/>
  <c r="F45" i="13"/>
  <c r="C124" i="14"/>
  <c r="B53" i="17"/>
  <c r="C52" i="17"/>
  <c r="A49" i="17"/>
  <c r="A170" i="15"/>
  <c r="A217" i="15" s="1"/>
  <c r="A97" i="15"/>
  <c r="E96" i="15"/>
  <c r="P169" i="15"/>
  <c r="M169" i="15"/>
  <c r="L169" i="15"/>
  <c r="Q169" i="15"/>
  <c r="N169" i="15"/>
  <c r="I169" i="15"/>
  <c r="V169" i="15"/>
  <c r="H169" i="15"/>
  <c r="R169" i="15"/>
  <c r="T169" i="15"/>
  <c r="U169" i="15"/>
  <c r="E169" i="15"/>
  <c r="D169" i="15"/>
  <c r="C169" i="15"/>
  <c r="D98" i="15" l="1"/>
  <c r="M98" i="15" s="1"/>
  <c r="A82" i="14"/>
  <c r="A130" i="14"/>
  <c r="AF98" i="15"/>
  <c r="K98" i="15"/>
  <c r="H98" i="15"/>
  <c r="W98" i="15"/>
  <c r="L98" i="15"/>
  <c r="C99" i="15"/>
  <c r="A52" i="13"/>
  <c r="B104" i="15"/>
  <c r="B47" i="13"/>
  <c r="F46" i="13"/>
  <c r="C53" i="17"/>
  <c r="B54" i="17"/>
  <c r="A171" i="15"/>
  <c r="A218" i="15" s="1"/>
  <c r="A50" i="17"/>
  <c r="A98" i="15"/>
  <c r="E97" i="15"/>
  <c r="P170" i="15"/>
  <c r="Q170" i="15"/>
  <c r="L170" i="15"/>
  <c r="N170" i="15"/>
  <c r="R170" i="15"/>
  <c r="I170" i="15"/>
  <c r="T170" i="15"/>
  <c r="V170" i="15"/>
  <c r="U170" i="15"/>
  <c r="M170" i="15"/>
  <c r="H170" i="15"/>
  <c r="E170" i="15"/>
  <c r="D170" i="15"/>
  <c r="C170" i="15"/>
  <c r="K99" i="15" l="1"/>
  <c r="A83" i="14"/>
  <c r="A131" i="14"/>
  <c r="H99" i="15"/>
  <c r="W99" i="15"/>
  <c r="C100" i="15"/>
  <c r="D99" i="15"/>
  <c r="M99" i="15" s="1"/>
  <c r="L99" i="15"/>
  <c r="AF99" i="15"/>
  <c r="A53" i="13"/>
  <c r="B105" i="15"/>
  <c r="B48" i="13"/>
  <c r="F47" i="13"/>
  <c r="C125" i="14"/>
  <c r="C54" i="17"/>
  <c r="B55" i="17"/>
  <c r="A51" i="17"/>
  <c r="A172" i="15"/>
  <c r="A219" i="15" s="1"/>
  <c r="A99" i="15"/>
  <c r="E98" i="15"/>
  <c r="Q171" i="15"/>
  <c r="P171" i="15"/>
  <c r="L171" i="15"/>
  <c r="H171" i="15"/>
  <c r="V171" i="15"/>
  <c r="T171" i="15"/>
  <c r="M171" i="15"/>
  <c r="U171" i="15"/>
  <c r="I171" i="15"/>
  <c r="N171" i="15"/>
  <c r="R171" i="15"/>
  <c r="E171" i="15"/>
  <c r="D171" i="15"/>
  <c r="C171" i="15"/>
  <c r="K100" i="15" l="1"/>
  <c r="A84" i="14"/>
  <c r="D100" i="15"/>
  <c r="M100" i="15" s="1"/>
  <c r="AF100" i="15"/>
  <c r="C101" i="15"/>
  <c r="H100" i="15"/>
  <c r="L100" i="15"/>
  <c r="A132" i="14"/>
  <c r="W100" i="15"/>
  <c r="A54" i="13"/>
  <c r="B106" i="15"/>
  <c r="B49" i="13"/>
  <c r="F48" i="13"/>
  <c r="C126" i="14"/>
  <c r="C127" i="14"/>
  <c r="B56" i="17"/>
  <c r="C55" i="17"/>
  <c r="A52" i="17"/>
  <c r="A173" i="15"/>
  <c r="A220" i="15" s="1"/>
  <c r="A100" i="15"/>
  <c r="E99" i="15"/>
  <c r="P172" i="15"/>
  <c r="L172" i="15"/>
  <c r="V172" i="15"/>
  <c r="U172" i="15"/>
  <c r="M172" i="15"/>
  <c r="N172" i="15"/>
  <c r="Q172" i="15"/>
  <c r="I172" i="15"/>
  <c r="H172" i="15"/>
  <c r="T172" i="15"/>
  <c r="R172" i="15"/>
  <c r="D172" i="15"/>
  <c r="C172" i="15"/>
  <c r="E172" i="15"/>
  <c r="D101" i="15" l="1"/>
  <c r="M101" i="15" s="1"/>
  <c r="A133" i="14"/>
  <c r="W101" i="15"/>
  <c r="AF101" i="15"/>
  <c r="A85" i="14"/>
  <c r="K101" i="15"/>
  <c r="L101" i="15"/>
  <c r="C102" i="15"/>
  <c r="H101" i="15"/>
  <c r="A55" i="13"/>
  <c r="B107" i="15"/>
  <c r="B50" i="13"/>
  <c r="F49" i="13"/>
  <c r="C128" i="14"/>
  <c r="C56" i="17"/>
  <c r="B57" i="17"/>
  <c r="A53" i="17"/>
  <c r="A174" i="15"/>
  <c r="A221" i="15" s="1"/>
  <c r="A101" i="15"/>
  <c r="E100" i="15"/>
  <c r="P173" i="15"/>
  <c r="Q173" i="15"/>
  <c r="V173" i="15"/>
  <c r="U173" i="15"/>
  <c r="M173" i="15"/>
  <c r="I173" i="15"/>
  <c r="L173" i="15"/>
  <c r="N173" i="15"/>
  <c r="H173" i="15"/>
  <c r="R173" i="15"/>
  <c r="T173" i="15"/>
  <c r="E173" i="15"/>
  <c r="D173" i="15"/>
  <c r="C173" i="15"/>
  <c r="A86" i="14" l="1"/>
  <c r="D102" i="15"/>
  <c r="H102" i="15"/>
  <c r="A134" i="14"/>
  <c r="C103" i="15"/>
  <c r="AF102" i="15"/>
  <c r="K102" i="15"/>
  <c r="W102" i="15"/>
  <c r="A56" i="13"/>
  <c r="B108" i="15"/>
  <c r="B51" i="13"/>
  <c r="F50" i="13"/>
  <c r="C57" i="17"/>
  <c r="A175" i="15"/>
  <c r="A222" i="15" s="1"/>
  <c r="A54" i="17"/>
  <c r="A102" i="15"/>
  <c r="E101" i="15"/>
  <c r="P174" i="15"/>
  <c r="Q174" i="15"/>
  <c r="N174" i="15"/>
  <c r="T174" i="15"/>
  <c r="U174" i="15"/>
  <c r="I174" i="15"/>
  <c r="L174" i="15"/>
  <c r="H174" i="15"/>
  <c r="R174" i="15"/>
  <c r="V174" i="15"/>
  <c r="M174" i="15"/>
  <c r="E174" i="15"/>
  <c r="D174" i="15"/>
  <c r="C174" i="15"/>
  <c r="W103" i="15" l="1"/>
  <c r="C104" i="15"/>
  <c r="L103" i="15"/>
  <c r="H103" i="15"/>
  <c r="K103" i="15"/>
  <c r="A135" i="14"/>
  <c r="A87" i="14"/>
  <c r="D103" i="15"/>
  <c r="M103" i="15" s="1"/>
  <c r="AF103" i="15"/>
  <c r="A57" i="13"/>
  <c r="S108" i="15"/>
  <c r="B109" i="15"/>
  <c r="B52" i="13"/>
  <c r="F51" i="13"/>
  <c r="C129" i="14"/>
  <c r="A176" i="15"/>
  <c r="A223" i="15" s="1"/>
  <c r="A55" i="17"/>
  <c r="A103" i="15"/>
  <c r="E102" i="15"/>
  <c r="Q175" i="15"/>
  <c r="N175" i="15"/>
  <c r="H175" i="15"/>
  <c r="L175" i="15"/>
  <c r="P175" i="15"/>
  <c r="R175" i="15"/>
  <c r="I175" i="15"/>
  <c r="U175" i="15"/>
  <c r="V175" i="15"/>
  <c r="T175" i="15"/>
  <c r="M175" i="15"/>
  <c r="C175" i="15"/>
  <c r="E175" i="15"/>
  <c r="D175" i="15"/>
  <c r="A136" i="14" l="1"/>
  <c r="L104" i="15"/>
  <c r="K104" i="15"/>
  <c r="AF104" i="15"/>
  <c r="H104" i="15"/>
  <c r="D104" i="15"/>
  <c r="M104" i="15" s="1"/>
  <c r="C105" i="15"/>
  <c r="A88" i="14"/>
  <c r="W104" i="15"/>
  <c r="B110" i="15"/>
  <c r="S109" i="15"/>
  <c r="B53" i="13"/>
  <c r="F52" i="13"/>
  <c r="C130" i="14"/>
  <c r="L102" i="15"/>
  <c r="M102" i="15"/>
  <c r="P176" i="15"/>
  <c r="Q176" i="15"/>
  <c r="T176" i="15"/>
  <c r="H176" i="15"/>
  <c r="L176" i="15"/>
  <c r="I176" i="15"/>
  <c r="V176" i="15"/>
  <c r="N176" i="15"/>
  <c r="R176" i="15"/>
  <c r="U176" i="15"/>
  <c r="M176" i="15"/>
  <c r="A56" i="17"/>
  <c r="A177" i="15"/>
  <c r="A224" i="15" s="1"/>
  <c r="A104" i="15"/>
  <c r="E103" i="15"/>
  <c r="D176" i="15"/>
  <c r="C176" i="15"/>
  <c r="E176" i="15"/>
  <c r="A137" i="14" l="1"/>
  <c r="A89" i="14"/>
  <c r="K105" i="15"/>
  <c r="W105" i="15"/>
  <c r="H105" i="15"/>
  <c r="AF105" i="15"/>
  <c r="D105" i="15"/>
  <c r="C106" i="15"/>
  <c r="B111" i="15"/>
  <c r="S110" i="15"/>
  <c r="B54" i="13"/>
  <c r="F53" i="13"/>
  <c r="C109" i="15"/>
  <c r="Q109" i="15" s="1"/>
  <c r="C131" i="14"/>
  <c r="P177" i="15"/>
  <c r="Q177" i="15"/>
  <c r="V177" i="15"/>
  <c r="L177" i="15"/>
  <c r="U177" i="15"/>
  <c r="N177" i="15"/>
  <c r="R177" i="15"/>
  <c r="T177" i="15"/>
  <c r="M177" i="15"/>
  <c r="I177" i="15"/>
  <c r="H177" i="15"/>
  <c r="A178" i="15"/>
  <c r="A225" i="15" s="1"/>
  <c r="A57" i="17"/>
  <c r="A105" i="15"/>
  <c r="E104" i="15"/>
  <c r="E177" i="15"/>
  <c r="D177" i="15"/>
  <c r="C177" i="15"/>
  <c r="H106" i="15" l="1"/>
  <c r="W106" i="15"/>
  <c r="A138" i="14"/>
  <c r="C107" i="15"/>
  <c r="D106" i="15"/>
  <c r="M106" i="15" s="1"/>
  <c r="A90" i="14"/>
  <c r="AF106" i="15"/>
  <c r="K106" i="15"/>
  <c r="L106" i="15"/>
  <c r="S111" i="15"/>
  <c r="B112" i="15"/>
  <c r="B55"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A179" i="15"/>
  <c r="A226" i="15" s="1"/>
  <c r="A106" i="15"/>
  <c r="E105" i="15"/>
  <c r="D178" i="15"/>
  <c r="C178" i="15"/>
  <c r="E178" i="15"/>
  <c r="C108" i="15" l="1"/>
  <c r="D107" i="15"/>
  <c r="H107" i="15"/>
  <c r="K107" i="15"/>
  <c r="A91" i="14"/>
  <c r="AF107" i="15"/>
  <c r="W107" i="15"/>
  <c r="A139" i="14"/>
  <c r="S112" i="15"/>
  <c r="B113" i="15"/>
  <c r="S113" i="15" s="1"/>
  <c r="B56" i="13"/>
  <c r="B57" i="13" s="1"/>
  <c r="F55" i="13"/>
  <c r="AF110" i="15"/>
  <c r="K110" i="15"/>
  <c r="D110" i="15"/>
  <c r="M110" i="15" s="1"/>
  <c r="H110" i="15"/>
  <c r="W110" i="15"/>
  <c r="C111" i="15"/>
  <c r="Q111" i="15" s="1"/>
  <c r="Z110" i="15"/>
  <c r="AE110" i="15"/>
  <c r="L110" i="15"/>
  <c r="C133" i="14"/>
  <c r="A180" i="15"/>
  <c r="A227" i="15" s="1"/>
  <c r="A107" i="15"/>
  <c r="A108" i="15" s="1"/>
  <c r="E106" i="15"/>
  <c r="Q179" i="15"/>
  <c r="P179" i="15"/>
  <c r="I179" i="15"/>
  <c r="N179" i="15"/>
  <c r="R179" i="15"/>
  <c r="H179" i="15"/>
  <c r="M179" i="15"/>
  <c r="L179" i="15"/>
  <c r="U179" i="15"/>
  <c r="T179" i="15"/>
  <c r="V179" i="15"/>
  <c r="C179" i="15"/>
  <c r="D179" i="15"/>
  <c r="E179" i="15"/>
  <c r="D108" i="15" l="1"/>
  <c r="M108" i="15" s="1"/>
  <c r="Q108" i="15"/>
  <c r="W108" i="15"/>
  <c r="Z108" i="15"/>
  <c r="L108" i="15"/>
  <c r="AE108" i="15"/>
  <c r="A140" i="14"/>
  <c r="H108" i="15"/>
  <c r="A92" i="14"/>
  <c r="AF108" i="15"/>
  <c r="K108" i="15"/>
  <c r="F57" i="13"/>
  <c r="C57" i="13"/>
  <c r="E57" i="13"/>
  <c r="G57" i="13"/>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C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E233" i="15"/>
  <c r="I35" i="34" s="1"/>
  <c r="C233" i="15"/>
  <c r="I33" i="34" s="1"/>
  <c r="D233" i="15"/>
  <c r="I34" i="34" s="1"/>
  <c r="L87" i="15"/>
  <c r="M87" i="15"/>
  <c r="I48" i="119"/>
  <c r="H48" i="119"/>
  <c r="G48" i="119"/>
  <c r="E48" i="119"/>
  <c r="D48" i="119"/>
  <c r="E5" i="113" s="1"/>
  <c r="C48" i="119"/>
  <c r="B22" i="15" s="1"/>
  <c r="F48" i="119"/>
  <c r="E17" i="113" l="1"/>
  <c r="E19" i="113"/>
  <c r="C52" i="6"/>
  <c r="X59" i="15" s="1"/>
  <c r="C3" i="119"/>
  <c r="C199" i="119" s="1"/>
  <c r="B173" i="15"/>
  <c r="B168" i="15"/>
  <c r="B165" i="15"/>
  <c r="B150" i="15"/>
  <c r="B142" i="15"/>
  <c r="B149" i="15"/>
  <c r="B163" i="15"/>
  <c r="B164" i="15"/>
  <c r="B167" i="15"/>
  <c r="B179" i="15"/>
  <c r="B146" i="15"/>
  <c r="B156" i="15"/>
  <c r="B143" i="15"/>
  <c r="B172" i="15"/>
  <c r="B181" i="15"/>
  <c r="B141" i="15"/>
  <c r="B151" i="15"/>
  <c r="B178" i="15"/>
  <c r="B162" i="15"/>
  <c r="B176" i="15"/>
  <c r="B166" i="15"/>
  <c r="B180" i="15"/>
  <c r="B169" i="15"/>
  <c r="B144" i="15"/>
  <c r="B153" i="15"/>
  <c r="B159" i="15"/>
  <c r="B147" i="15"/>
  <c r="B139" i="15"/>
  <c r="B161" i="15"/>
  <c r="C26" i="6" l="1"/>
  <c r="C4" i="119" s="1"/>
  <c r="C17" i="35"/>
  <c r="C7" i="35"/>
  <c r="C3" i="24" s="1"/>
  <c r="E27" i="113"/>
  <c r="E26" i="113"/>
  <c r="E20" i="113"/>
  <c r="C16" i="35" s="1"/>
  <c r="E22" i="15"/>
  <c r="C46" i="33"/>
  <c r="F36" i="14"/>
  <c r="D36" i="14"/>
  <c r="G36" i="14"/>
  <c r="C36" i="14"/>
  <c r="E36" i="14"/>
  <c r="B26" i="15"/>
  <c r="B27" i="15" s="1"/>
  <c r="E23" i="15" s="1"/>
  <c r="C5" i="119"/>
  <c r="E199" i="119" s="1"/>
  <c r="H36" i="14"/>
  <c r="C47" i="33" s="1"/>
  <c r="AF116" i="15"/>
  <c r="AB55" i="15" s="1"/>
  <c r="AB57" i="15" s="1"/>
  <c r="W116" i="15"/>
  <c r="F80" i="6"/>
  <c r="C142" i="6" s="1"/>
  <c r="F38" i="34"/>
  <c r="F37" i="34"/>
  <c r="B136" i="15"/>
  <c r="F32" i="34"/>
  <c r="C32" i="34" s="1"/>
  <c r="C197" i="119"/>
  <c r="C202" i="119" s="1"/>
  <c r="D202" i="119" s="1"/>
  <c r="AE106" i="15"/>
  <c r="C227" i="15"/>
  <c r="I227" i="15"/>
  <c r="L227" i="15"/>
  <c r="I228" i="15"/>
  <c r="E227" i="15"/>
  <c r="M227" i="15"/>
  <c r="E228" i="15"/>
  <c r="M228" i="15"/>
  <c r="L228" i="15"/>
  <c r="H228" i="15"/>
  <c r="D227" i="15"/>
  <c r="AE107" i="15"/>
  <c r="C228" i="15"/>
  <c r="D228" i="15"/>
  <c r="N228" i="15"/>
  <c r="N227" i="15"/>
  <c r="H227" i="15"/>
  <c r="B228" i="15"/>
  <c r="O107" i="15"/>
  <c r="B227" i="15"/>
  <c r="O106" i="15"/>
  <c r="C78" i="119"/>
  <c r="D78" i="119" s="1"/>
  <c r="H3" i="119"/>
  <c r="I3" i="119"/>
  <c r="C79" i="119" s="1"/>
  <c r="D79" i="119" s="1"/>
  <c r="B152" i="15"/>
  <c r="G147" i="15"/>
  <c r="G148" i="15"/>
  <c r="G151" i="15"/>
  <c r="G142" i="15"/>
  <c r="B171" i="15"/>
  <c r="G179" i="15"/>
  <c r="G159" i="15"/>
  <c r="G178" i="15"/>
  <c r="G170" i="15"/>
  <c r="G156" i="15"/>
  <c r="G174" i="15"/>
  <c r="B157" i="15"/>
  <c r="G177" i="15"/>
  <c r="B155" i="15"/>
  <c r="G154" i="15"/>
  <c r="B145" i="15"/>
  <c r="G181" i="15"/>
  <c r="G140" i="15"/>
  <c r="G158" i="15"/>
  <c r="G165" i="15"/>
  <c r="B174" i="15"/>
  <c r="G152" i="15"/>
  <c r="G157" i="15"/>
  <c r="G164" i="15"/>
  <c r="G149" i="15"/>
  <c r="G176" i="15"/>
  <c r="G160" i="15"/>
  <c r="G141" i="15"/>
  <c r="G155" i="15"/>
  <c r="G139" i="15"/>
  <c r="B154" i="15"/>
  <c r="G167" i="15"/>
  <c r="G161" i="15"/>
  <c r="G143" i="15"/>
  <c r="G150" i="15"/>
  <c r="B148" i="15"/>
  <c r="G172" i="15"/>
  <c r="G168" i="15"/>
  <c r="G146" i="15"/>
  <c r="G144" i="15"/>
  <c r="G171" i="15"/>
  <c r="B160" i="15"/>
  <c r="B177" i="15"/>
  <c r="G173" i="15"/>
  <c r="B158" i="15"/>
  <c r="G175" i="15"/>
  <c r="G145" i="15"/>
  <c r="G163" i="15"/>
  <c r="B140" i="15"/>
  <c r="B175" i="15"/>
  <c r="G162" i="15"/>
  <c r="G153" i="15"/>
  <c r="G180" i="15"/>
  <c r="G166" i="15"/>
  <c r="G169" i="15"/>
  <c r="B170" i="15"/>
  <c r="C132" i="6" l="1"/>
  <c r="B20" i="15"/>
  <c r="B21" i="15" s="1"/>
  <c r="D199" i="119"/>
  <c r="C81" i="119"/>
  <c r="D81" i="119" s="1"/>
  <c r="I4" i="119"/>
  <c r="C82" i="119" s="1"/>
  <c r="D82" i="119" s="1"/>
  <c r="H4" i="119"/>
  <c r="L102" i="119" s="1"/>
  <c r="C27" i="6"/>
  <c r="C28" i="6" s="1"/>
  <c r="O85" i="15" s="1"/>
  <c r="C69" i="6"/>
  <c r="M211" i="15"/>
  <c r="E207" i="15"/>
  <c r="D207" i="15"/>
  <c r="AE81" i="15"/>
  <c r="E36" i="113"/>
  <c r="C18" i="35"/>
  <c r="D216" i="15"/>
  <c r="E188" i="15"/>
  <c r="M188" i="15"/>
  <c r="AE96" i="15"/>
  <c r="H206" i="15"/>
  <c r="D202" i="15"/>
  <c r="C4" i="24"/>
  <c r="F33" i="113"/>
  <c r="F31" i="113" s="1"/>
  <c r="C48" i="33"/>
  <c r="D37" i="14"/>
  <c r="G37" i="14"/>
  <c r="E37" i="14"/>
  <c r="W115" i="15"/>
  <c r="F37" i="14"/>
  <c r="C37" i="14"/>
  <c r="H37" i="14"/>
  <c r="E25" i="15" s="1"/>
  <c r="H5" i="119"/>
  <c r="C83" i="119" s="1"/>
  <c r="D83" i="119" s="1"/>
  <c r="C84" i="119"/>
  <c r="D84" i="119" s="1"/>
  <c r="I5" i="119"/>
  <c r="C85" i="119" s="1"/>
  <c r="D85" i="119" s="1"/>
  <c r="E24" i="15"/>
  <c r="G136" i="15"/>
  <c r="F81" i="6"/>
  <c r="C143" i="6" s="1"/>
  <c r="G227" i="15"/>
  <c r="G207" i="15"/>
  <c r="G200" i="15"/>
  <c r="G216" i="15"/>
  <c r="G193" i="15"/>
  <c r="G199" i="15"/>
  <c r="G196" i="15"/>
  <c r="G228" i="15"/>
  <c r="G212" i="15"/>
  <c r="G211" i="15"/>
  <c r="G210" i="15"/>
  <c r="F136" i="15"/>
  <c r="E100" i="34"/>
  <c r="C100" i="34"/>
  <c r="C37" i="34"/>
  <c r="D100" i="34"/>
  <c r="C38" i="34"/>
  <c r="E101" i="34"/>
  <c r="D101" i="34"/>
  <c r="C101" i="34"/>
  <c r="C95" i="34"/>
  <c r="D85" i="34" s="1"/>
  <c r="E95" i="34"/>
  <c r="F85" i="34" s="1"/>
  <c r="F86" i="34" s="1"/>
  <c r="D95" i="34"/>
  <c r="B203" i="119"/>
  <c r="L101" i="119"/>
  <c r="C77" i="119"/>
  <c r="D77" i="119" s="1"/>
  <c r="D61" i="34"/>
  <c r="C61" i="34"/>
  <c r="D32" i="34"/>
  <c r="E61" i="34"/>
  <c r="C53" i="34"/>
  <c r="E110" i="34"/>
  <c r="D110" i="34"/>
  <c r="C110" i="34"/>
  <c r="F180" i="15"/>
  <c r="F181" i="15"/>
  <c r="F148" i="15"/>
  <c r="F147" i="15"/>
  <c r="F177" i="15"/>
  <c r="F140" i="15"/>
  <c r="F164" i="15"/>
  <c r="F173" i="15"/>
  <c r="F163" i="15"/>
  <c r="F154" i="15"/>
  <c r="F169" i="15"/>
  <c r="F172" i="15"/>
  <c r="F175" i="15"/>
  <c r="F146" i="15"/>
  <c r="F179" i="15"/>
  <c r="F153" i="15"/>
  <c r="F155" i="15"/>
  <c r="F157" i="15"/>
  <c r="F161" i="15"/>
  <c r="F174" i="15"/>
  <c r="F156" i="15"/>
  <c r="F151" i="15"/>
  <c r="F143" i="15"/>
  <c r="F168" i="15"/>
  <c r="F142" i="15"/>
  <c r="F176" i="15"/>
  <c r="F178" i="15"/>
  <c r="F149" i="15"/>
  <c r="F166" i="15"/>
  <c r="F139" i="15"/>
  <c r="F170" i="15"/>
  <c r="F144" i="15"/>
  <c r="F159" i="15"/>
  <c r="F150" i="15"/>
  <c r="F171" i="15"/>
  <c r="F141" i="15"/>
  <c r="F167" i="15"/>
  <c r="F158" i="15"/>
  <c r="F145" i="15"/>
  <c r="F165" i="15"/>
  <c r="F152" i="15"/>
  <c r="F162" i="15"/>
  <c r="F160" i="15"/>
  <c r="O96" i="15" l="1"/>
  <c r="G205" i="15"/>
  <c r="G190" i="15"/>
  <c r="O101" i="15"/>
  <c r="G222" i="15"/>
  <c r="O78" i="15"/>
  <c r="G198" i="15"/>
  <c r="B204" i="15"/>
  <c r="G203" i="15"/>
  <c r="G209" i="15"/>
  <c r="B213" i="15"/>
  <c r="I208" i="15"/>
  <c r="C216" i="15"/>
  <c r="N223" i="15"/>
  <c r="E204" i="15"/>
  <c r="I217" i="15"/>
  <c r="G213" i="15"/>
  <c r="G201" i="15"/>
  <c r="G202" i="15"/>
  <c r="B222" i="15"/>
  <c r="B217" i="15"/>
  <c r="B199" i="15"/>
  <c r="O83" i="15"/>
  <c r="H188" i="15"/>
  <c r="H195" i="15"/>
  <c r="B209" i="15"/>
  <c r="M219" i="15"/>
  <c r="D188" i="15"/>
  <c r="M209" i="15"/>
  <c r="N187" i="15"/>
  <c r="L187" i="15"/>
  <c r="H225" i="15"/>
  <c r="C208" i="15"/>
  <c r="H190" i="15"/>
  <c r="D199" i="15"/>
  <c r="D190" i="15"/>
  <c r="N193" i="15"/>
  <c r="B225" i="15"/>
  <c r="D206" i="15"/>
  <c r="E213" i="15"/>
  <c r="G217" i="15"/>
  <c r="G218" i="15"/>
  <c r="G192" i="15"/>
  <c r="G215" i="15"/>
  <c r="G221" i="15"/>
  <c r="B205" i="15"/>
  <c r="B195" i="15"/>
  <c r="B221" i="15"/>
  <c r="B187" i="15"/>
  <c r="M189" i="15"/>
  <c r="I199" i="15"/>
  <c r="AE80" i="15"/>
  <c r="M215" i="15"/>
  <c r="H196" i="15"/>
  <c r="C201" i="15"/>
  <c r="B193" i="15"/>
  <c r="O68" i="15"/>
  <c r="C190" i="15"/>
  <c r="AE75" i="15"/>
  <c r="D192" i="15"/>
  <c r="H209" i="15"/>
  <c r="L215" i="15"/>
  <c r="L222" i="15"/>
  <c r="AE78" i="15"/>
  <c r="M214" i="15"/>
  <c r="G214" i="15"/>
  <c r="G220" i="15"/>
  <c r="G189" i="15"/>
  <c r="G223" i="15"/>
  <c r="O84" i="15"/>
  <c r="O74" i="15"/>
  <c r="O100" i="15"/>
  <c r="O66" i="15"/>
  <c r="N225" i="15"/>
  <c r="N226" i="15"/>
  <c r="I223" i="15"/>
  <c r="M195" i="15"/>
  <c r="C223" i="15"/>
  <c r="AE90" i="15"/>
  <c r="L199" i="15"/>
  <c r="E205" i="15"/>
  <c r="N203" i="15"/>
  <c r="L202" i="15"/>
  <c r="N200" i="15"/>
  <c r="N213" i="15"/>
  <c r="D221" i="15"/>
  <c r="O76" i="15"/>
  <c r="I201" i="15"/>
  <c r="N189" i="15"/>
  <c r="H212" i="15"/>
  <c r="O97" i="15"/>
  <c r="B201" i="15"/>
  <c r="B192" i="15"/>
  <c r="C224" i="15"/>
  <c r="L201" i="15"/>
  <c r="E223" i="15"/>
  <c r="I198" i="15"/>
  <c r="N204" i="15"/>
  <c r="H221" i="15"/>
  <c r="N191" i="15"/>
  <c r="C193" i="15"/>
  <c r="D205" i="15"/>
  <c r="D204" i="15"/>
  <c r="E212" i="15"/>
  <c r="H217" i="15"/>
  <c r="E190" i="15"/>
  <c r="B191" i="15"/>
  <c r="I200" i="15"/>
  <c r="H189" i="15"/>
  <c r="C220" i="15"/>
  <c r="G208" i="15"/>
  <c r="G204" i="15"/>
  <c r="G219" i="15"/>
  <c r="G225" i="15"/>
  <c r="G195" i="15"/>
  <c r="B218" i="15"/>
  <c r="O80" i="15"/>
  <c r="O71" i="15"/>
  <c r="D215" i="15"/>
  <c r="E187" i="15"/>
  <c r="I214" i="15"/>
  <c r="I205" i="15"/>
  <c r="E217" i="15"/>
  <c r="E196" i="15"/>
  <c r="AE79" i="15"/>
  <c r="E222" i="15"/>
  <c r="M221" i="15"/>
  <c r="D224" i="15"/>
  <c r="E218" i="15"/>
  <c r="D195" i="15"/>
  <c r="N195" i="15"/>
  <c r="O77" i="15"/>
  <c r="N196" i="15"/>
  <c r="L225" i="15"/>
  <c r="D210" i="15"/>
  <c r="G191" i="15"/>
  <c r="G194" i="15"/>
  <c r="G224" i="15"/>
  <c r="B202" i="15"/>
  <c r="O103" i="15"/>
  <c r="B207" i="15"/>
  <c r="AE67" i="15"/>
  <c r="D209" i="15"/>
  <c r="N188" i="15"/>
  <c r="AE88" i="15"/>
  <c r="H200" i="15"/>
  <c r="AE69" i="15"/>
  <c r="H213" i="15"/>
  <c r="I187" i="15"/>
  <c r="D217" i="15"/>
  <c r="C202" i="15"/>
  <c r="AE105" i="15"/>
  <c r="D225" i="15"/>
  <c r="L189" i="15"/>
  <c r="I209" i="15"/>
  <c r="B194" i="15"/>
  <c r="L191" i="15"/>
  <c r="I204" i="15"/>
  <c r="I192" i="15"/>
  <c r="G226" i="15"/>
  <c r="G206" i="15"/>
  <c r="G197" i="15"/>
  <c r="O81" i="15"/>
  <c r="B224" i="15"/>
  <c r="O86" i="15"/>
  <c r="D187" i="15"/>
  <c r="N210" i="15"/>
  <c r="O67" i="15"/>
  <c r="D212" i="15"/>
  <c r="H187" i="15"/>
  <c r="C225" i="15"/>
  <c r="I221" i="15"/>
  <c r="I188" i="15"/>
  <c r="C217" i="15"/>
  <c r="C194" i="15"/>
  <c r="M193" i="15"/>
  <c r="AE102" i="15"/>
  <c r="I219" i="15"/>
  <c r="N217" i="15"/>
  <c r="D200" i="15"/>
  <c r="H191" i="15"/>
  <c r="B197" i="15"/>
  <c r="I213" i="15"/>
  <c r="D203" i="15"/>
  <c r="I210" i="15"/>
  <c r="L209" i="15"/>
  <c r="AE82" i="15"/>
  <c r="G187" i="15"/>
  <c r="E219" i="15"/>
  <c r="C192" i="15"/>
  <c r="D226" i="15"/>
  <c r="AE100" i="15"/>
  <c r="O99" i="15"/>
  <c r="E189" i="15"/>
  <c r="N221" i="15"/>
  <c r="M191" i="15"/>
  <c r="O70" i="15"/>
  <c r="M197" i="15"/>
  <c r="D197" i="15"/>
  <c r="E209" i="15"/>
  <c r="I215" i="15"/>
  <c r="C187" i="15"/>
  <c r="I222" i="15"/>
  <c r="AE89" i="15"/>
  <c r="E225" i="15"/>
  <c r="N208" i="15"/>
  <c r="D194" i="15"/>
  <c r="AE74" i="15"/>
  <c r="AE71" i="15"/>
  <c r="D193" i="15"/>
  <c r="M225" i="15"/>
  <c r="B214" i="15"/>
  <c r="N216" i="15"/>
  <c r="AE70" i="15"/>
  <c r="M220" i="15"/>
  <c r="M213" i="15"/>
  <c r="O92" i="15"/>
  <c r="B188" i="15"/>
  <c r="I218" i="15"/>
  <c r="N212" i="15"/>
  <c r="E210" i="15"/>
  <c r="N219" i="15"/>
  <c r="E191" i="15"/>
  <c r="AE84" i="15"/>
  <c r="L210" i="15"/>
  <c r="AE72" i="15"/>
  <c r="AE98" i="15"/>
  <c r="C188" i="15"/>
  <c r="C189" i="15"/>
  <c r="H197" i="15"/>
  <c r="L218" i="15"/>
  <c r="D214" i="15"/>
  <c r="O91" i="15"/>
  <c r="N205" i="15"/>
  <c r="L198" i="15"/>
  <c r="N224" i="15"/>
  <c r="D191" i="15"/>
  <c r="M206" i="15"/>
  <c r="H226" i="15"/>
  <c r="M216" i="15"/>
  <c r="C213" i="15"/>
  <c r="M200" i="15"/>
  <c r="N206" i="15"/>
  <c r="L193" i="15"/>
  <c r="C222" i="15"/>
  <c r="I189" i="15"/>
  <c r="E194" i="15"/>
  <c r="B189" i="15"/>
  <c r="N209" i="15"/>
  <c r="C209" i="15"/>
  <c r="M207" i="15"/>
  <c r="N190" i="15"/>
  <c r="I202" i="15"/>
  <c r="O82" i="15"/>
  <c r="L204" i="15"/>
  <c r="H207" i="15"/>
  <c r="M194" i="15"/>
  <c r="M204" i="15"/>
  <c r="I224" i="15"/>
  <c r="L217" i="15"/>
  <c r="L203" i="15"/>
  <c r="M196" i="15"/>
  <c r="M202" i="15"/>
  <c r="L192" i="15"/>
  <c r="AE85" i="15"/>
  <c r="H203" i="15"/>
  <c r="E216" i="15"/>
  <c r="C200" i="15"/>
  <c r="B220" i="15"/>
  <c r="C203" i="15"/>
  <c r="D218" i="15"/>
  <c r="I226" i="15"/>
  <c r="N201" i="15"/>
  <c r="AE103" i="15"/>
  <c r="B203" i="15"/>
  <c r="C211" i="15"/>
  <c r="C197" i="15"/>
  <c r="N194" i="15"/>
  <c r="C196" i="15"/>
  <c r="I225" i="15"/>
  <c r="M222" i="15"/>
  <c r="N197" i="15"/>
  <c r="C207" i="15"/>
  <c r="L212" i="15"/>
  <c r="H218" i="15"/>
  <c r="L216" i="15"/>
  <c r="H210" i="15"/>
  <c r="AE99" i="15"/>
  <c r="E215" i="15"/>
  <c r="O94" i="15"/>
  <c r="AE94" i="15"/>
  <c r="L211" i="15"/>
  <c r="M224" i="15"/>
  <c r="C204" i="15"/>
  <c r="H201" i="15"/>
  <c r="B210" i="15"/>
  <c r="I211" i="15"/>
  <c r="C221" i="15"/>
  <c r="M208" i="15"/>
  <c r="N207" i="15"/>
  <c r="E198" i="15"/>
  <c r="L213" i="15"/>
  <c r="B212" i="15"/>
  <c r="M223" i="15"/>
  <c r="D196" i="15"/>
  <c r="D219" i="15"/>
  <c r="AE77" i="15"/>
  <c r="I194" i="15"/>
  <c r="D213" i="15"/>
  <c r="AE73" i="15"/>
  <c r="I203" i="15"/>
  <c r="M205" i="15"/>
  <c r="B17" i="15"/>
  <c r="C212" i="15"/>
  <c r="M199" i="15"/>
  <c r="I197" i="15"/>
  <c r="H199" i="15"/>
  <c r="B215" i="15"/>
  <c r="M217" i="15"/>
  <c r="D220" i="15"/>
  <c r="H211" i="15"/>
  <c r="L206" i="15"/>
  <c r="C199" i="15"/>
  <c r="B206" i="15"/>
  <c r="E203" i="15"/>
  <c r="E202" i="15"/>
  <c r="M226" i="15"/>
  <c r="I195" i="15"/>
  <c r="C198" i="15"/>
  <c r="O79" i="15"/>
  <c r="M212" i="15"/>
  <c r="E192" i="15"/>
  <c r="L221" i="15"/>
  <c r="D189" i="15"/>
  <c r="N218" i="15"/>
  <c r="H220" i="15"/>
  <c r="C219" i="15"/>
  <c r="L190" i="15"/>
  <c r="C215" i="15"/>
  <c r="M187" i="15"/>
  <c r="I207" i="15"/>
  <c r="E211" i="15"/>
  <c r="AE104" i="15"/>
  <c r="E220" i="15"/>
  <c r="O105" i="15"/>
  <c r="I220" i="15"/>
  <c r="D201" i="15"/>
  <c r="E199" i="15"/>
  <c r="E195" i="15"/>
  <c r="M198" i="15"/>
  <c r="G188" i="15"/>
  <c r="H216" i="15"/>
  <c r="C218" i="15"/>
  <c r="C191" i="15"/>
  <c r="I196" i="15"/>
  <c r="H224" i="15"/>
  <c r="C214" i="15"/>
  <c r="AE86" i="15"/>
  <c r="B198" i="15"/>
  <c r="H193" i="15"/>
  <c r="E226" i="15"/>
  <c r="C80" i="119"/>
  <c r="D80" i="119" s="1"/>
  <c r="I216" i="15"/>
  <c r="C206" i="15"/>
  <c r="C195" i="15"/>
  <c r="L220" i="15"/>
  <c r="E197" i="15"/>
  <c r="AE87" i="15"/>
  <c r="O88" i="15"/>
  <c r="B208" i="15"/>
  <c r="O75" i="15"/>
  <c r="B196" i="15"/>
  <c r="O95" i="15"/>
  <c r="AE66" i="15"/>
  <c r="M210" i="15"/>
  <c r="AE95" i="15"/>
  <c r="AE83" i="15"/>
  <c r="L197" i="15"/>
  <c r="D211" i="15"/>
  <c r="AE97" i="15"/>
  <c r="E206" i="15"/>
  <c r="L207" i="15"/>
  <c r="AE101" i="15"/>
  <c r="B190" i="15"/>
  <c r="H194" i="15"/>
  <c r="O104" i="15"/>
  <c r="N222" i="15"/>
  <c r="H208" i="15"/>
  <c r="H205" i="15"/>
  <c r="O89" i="15"/>
  <c r="H222" i="15"/>
  <c r="L226" i="15"/>
  <c r="N220" i="15"/>
  <c r="N215" i="15"/>
  <c r="L196" i="15"/>
  <c r="AE92" i="15"/>
  <c r="I190" i="15"/>
  <c r="L223" i="15"/>
  <c r="H202" i="15"/>
  <c r="M218" i="15"/>
  <c r="B223" i="15"/>
  <c r="N211" i="15"/>
  <c r="H198" i="15"/>
  <c r="H219" i="15"/>
  <c r="H223" i="15"/>
  <c r="O93" i="15"/>
  <c r="M192" i="15"/>
  <c r="B200" i="15"/>
  <c r="I212" i="15"/>
  <c r="AE91" i="15"/>
  <c r="N198" i="15"/>
  <c r="H214" i="15"/>
  <c r="B211" i="15"/>
  <c r="L208" i="15"/>
  <c r="L194" i="15"/>
  <c r="N214" i="15"/>
  <c r="H192" i="15"/>
  <c r="M203" i="15"/>
  <c r="C210" i="15"/>
  <c r="M190" i="15"/>
  <c r="O98" i="15"/>
  <c r="D208" i="15"/>
  <c r="D222" i="15"/>
  <c r="L195" i="15"/>
  <c r="E221" i="15"/>
  <c r="E200" i="15"/>
  <c r="B216" i="15"/>
  <c r="L188" i="15"/>
  <c r="I191" i="15"/>
  <c r="N192" i="15"/>
  <c r="N202" i="15"/>
  <c r="O90" i="15"/>
  <c r="D198" i="15"/>
  <c r="O102" i="15"/>
  <c r="M201" i="15"/>
  <c r="B219" i="15"/>
  <c r="AE76" i="15"/>
  <c r="O72" i="15"/>
  <c r="L224" i="15"/>
  <c r="C205" i="15"/>
  <c r="L214" i="15"/>
  <c r="I193" i="15"/>
  <c r="E224" i="15"/>
  <c r="E201" i="15"/>
  <c r="L205" i="15"/>
  <c r="C226" i="15"/>
  <c r="AE68" i="15"/>
  <c r="N199" i="15"/>
  <c r="O87" i="15"/>
  <c r="O73" i="15"/>
  <c r="E208" i="15"/>
  <c r="E193" i="15"/>
  <c r="D223" i="15"/>
  <c r="I206" i="15"/>
  <c r="H204" i="15"/>
  <c r="O69" i="15"/>
  <c r="E214" i="15"/>
  <c r="L200" i="15"/>
  <c r="B226" i="15"/>
  <c r="L219" i="15"/>
  <c r="AE93" i="15"/>
  <c r="H215" i="15"/>
  <c r="D152" i="6"/>
  <c r="E23" i="24"/>
  <c r="G23" i="24" s="1"/>
  <c r="E17" i="24"/>
  <c r="G17" i="24" s="1"/>
  <c r="D151" i="6"/>
  <c r="E19" i="24"/>
  <c r="G19" i="24" s="1"/>
  <c r="D146" i="6"/>
  <c r="E146" i="6" s="1"/>
  <c r="D153" i="6"/>
  <c r="E18" i="24"/>
  <c r="G18" i="24" s="1"/>
  <c r="E22" i="24"/>
  <c r="G22" i="24" s="1"/>
  <c r="E20" i="24"/>
  <c r="G20" i="24" s="1"/>
  <c r="D149" i="6"/>
  <c r="E149" i="6" s="1"/>
  <c r="E24" i="24"/>
  <c r="G24" i="24" s="1"/>
  <c r="E21" i="24"/>
  <c r="G21" i="24" s="1"/>
  <c r="D147" i="6"/>
  <c r="E147" i="6" s="1"/>
  <c r="B57" i="15" s="1"/>
  <c r="P66" i="15" s="1"/>
  <c r="D120" i="6"/>
  <c r="E120" i="6" s="1"/>
  <c r="D148" i="6"/>
  <c r="E148" i="6" s="1"/>
  <c r="E26" i="24"/>
  <c r="G26" i="24" s="1"/>
  <c r="D109" i="6"/>
  <c r="E109" i="6" s="1"/>
  <c r="E111" i="6" s="1"/>
  <c r="E113" i="6" s="1"/>
  <c r="E16" i="24"/>
  <c r="G16" i="24" s="1"/>
  <c r="E25" i="24"/>
  <c r="G25" i="24" s="1"/>
  <c r="F187" i="15"/>
  <c r="F188" i="15"/>
  <c r="F217" i="15"/>
  <c r="F206" i="15"/>
  <c r="F228" i="15"/>
  <c r="F189" i="15"/>
  <c r="F209" i="15"/>
  <c r="F204" i="15"/>
  <c r="F210" i="15"/>
  <c r="F196" i="15"/>
  <c r="F199" i="15"/>
  <c r="F226" i="15"/>
  <c r="F191" i="15"/>
  <c r="F218" i="15"/>
  <c r="F190" i="15"/>
  <c r="F227" i="15"/>
  <c r="F213" i="15"/>
  <c r="F200" i="15"/>
  <c r="F220" i="15"/>
  <c r="F216" i="15"/>
  <c r="F192" i="15"/>
  <c r="F211" i="15"/>
  <c r="F219" i="15"/>
  <c r="F207" i="15"/>
  <c r="F202" i="15"/>
  <c r="F208" i="15"/>
  <c r="F195" i="15"/>
  <c r="F225" i="15"/>
  <c r="F193" i="15"/>
  <c r="F224" i="15"/>
  <c r="F201" i="15"/>
  <c r="F203" i="15"/>
  <c r="F198" i="15"/>
  <c r="F194" i="15"/>
  <c r="F222" i="15"/>
  <c r="F221" i="15"/>
  <c r="F205" i="15"/>
  <c r="F215" i="15"/>
  <c r="F197" i="15"/>
  <c r="F223" i="15"/>
  <c r="F212" i="15"/>
  <c r="F214" i="15"/>
  <c r="L103" i="119"/>
  <c r="F100" i="34"/>
  <c r="F101" i="34"/>
  <c r="D38" i="34"/>
  <c r="D116" i="34"/>
  <c r="D67" i="34"/>
  <c r="C116" i="34"/>
  <c r="C67" i="34"/>
  <c r="E67" i="34"/>
  <c r="E116" i="34"/>
  <c r="E66" i="34"/>
  <c r="D66" i="34"/>
  <c r="E115" i="34"/>
  <c r="C115" i="34"/>
  <c r="D37" i="34"/>
  <c r="D115" i="34"/>
  <c r="C66" i="34"/>
  <c r="C54" i="34"/>
  <c r="F95" i="34"/>
  <c r="G85" i="34" s="1"/>
  <c r="G86" i="34" s="1"/>
  <c r="E85" i="34"/>
  <c r="E86" i="34" s="1"/>
  <c r="C203" i="119"/>
  <c r="D203" i="119" s="1"/>
  <c r="F110" i="34"/>
  <c r="P106" i="15"/>
  <c r="P107" i="15"/>
  <c r="C22" i="33"/>
  <c r="D86" i="34"/>
  <c r="G231" i="15" l="1"/>
  <c r="B18" i="15"/>
  <c r="B19" i="15"/>
  <c r="M231" i="15"/>
  <c r="O116" i="15"/>
  <c r="B231" i="15"/>
  <c r="I231" i="15"/>
  <c r="AE116" i="15"/>
  <c r="AC55" i="15" s="1"/>
  <c r="AC57" i="15" s="1"/>
  <c r="E231" i="15"/>
  <c r="L231" i="15"/>
  <c r="O114" i="15"/>
  <c r="D231" i="15"/>
  <c r="H231" i="15"/>
  <c r="N231" i="15"/>
  <c r="C231" i="15"/>
  <c r="O115" i="15"/>
  <c r="B122" i="15" s="1"/>
  <c r="P97" i="15"/>
  <c r="P103" i="15"/>
  <c r="P76" i="15"/>
  <c r="P105" i="15"/>
  <c r="P67" i="15"/>
  <c r="P79" i="15"/>
  <c r="P93" i="15"/>
  <c r="P70" i="15"/>
  <c r="P98" i="15"/>
  <c r="P100" i="15"/>
  <c r="P68" i="15"/>
  <c r="P73" i="15"/>
  <c r="P84" i="15"/>
  <c r="P77" i="15"/>
  <c r="P89" i="15"/>
  <c r="P82" i="15"/>
  <c r="P87" i="15"/>
  <c r="P94" i="15"/>
  <c r="P69" i="15"/>
  <c r="P85" i="15"/>
  <c r="P75" i="15"/>
  <c r="P86" i="15"/>
  <c r="P90" i="15"/>
  <c r="P91" i="15"/>
  <c r="P92" i="15"/>
  <c r="P74" i="15"/>
  <c r="P96" i="15"/>
  <c r="P80" i="15"/>
  <c r="P102" i="15"/>
  <c r="P78" i="15"/>
  <c r="P88" i="15"/>
  <c r="P95" i="15"/>
  <c r="P72" i="15"/>
  <c r="P104" i="15"/>
  <c r="P71" i="15"/>
  <c r="P83" i="15"/>
  <c r="P99" i="15"/>
  <c r="P81" i="15"/>
  <c r="P101" i="15"/>
  <c r="F231" i="15"/>
  <c r="F232" i="15" s="1"/>
  <c r="F233" i="15" s="1"/>
  <c r="I37" i="34" s="1"/>
  <c r="F116" i="34"/>
  <c r="F115" i="34"/>
  <c r="B204" i="119"/>
  <c r="C204" i="119" s="1"/>
  <c r="B205" i="119" s="1"/>
  <c r="J36" i="33"/>
  <c r="C21" i="33"/>
  <c r="C23" i="33"/>
  <c r="C38" i="33"/>
  <c r="I232" i="15" l="1"/>
  <c r="H232" i="15"/>
  <c r="L232" i="15"/>
  <c r="G232" i="15"/>
  <c r="G233" i="15" s="1"/>
  <c r="I38" i="34" s="1"/>
  <c r="D232" i="15"/>
  <c r="E232" i="15"/>
  <c r="O117" i="15"/>
  <c r="T48" i="119" s="1"/>
  <c r="E165" i="119" s="1"/>
  <c r="C232" i="15"/>
  <c r="M232" i="15"/>
  <c r="N232" i="15"/>
  <c r="B232" i="15"/>
  <c r="B233" i="15" s="1"/>
  <c r="I32" i="34" s="1"/>
  <c r="P114" i="15"/>
  <c r="P115" i="15"/>
  <c r="B123" i="15" s="1"/>
  <c r="P116" i="15"/>
  <c r="P117" i="15" s="1"/>
  <c r="U48" i="119" s="1"/>
  <c r="E166" i="119" s="1"/>
  <c r="D204" i="119"/>
  <c r="C205" i="119"/>
  <c r="D205" i="119" s="1"/>
  <c r="C53" i="33"/>
  <c r="C55" i="33" s="1"/>
  <c r="C68" i="33"/>
  <c r="C26" i="33" s="1"/>
  <c r="C24" i="33"/>
  <c r="J133" i="15" l="1"/>
  <c r="F42" i="34" s="1"/>
  <c r="B206" i="119"/>
  <c r="C54" i="33"/>
  <c r="C107" i="33"/>
  <c r="C99" i="33"/>
  <c r="C95" i="33"/>
  <c r="C83" i="33"/>
  <c r="C106" i="33"/>
  <c r="C82" i="33"/>
  <c r="C94" i="33"/>
  <c r="C98" i="33"/>
  <c r="C56" i="33"/>
  <c r="C57" i="33"/>
  <c r="C75" i="33"/>
  <c r="C70" i="33"/>
  <c r="C71" i="33" s="1"/>
  <c r="C74" i="33"/>
  <c r="J31" i="33" s="1"/>
  <c r="J34" i="33" s="1"/>
  <c r="J131" i="15" l="1"/>
  <c r="J185" i="15" s="1"/>
  <c r="D87" i="34"/>
  <c r="D88" i="34" s="1"/>
  <c r="F47" i="34"/>
  <c r="C47" i="34" s="1"/>
  <c r="K139" i="15"/>
  <c r="K140" i="15"/>
  <c r="K141" i="15"/>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Q106" i="15" s="1"/>
  <c r="K181" i="15"/>
  <c r="Q107" i="15" s="1"/>
  <c r="C206" i="119"/>
  <c r="D206" i="119" s="1"/>
  <c r="C100" i="33"/>
  <c r="E18" i="17" s="1"/>
  <c r="F18" i="17" s="1"/>
  <c r="C58" i="33"/>
  <c r="J40" i="33"/>
  <c r="J22" i="33"/>
  <c r="G21" i="34"/>
  <c r="K45" i="33"/>
  <c r="J25" i="33"/>
  <c r="C78" i="33"/>
  <c r="J38" i="33" s="1"/>
  <c r="J23" i="33"/>
  <c r="C86" i="33"/>
  <c r="J39" i="33" s="1"/>
  <c r="J24" i="33"/>
  <c r="Q67" i="15" l="1"/>
  <c r="K188" i="15"/>
  <c r="Q66" i="15"/>
  <c r="K187" i="15"/>
  <c r="J41" i="33"/>
  <c r="G20" i="34" s="1"/>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E46" i="17"/>
  <c r="E27" i="17"/>
  <c r="F27" i="17" s="1"/>
  <c r="E26" i="17"/>
  <c r="F26" i="17" s="1"/>
  <c r="E47" i="17"/>
  <c r="F47" i="17" s="1"/>
  <c r="E29" i="17"/>
  <c r="F29" i="17" s="1"/>
  <c r="E21" i="17"/>
  <c r="F21" i="17" s="1"/>
  <c r="E42" i="17"/>
  <c r="F42" i="17" s="1"/>
  <c r="E40" i="17"/>
  <c r="F40" i="17" s="1"/>
  <c r="E36" i="17"/>
  <c r="F36" i="17" s="1"/>
  <c r="E25" i="17"/>
  <c r="E32" i="17"/>
  <c r="E53" i="17"/>
  <c r="E39" i="17"/>
  <c r="E43" i="17"/>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E34" i="17"/>
  <c r="F34" i="17" s="1"/>
  <c r="E35" i="17"/>
  <c r="F35" i="17" s="1"/>
  <c r="E52" i="17"/>
  <c r="F52" i="17" s="1"/>
  <c r="E33" i="17"/>
  <c r="F33" i="17" s="1"/>
  <c r="E37" i="17"/>
  <c r="F37" i="17" s="1"/>
  <c r="E41" i="17"/>
  <c r="F41" i="17" s="1"/>
  <c r="J27" i="33"/>
  <c r="E51" i="17"/>
  <c r="F51" i="17" s="1"/>
  <c r="E55" i="17"/>
  <c r="F55" i="17" s="1"/>
  <c r="E48" i="17"/>
  <c r="E22" i="17"/>
  <c r="F22" i="17" s="1"/>
  <c r="E44" i="17"/>
  <c r="F44" i="17" s="1"/>
  <c r="E23" i="17"/>
  <c r="F23" i="17" s="1"/>
  <c r="E56" i="17"/>
  <c r="F56" i="17" s="1"/>
  <c r="H21" i="34"/>
  <c r="J26" i="33"/>
  <c r="J150" i="15"/>
  <c r="J155" i="15"/>
  <c r="J159" i="15"/>
  <c r="J179" i="15"/>
  <c r="J175" i="15"/>
  <c r="J145" i="15"/>
  <c r="J165" i="15"/>
  <c r="J142" i="15"/>
  <c r="J174" i="15"/>
  <c r="J166" i="15"/>
  <c r="J173" i="15"/>
  <c r="J164" i="15"/>
  <c r="J168" i="15"/>
  <c r="J146" i="15"/>
  <c r="J177" i="15"/>
  <c r="J139" i="15"/>
  <c r="J148" i="15"/>
  <c r="J140" i="15"/>
  <c r="J167" i="15"/>
  <c r="J172" i="15"/>
  <c r="J143" i="15"/>
  <c r="J170" i="15"/>
  <c r="J144" i="15"/>
  <c r="J178" i="15"/>
  <c r="J162" i="15"/>
  <c r="J160" i="15"/>
  <c r="J181" i="15"/>
  <c r="J154" i="15"/>
  <c r="J169" i="15"/>
  <c r="J158" i="15"/>
  <c r="J157" i="15"/>
  <c r="J151" i="15"/>
  <c r="J176" i="15"/>
  <c r="J153" i="15"/>
  <c r="J141" i="15"/>
  <c r="J161" i="15"/>
  <c r="J180" i="15"/>
  <c r="J171" i="15"/>
  <c r="J188" i="15" l="1"/>
  <c r="J187" i="15"/>
  <c r="E42" i="34"/>
  <c r="C42" i="34" s="1"/>
  <c r="C55" i="34" s="1"/>
  <c r="D52" i="34" s="1"/>
  <c r="B71" i="34"/>
  <c r="B120" i="34"/>
  <c r="B105" i="34"/>
  <c r="G42" i="34"/>
  <c r="J197" i="15"/>
  <c r="Q116" i="15"/>
  <c r="Q118" i="15" s="1"/>
  <c r="L48" i="119" s="1"/>
  <c r="E156" i="119" s="1"/>
  <c r="Q115" i="15"/>
  <c r="B124" i="15" s="1"/>
  <c r="Q114" i="15"/>
  <c r="K231" i="15"/>
  <c r="K232" i="15" s="1"/>
  <c r="K233" i="15" s="1"/>
  <c r="I47" i="34" s="1"/>
  <c r="J225" i="15"/>
  <c r="J205" i="15"/>
  <c r="J227" i="15"/>
  <c r="J215" i="15"/>
  <c r="J189" i="15"/>
  <c r="J223" i="15"/>
  <c r="J209" i="15"/>
  <c r="J206" i="15"/>
  <c r="J208" i="15"/>
  <c r="J218" i="15"/>
  <c r="J226" i="15"/>
  <c r="J216" i="15"/>
  <c r="J195" i="15"/>
  <c r="J201" i="15"/>
  <c r="J202" i="15"/>
  <c r="J217" i="15"/>
  <c r="J211" i="15"/>
  <c r="J190" i="15"/>
  <c r="J198" i="15"/>
  <c r="J193" i="15"/>
  <c r="J207" i="15"/>
  <c r="J212" i="15"/>
  <c r="J214" i="15"/>
  <c r="J191" i="15"/>
  <c r="J219" i="15"/>
  <c r="J192" i="15"/>
  <c r="J220" i="15"/>
  <c r="J213" i="15"/>
  <c r="J222" i="15"/>
  <c r="J224" i="15"/>
  <c r="J204" i="15"/>
  <c r="J228" i="15"/>
  <c r="J221" i="15"/>
  <c r="J200" i="15"/>
  <c r="C207" i="119"/>
  <c r="D207" i="119" s="1"/>
  <c r="E154" i="6"/>
  <c r="B58" i="15" s="1"/>
  <c r="R67" i="15" s="1"/>
  <c r="C87" i="6"/>
  <c r="J43" i="33"/>
  <c r="K46" i="33" s="1"/>
  <c r="G19" i="34"/>
  <c r="G22" i="34" s="1"/>
  <c r="K47" i="33"/>
  <c r="H19" i="34" s="1"/>
  <c r="J152" i="15"/>
  <c r="J147" i="15"/>
  <c r="J156" i="15"/>
  <c r="J149" i="15"/>
  <c r="J163" i="15"/>
  <c r="R66" i="15" l="1"/>
  <c r="J196" i="15"/>
  <c r="J210" i="15"/>
  <c r="J194" i="15"/>
  <c r="J203" i="15"/>
  <c r="J199" i="15"/>
  <c r="E105" i="34"/>
  <c r="F83" i="34" s="1"/>
  <c r="F89" i="34" s="1"/>
  <c r="C105" i="34"/>
  <c r="D83" i="34" s="1"/>
  <c r="D84" i="34" s="1"/>
  <c r="E156" i="6" s="1"/>
  <c r="D105" i="34"/>
  <c r="E83" i="34" s="1"/>
  <c r="E84" i="34" s="1"/>
  <c r="B208" i="119"/>
  <c r="C120" i="34"/>
  <c r="C121" i="34" s="1"/>
  <c r="D77" i="34" s="1"/>
  <c r="D120" i="34"/>
  <c r="D121" i="34" s="1"/>
  <c r="E77" i="34" s="1"/>
  <c r="E120" i="34"/>
  <c r="E121" i="34" s="1"/>
  <c r="F77" i="34" s="1"/>
  <c r="C71" i="34"/>
  <c r="E71" i="34"/>
  <c r="D71" i="34"/>
  <c r="D42" i="34"/>
  <c r="H20" i="34"/>
  <c r="H22" i="34" s="1"/>
  <c r="K48" i="33"/>
  <c r="R104" i="15"/>
  <c r="R88" i="15"/>
  <c r="R77" i="15"/>
  <c r="R74" i="15"/>
  <c r="R68" i="15"/>
  <c r="R100" i="15"/>
  <c r="R96" i="15"/>
  <c r="R92" i="15"/>
  <c r="R71" i="15"/>
  <c r="R79" i="15"/>
  <c r="R103" i="15"/>
  <c r="R91" i="15"/>
  <c r="R87" i="15"/>
  <c r="R69" i="15"/>
  <c r="R107" i="15"/>
  <c r="R99" i="15"/>
  <c r="R95" i="15"/>
  <c r="R70" i="15"/>
  <c r="R81" i="15"/>
  <c r="R78" i="15"/>
  <c r="R98" i="15"/>
  <c r="R94" i="15"/>
  <c r="R86" i="15"/>
  <c r="R85" i="15"/>
  <c r="R75" i="15"/>
  <c r="R106" i="15"/>
  <c r="R102" i="15"/>
  <c r="R90" i="15"/>
  <c r="R83" i="15"/>
  <c r="R80" i="15"/>
  <c r="R76" i="15"/>
  <c r="R105" i="15"/>
  <c r="R101" i="15"/>
  <c r="R97" i="15"/>
  <c r="R93" i="15"/>
  <c r="R89" i="15"/>
  <c r="R72" i="15"/>
  <c r="R84" i="15"/>
  <c r="R82" i="15"/>
  <c r="R73" i="15"/>
  <c r="J231" i="15" l="1"/>
  <c r="J232" i="15" s="1"/>
  <c r="J233" i="15" s="1"/>
  <c r="D89" i="34"/>
  <c r="D78" i="34" s="1"/>
  <c r="D80" i="34" s="1"/>
  <c r="F84" i="34"/>
  <c r="E89" i="34"/>
  <c r="E90" i="34" s="1"/>
  <c r="F105" i="34"/>
  <c r="G83" i="34" s="1"/>
  <c r="G84" i="34" s="1"/>
  <c r="C208" i="119"/>
  <c r="D208" i="119" s="1"/>
  <c r="F120" i="34"/>
  <c r="F121" i="34" s="1"/>
  <c r="G77" i="34" s="1"/>
  <c r="E158" i="6" s="1"/>
  <c r="E159" i="6" s="1"/>
  <c r="R114" i="15"/>
  <c r="R116" i="15"/>
  <c r="R117" i="15" s="1"/>
  <c r="V48" i="119" s="1"/>
  <c r="E167" i="119" s="1"/>
  <c r="R115" i="15"/>
  <c r="B125" i="15" s="1"/>
  <c r="F78" i="34"/>
  <c r="F80" i="34" s="1"/>
  <c r="F90" i="34"/>
  <c r="G89" i="34" l="1"/>
  <c r="G90" i="34" s="1"/>
  <c r="D90" i="34"/>
  <c r="E78" i="34"/>
  <c r="E80" i="34" s="1"/>
  <c r="B209" i="119"/>
  <c r="G78" i="34" l="1"/>
  <c r="G80" i="34" s="1"/>
  <c r="C209" i="119"/>
  <c r="D209" i="119" s="1"/>
  <c r="B210" i="119" l="1"/>
  <c r="H67" i="15"/>
  <c r="H66" i="15"/>
  <c r="U106" i="15" l="1"/>
  <c r="L107" i="15"/>
  <c r="M107" i="15"/>
  <c r="D117" i="119"/>
  <c r="D142" i="119"/>
  <c r="D137" i="119"/>
  <c r="D122" i="119"/>
  <c r="C210" i="119"/>
  <c r="D210" i="119" s="1"/>
  <c r="N106" i="15"/>
  <c r="N107" i="15"/>
  <c r="D101" i="119" l="1"/>
  <c r="D145" i="119"/>
  <c r="D120" i="119"/>
  <c r="D140" i="119"/>
  <c r="D135" i="119"/>
  <c r="D106" i="119"/>
  <c r="D105" i="119"/>
  <c r="D102" i="119"/>
  <c r="B211" i="119"/>
  <c r="J106" i="15"/>
  <c r="C211" i="119" l="1"/>
  <c r="D211" i="119" s="1"/>
  <c r="J107" i="15"/>
  <c r="Z65" i="15" l="1"/>
  <c r="B212" i="119"/>
  <c r="C212" i="119" l="1"/>
  <c r="D212" i="119" s="1"/>
  <c r="B213" i="119" l="1"/>
  <c r="Z66" i="15" l="1"/>
  <c r="C213" i="119"/>
  <c r="D213" i="119" s="1"/>
  <c r="B214" i="119" l="1"/>
  <c r="C214" i="119" l="1"/>
  <c r="D214" i="119" s="1"/>
  <c r="Z67" i="15" l="1"/>
  <c r="B215" i="119"/>
  <c r="C215" i="119" l="1"/>
  <c r="D215" i="119" s="1"/>
  <c r="B216" i="119" l="1"/>
  <c r="C216" i="119" l="1"/>
  <c r="D216" i="119" s="1"/>
  <c r="Z68" i="15" l="1"/>
  <c r="B217" i="119"/>
  <c r="C217" i="119" l="1"/>
  <c r="D217" i="119" s="1"/>
  <c r="B218" i="119" l="1"/>
  <c r="C218" i="119" l="1"/>
  <c r="D218" i="119" s="1"/>
  <c r="Z69" i="15" l="1"/>
  <c r="B219" i="119"/>
  <c r="C219" i="119" l="1"/>
  <c r="D219" i="119" s="1"/>
  <c r="B220" i="119" l="1"/>
  <c r="C220" i="119" l="1"/>
  <c r="D220" i="119" s="1"/>
  <c r="Z70" i="15" l="1"/>
  <c r="B221" i="119"/>
  <c r="C221" i="119" l="1"/>
  <c r="D221" i="119" s="1"/>
  <c r="D223" i="119" l="1"/>
  <c r="H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Z72" i="15" l="1"/>
  <c r="Z73" i="15" l="1"/>
  <c r="Z74" i="15" l="1"/>
  <c r="Z75" i="15" l="1"/>
  <c r="Z76" i="15" l="1"/>
  <c r="Z77" i="15" l="1"/>
  <c r="Z78" i="15" l="1"/>
  <c r="Z79" i="15" l="1"/>
  <c r="Z80" i="15" l="1"/>
  <c r="Z81" i="15" l="1"/>
  <c r="Z82" i="15" l="1"/>
  <c r="Z83" i="15" l="1"/>
  <c r="Z84" i="15" l="1"/>
  <c r="Z85" i="15" l="1"/>
  <c r="Z86" i="15" l="1"/>
  <c r="Z87" i="15" l="1"/>
  <c r="Z88" i="15" l="1"/>
  <c r="Z89" i="15" l="1"/>
  <c r="Z90" i="15" l="1"/>
  <c r="Z91" i="15" l="1"/>
  <c r="Z92" i="15" l="1"/>
  <c r="Z93" i="15" l="1"/>
  <c r="Z94" i="15" l="1"/>
  <c r="Z95" i="15" l="1"/>
  <c r="Z96" i="15" l="1"/>
  <c r="Z97" i="15" l="1"/>
  <c r="Z98" i="15" l="1"/>
  <c r="Z99" i="15" l="1"/>
  <c r="Z100" i="15" l="1"/>
  <c r="Z101" i="15" l="1"/>
  <c r="Z102" i="15" l="1"/>
  <c r="Z103" i="15" l="1"/>
  <c r="Z104" i="15" l="1"/>
  <c r="Z106" i="15" l="1"/>
  <c r="E55" i="13" l="1"/>
  <c r="D55" i="13" s="1"/>
  <c r="G55" i="13"/>
  <c r="C56" i="13" s="1"/>
  <c r="F56" i="13" l="1"/>
  <c r="Z107" i="15" s="1"/>
  <c r="E56" i="13"/>
  <c r="S106" i="15"/>
  <c r="G56" i="13" l="1"/>
  <c r="D56" i="13"/>
  <c r="S107" i="15"/>
  <c r="F106" i="15" l="1"/>
  <c r="T106" i="15" s="1"/>
  <c r="F107" i="15"/>
  <c r="T107" i="15" s="1"/>
  <c r="V106" i="15" l="1"/>
  <c r="X106" i="15" s="1"/>
  <c r="Y106" i="15" s="1"/>
  <c r="AC106" i="15"/>
  <c r="AC107" i="15"/>
  <c r="V107" i="15"/>
  <c r="X107" i="15" s="1"/>
  <c r="Y107" i="15" s="1"/>
  <c r="AA106" i="15" l="1"/>
  <c r="AA107" i="15"/>
  <c r="D17" i="35" l="1"/>
  <c r="F17" i="35" l="1"/>
  <c r="C14" i="24"/>
  <c r="D18" i="35" l="1"/>
  <c r="H14" i="24"/>
  <c r="E14" i="24"/>
  <c r="G14" i="24" s="1"/>
  <c r="C36" i="35" l="1"/>
  <c r="D16" i="35"/>
  <c r="C15" i="24"/>
  <c r="F18" i="35"/>
  <c r="H15" i="24" l="1"/>
  <c r="E15" i="24"/>
  <c r="G15" i="24" s="1"/>
  <c r="C13" i="24"/>
  <c r="F16" i="35"/>
  <c r="F36" i="35" s="1"/>
  <c r="D36" i="35"/>
  <c r="H13" i="24" l="1"/>
  <c r="H27" i="24" s="1"/>
  <c r="C27" i="24"/>
  <c r="E13" i="24"/>
  <c r="G13" i="24" l="1"/>
  <c r="G27" i="24" s="1"/>
  <c r="E27" i="24"/>
  <c r="C5" i="24" l="1"/>
  <c r="C86" i="6"/>
  <c r="D46" i="17" l="1"/>
  <c r="F46" i="17" s="1"/>
  <c r="D53" i="17"/>
  <c r="C118" i="6"/>
  <c r="D39" i="17"/>
  <c r="F39" i="17" s="1"/>
  <c r="D121" i="6"/>
  <c r="E121" i="6" s="1"/>
  <c r="D114" i="6"/>
  <c r="E114" i="6" s="1"/>
  <c r="D101" i="6"/>
  <c r="E101" i="6" s="1"/>
  <c r="E102" i="6" s="1"/>
  <c r="E104" i="6" s="1"/>
  <c r="B52" i="15" s="1"/>
  <c r="K65" i="15" s="1"/>
  <c r="D119" i="6"/>
  <c r="E119" i="6" s="1"/>
  <c r="D118" i="6"/>
  <c r="D117" i="6"/>
  <c r="E117" i="6" s="1"/>
  <c r="F53" i="17"/>
  <c r="F43" i="17"/>
  <c r="F48" i="17"/>
  <c r="D32" i="17"/>
  <c r="F32" i="17" s="1"/>
  <c r="F38" i="17"/>
  <c r="D25" i="17"/>
  <c r="F25" i="17" s="1"/>
  <c r="C96" i="6"/>
  <c r="E96" i="6" s="1"/>
  <c r="C90" i="6"/>
  <c r="E90" i="6" s="1"/>
  <c r="C93" i="6"/>
  <c r="E93" i="6" s="1"/>
  <c r="C91" i="6"/>
  <c r="E91" i="6" s="1"/>
  <c r="E97" i="6" l="1"/>
  <c r="G33" i="17" s="1"/>
  <c r="H33" i="17" s="1"/>
  <c r="I81" i="15" s="1"/>
  <c r="E118" i="6"/>
  <c r="K114" i="15"/>
  <c r="K116" i="15"/>
  <c r="K117" i="15" s="1"/>
  <c r="Q48" i="119" s="1"/>
  <c r="E162" i="119" s="1"/>
  <c r="K115" i="15"/>
  <c r="G48" i="17" l="1"/>
  <c r="H48" i="17" s="1"/>
  <c r="I96" i="15" s="1"/>
  <c r="G27" i="17"/>
  <c r="H27" i="17" s="1"/>
  <c r="I75" i="15" s="1"/>
  <c r="B59" i="14" s="1"/>
  <c r="G51" i="17"/>
  <c r="H51" i="17" s="1"/>
  <c r="I99" i="15" s="1"/>
  <c r="B83" i="14" s="1"/>
  <c r="G50" i="17"/>
  <c r="H50" i="17" s="1"/>
  <c r="I98" i="15" s="1"/>
  <c r="B82" i="14" s="1"/>
  <c r="G54" i="17"/>
  <c r="H54" i="17" s="1"/>
  <c r="G44" i="17"/>
  <c r="H44" i="17" s="1"/>
  <c r="I92" i="15" s="1"/>
  <c r="G21" i="17"/>
  <c r="H21" i="17" s="1"/>
  <c r="I69" i="15" s="1"/>
  <c r="B53" i="14" s="1"/>
  <c r="G52" i="17"/>
  <c r="H52" i="17" s="1"/>
  <c r="I100" i="15" s="1"/>
  <c r="G26" i="17"/>
  <c r="H26" i="17" s="1"/>
  <c r="I74" i="15" s="1"/>
  <c r="G35" i="17"/>
  <c r="H35" i="17" s="1"/>
  <c r="I83" i="15" s="1"/>
  <c r="B67" i="14" s="1"/>
  <c r="G34" i="17"/>
  <c r="H34" i="17" s="1"/>
  <c r="I82" i="15" s="1"/>
  <c r="B66" i="14" s="1"/>
  <c r="G38" i="17"/>
  <c r="H38" i="17" s="1"/>
  <c r="I86" i="15" s="1"/>
  <c r="G20" i="17"/>
  <c r="H20" i="17" s="1"/>
  <c r="I68" i="15" s="1"/>
  <c r="B52" i="14" s="1"/>
  <c r="G30" i="17"/>
  <c r="H30" i="17" s="1"/>
  <c r="I78" i="15" s="1"/>
  <c r="B62" i="14" s="1"/>
  <c r="G28" i="17"/>
  <c r="H28" i="17" s="1"/>
  <c r="I76" i="15" s="1"/>
  <c r="B60" i="14" s="1"/>
  <c r="G36" i="17"/>
  <c r="H36" i="17" s="1"/>
  <c r="I84" i="15" s="1"/>
  <c r="B68" i="14" s="1"/>
  <c r="G31" i="17"/>
  <c r="H31" i="17" s="1"/>
  <c r="I79" i="15" s="1"/>
  <c r="B63" i="14" s="1"/>
  <c r="G25" i="17"/>
  <c r="H25" i="17" s="1"/>
  <c r="I73" i="15" s="1"/>
  <c r="B57" i="14" s="1"/>
  <c r="G40" i="17"/>
  <c r="H40" i="17" s="1"/>
  <c r="I88" i="15" s="1"/>
  <c r="G45" i="17"/>
  <c r="H45" i="17" s="1"/>
  <c r="I93" i="15" s="1"/>
  <c r="B77" i="14" s="1"/>
  <c r="G32" i="17"/>
  <c r="H32" i="17" s="1"/>
  <c r="I80" i="15" s="1"/>
  <c r="B64" i="14" s="1"/>
  <c r="G57" i="17"/>
  <c r="H57" i="17" s="1"/>
  <c r="I105" i="15" s="1"/>
  <c r="G18" i="17"/>
  <c r="H18" i="17" s="1"/>
  <c r="I66" i="15" s="1"/>
  <c r="G47" i="17"/>
  <c r="H47" i="17" s="1"/>
  <c r="I95" i="15" s="1"/>
  <c r="B79" i="14" s="1"/>
  <c r="G55" i="17"/>
  <c r="H55" i="17" s="1"/>
  <c r="I103" i="15" s="1"/>
  <c r="B87" i="14" s="1"/>
  <c r="G19" i="17"/>
  <c r="H19" i="17" s="1"/>
  <c r="I67" i="15" s="1"/>
  <c r="B51" i="14" s="1"/>
  <c r="G43" i="17"/>
  <c r="H43" i="17" s="1"/>
  <c r="I91" i="15" s="1"/>
  <c r="B75" i="14" s="1"/>
  <c r="G49" i="17"/>
  <c r="H49" i="17" s="1"/>
  <c r="I97" i="15" s="1"/>
  <c r="B81" i="14" s="1"/>
  <c r="G29" i="17"/>
  <c r="H29" i="17" s="1"/>
  <c r="I77" i="15" s="1"/>
  <c r="B61" i="14" s="1"/>
  <c r="C106" i="6"/>
  <c r="B51" i="15" s="1"/>
  <c r="G23" i="17"/>
  <c r="H23" i="17" s="1"/>
  <c r="I71" i="15" s="1"/>
  <c r="B55" i="14" s="1"/>
  <c r="G42" i="17"/>
  <c r="H42" i="17" s="1"/>
  <c r="I90" i="15" s="1"/>
  <c r="B74" i="14" s="1"/>
  <c r="G37" i="17"/>
  <c r="H37" i="17" s="1"/>
  <c r="I85" i="15" s="1"/>
  <c r="B69" i="14" s="1"/>
  <c r="G41" i="17"/>
  <c r="H41" i="17" s="1"/>
  <c r="I89" i="15" s="1"/>
  <c r="B73" i="14" s="1"/>
  <c r="G56" i="17"/>
  <c r="H56" i="17" s="1"/>
  <c r="I104" i="15" s="1"/>
  <c r="G39" i="17"/>
  <c r="H39" i="17" s="1"/>
  <c r="I87" i="15" s="1"/>
  <c r="B71" i="14" s="1"/>
  <c r="G22" i="17"/>
  <c r="H22" i="17" s="1"/>
  <c r="I70" i="15" s="1"/>
  <c r="B54" i="14" s="1"/>
  <c r="G46" i="17"/>
  <c r="H46" i="17" s="1"/>
  <c r="I94" i="15" s="1"/>
  <c r="G24" i="17"/>
  <c r="H24" i="17" s="1"/>
  <c r="I72" i="15" s="1"/>
  <c r="G53" i="17"/>
  <c r="H53" i="17" s="1"/>
  <c r="I101" i="15" s="1"/>
  <c r="B85" i="14" s="1"/>
  <c r="B65" i="14"/>
  <c r="I102" i="15"/>
  <c r="B80" i="14"/>
  <c r="I107" i="15"/>
  <c r="B91" i="14" s="1"/>
  <c r="I106" i="15"/>
  <c r="B90" i="14" s="1"/>
  <c r="J90" i="14" l="1"/>
  <c r="P90" i="14"/>
  <c r="S90" i="14"/>
  <c r="F90" i="14"/>
  <c r="H90" i="14"/>
  <c r="V90" i="14"/>
  <c r="L90" i="14"/>
  <c r="K90" i="14"/>
  <c r="D90" i="14"/>
  <c r="Q90" i="14"/>
  <c r="M90" i="14"/>
  <c r="E90" i="14"/>
  <c r="N90" i="14"/>
  <c r="R90" i="14"/>
  <c r="G90" i="14"/>
  <c r="W90" i="14"/>
  <c r="C90" i="14"/>
  <c r="I90" i="14"/>
  <c r="T90" i="14"/>
  <c r="U90" i="14"/>
  <c r="O90" i="14"/>
  <c r="J91" i="14"/>
  <c r="W91" i="14"/>
  <c r="B164" i="14" s="1"/>
  <c r="I91" i="14"/>
  <c r="O91" i="14"/>
  <c r="N91" i="14"/>
  <c r="F91" i="14"/>
  <c r="R91" i="14"/>
  <c r="Q91" i="14"/>
  <c r="M91" i="14"/>
  <c r="H91" i="14"/>
  <c r="K91" i="14"/>
  <c r="G91" i="14"/>
  <c r="D91" i="14"/>
  <c r="U91" i="14"/>
  <c r="V91" i="14"/>
  <c r="C91" i="14"/>
  <c r="T91" i="14"/>
  <c r="P91" i="14"/>
  <c r="L91" i="14"/>
  <c r="S91" i="14"/>
  <c r="E91" i="14"/>
  <c r="E116" i="6"/>
  <c r="E122" i="6" s="1"/>
  <c r="C15" i="34"/>
  <c r="C8" i="119"/>
  <c r="I114" i="15"/>
  <c r="I116" i="15"/>
  <c r="I117" i="15" s="1"/>
  <c r="O48" i="119" s="1"/>
  <c r="E160" i="119" s="1"/>
  <c r="B88" i="14"/>
  <c r="J51" i="14"/>
  <c r="C51" i="14"/>
  <c r="E51" i="14"/>
  <c r="K51" i="14"/>
  <c r="P51" i="14"/>
  <c r="N51" i="14"/>
  <c r="M51" i="14"/>
  <c r="R51" i="14"/>
  <c r="D51" i="14"/>
  <c r="L51" i="14"/>
  <c r="W51" i="14"/>
  <c r="O51" i="14"/>
  <c r="F51" i="14"/>
  <c r="V51" i="14"/>
  <c r="U51" i="14"/>
  <c r="I51" i="14"/>
  <c r="T51" i="14"/>
  <c r="Q51" i="14"/>
  <c r="G51" i="14"/>
  <c r="H51" i="14"/>
  <c r="S51" i="14"/>
  <c r="H63" i="14"/>
  <c r="T63" i="14"/>
  <c r="F63" i="14"/>
  <c r="P63" i="14"/>
  <c r="G63" i="14"/>
  <c r="J63" i="14"/>
  <c r="D63" i="14"/>
  <c r="M63" i="14"/>
  <c r="I63" i="14"/>
  <c r="V63" i="14"/>
  <c r="C63" i="14"/>
  <c r="K63" i="14"/>
  <c r="Q63" i="14"/>
  <c r="L63" i="14"/>
  <c r="O63" i="14"/>
  <c r="E63" i="14"/>
  <c r="U63" i="14"/>
  <c r="W63" i="14"/>
  <c r="N63" i="14"/>
  <c r="S63" i="14"/>
  <c r="R63" i="14"/>
  <c r="J62" i="14"/>
  <c r="S62" i="14"/>
  <c r="I62" i="14"/>
  <c r="H62" i="14"/>
  <c r="D62" i="14"/>
  <c r="F62" i="14"/>
  <c r="K62" i="14"/>
  <c r="E62" i="14"/>
  <c r="W62" i="14"/>
  <c r="G62" i="14"/>
  <c r="U62" i="14"/>
  <c r="N62" i="14"/>
  <c r="R62" i="14"/>
  <c r="O62" i="14"/>
  <c r="Q62" i="14"/>
  <c r="C62" i="14"/>
  <c r="V62" i="14"/>
  <c r="T62" i="14"/>
  <c r="P62" i="14"/>
  <c r="L62" i="14"/>
  <c r="M62" i="14"/>
  <c r="D61" i="14"/>
  <c r="J61" i="14"/>
  <c r="U61" i="14"/>
  <c r="C61" i="14"/>
  <c r="T61" i="14"/>
  <c r="O61" i="14"/>
  <c r="L61" i="14"/>
  <c r="N61" i="14"/>
  <c r="M61" i="14"/>
  <c r="W61" i="14"/>
  <c r="I61" i="14"/>
  <c r="H61" i="14"/>
  <c r="E61" i="14"/>
  <c r="G61" i="14"/>
  <c r="K61" i="14"/>
  <c r="Q61" i="14"/>
  <c r="S61" i="14"/>
  <c r="R61" i="14"/>
  <c r="V61" i="14"/>
  <c r="F61" i="14"/>
  <c r="P61" i="14"/>
  <c r="I115" i="15"/>
  <c r="Q57" i="14"/>
  <c r="E57" i="14"/>
  <c r="H57" i="14"/>
  <c r="N57" i="14"/>
  <c r="P57" i="14"/>
  <c r="W57" i="14"/>
  <c r="L57" i="14"/>
  <c r="D57" i="14"/>
  <c r="O57" i="14"/>
  <c r="V57" i="14"/>
  <c r="C57" i="14"/>
  <c r="S57" i="14"/>
  <c r="M57" i="14"/>
  <c r="I57" i="14"/>
  <c r="F57" i="14"/>
  <c r="J57" i="14"/>
  <c r="U57" i="14"/>
  <c r="G57" i="14"/>
  <c r="T57" i="14"/>
  <c r="R57" i="14"/>
  <c r="K57" i="14"/>
  <c r="D66" i="14"/>
  <c r="I66" i="14"/>
  <c r="R66" i="14"/>
  <c r="S66" i="14"/>
  <c r="F66" i="14"/>
  <c r="Q66" i="14"/>
  <c r="K66" i="14"/>
  <c r="V66" i="14"/>
  <c r="U66" i="14"/>
  <c r="G66" i="14"/>
  <c r="J66" i="14"/>
  <c r="O66" i="14"/>
  <c r="W66" i="14"/>
  <c r="L66" i="14"/>
  <c r="T66" i="14"/>
  <c r="C66" i="14"/>
  <c r="H66" i="14"/>
  <c r="N66" i="14"/>
  <c r="M66" i="14"/>
  <c r="P66" i="14"/>
  <c r="E66" i="14"/>
  <c r="I55" i="14"/>
  <c r="N55" i="14"/>
  <c r="L55" i="14"/>
  <c r="H55" i="14"/>
  <c r="Q55" i="14"/>
  <c r="R55" i="14"/>
  <c r="C55" i="14"/>
  <c r="D55" i="14"/>
  <c r="E55" i="14"/>
  <c r="T55" i="14"/>
  <c r="G55" i="14"/>
  <c r="S55" i="14"/>
  <c r="O55" i="14"/>
  <c r="P55" i="14"/>
  <c r="M55" i="14"/>
  <c r="U55" i="14"/>
  <c r="K55" i="14"/>
  <c r="F55" i="14"/>
  <c r="J55" i="14"/>
  <c r="W55" i="14"/>
  <c r="V55" i="14"/>
  <c r="E83" i="14"/>
  <c r="H83" i="14"/>
  <c r="P83" i="14"/>
  <c r="R83" i="14"/>
  <c r="K83" i="14"/>
  <c r="C83" i="14"/>
  <c r="L83" i="14"/>
  <c r="W83" i="14"/>
  <c r="F83" i="14"/>
  <c r="J83" i="14"/>
  <c r="D83" i="14"/>
  <c r="I83" i="14"/>
  <c r="S83" i="14"/>
  <c r="M83" i="14"/>
  <c r="G83" i="14"/>
  <c r="O83" i="14"/>
  <c r="T83" i="14"/>
  <c r="U83" i="14"/>
  <c r="Q83" i="14"/>
  <c r="N83" i="14"/>
  <c r="V83" i="14"/>
  <c r="K74" i="14"/>
  <c r="L74" i="14"/>
  <c r="R74" i="14"/>
  <c r="D74" i="14"/>
  <c r="C74" i="14"/>
  <c r="O74" i="14"/>
  <c r="V74" i="14"/>
  <c r="N74" i="14"/>
  <c r="W74" i="14"/>
  <c r="G74" i="14"/>
  <c r="P74" i="14"/>
  <c r="S74" i="14"/>
  <c r="U74" i="14"/>
  <c r="Q74" i="14"/>
  <c r="J74" i="14"/>
  <c r="M74" i="14"/>
  <c r="F74" i="14"/>
  <c r="H74" i="14"/>
  <c r="E74" i="14"/>
  <c r="I74" i="14"/>
  <c r="T74" i="14"/>
  <c r="S52" i="14"/>
  <c r="I52" i="14"/>
  <c r="F52" i="14"/>
  <c r="E52" i="14"/>
  <c r="H52" i="14"/>
  <c r="J52" i="14"/>
  <c r="Q52" i="14"/>
  <c r="P52" i="14"/>
  <c r="V52" i="14"/>
  <c r="N52" i="14"/>
  <c r="K52" i="14"/>
  <c r="T52" i="14"/>
  <c r="O52" i="14"/>
  <c r="L52" i="14"/>
  <c r="U52" i="14"/>
  <c r="W52" i="14"/>
  <c r="C52" i="14"/>
  <c r="D52" i="14"/>
  <c r="G52" i="14"/>
  <c r="M52" i="14"/>
  <c r="R52" i="14"/>
  <c r="J85" i="14"/>
  <c r="K85" i="14"/>
  <c r="P85" i="14"/>
  <c r="N85" i="14"/>
  <c r="H85" i="14"/>
  <c r="L85" i="14"/>
  <c r="T85" i="14"/>
  <c r="M85" i="14"/>
  <c r="U85" i="14"/>
  <c r="F85" i="14"/>
  <c r="I85" i="14"/>
  <c r="Q85" i="14"/>
  <c r="O85" i="14"/>
  <c r="D85" i="14"/>
  <c r="W85" i="14"/>
  <c r="E85" i="14"/>
  <c r="R85" i="14"/>
  <c r="C85" i="14"/>
  <c r="G85" i="14"/>
  <c r="V85" i="14"/>
  <c r="S85" i="14"/>
  <c r="B76" i="14"/>
  <c r="I8" i="119"/>
  <c r="C94" i="119" s="1"/>
  <c r="D94" i="119" s="1"/>
  <c r="D127" i="119" s="1"/>
  <c r="C93" i="119"/>
  <c r="D93" i="119" s="1"/>
  <c r="H8" i="119"/>
  <c r="H199" i="119"/>
  <c r="C198" i="119" s="1"/>
  <c r="O87" i="14"/>
  <c r="H87" i="14"/>
  <c r="Q87" i="14"/>
  <c r="S87" i="14"/>
  <c r="L87" i="14"/>
  <c r="J87" i="14"/>
  <c r="W87" i="14"/>
  <c r="C87" i="14"/>
  <c r="P87" i="14"/>
  <c r="F87" i="14"/>
  <c r="D87" i="14"/>
  <c r="K87" i="14"/>
  <c r="I87" i="14"/>
  <c r="U87" i="14"/>
  <c r="T87" i="14"/>
  <c r="G87" i="14"/>
  <c r="M87" i="14"/>
  <c r="V87" i="14"/>
  <c r="E87" i="14"/>
  <c r="R87" i="14"/>
  <c r="N87" i="14"/>
  <c r="M64" i="14"/>
  <c r="W64" i="14"/>
  <c r="U64" i="14"/>
  <c r="S64" i="14"/>
  <c r="Q64" i="14"/>
  <c r="C64" i="14"/>
  <c r="V64" i="14"/>
  <c r="L64" i="14"/>
  <c r="N64" i="14"/>
  <c r="O64" i="14"/>
  <c r="T64" i="14"/>
  <c r="H64" i="14"/>
  <c r="D64" i="14"/>
  <c r="J64" i="14"/>
  <c r="F64" i="14"/>
  <c r="E64" i="14"/>
  <c r="R64" i="14"/>
  <c r="K64" i="14"/>
  <c r="I64" i="14"/>
  <c r="G64" i="14"/>
  <c r="P64" i="14"/>
  <c r="B84" i="14"/>
  <c r="B56" i="14"/>
  <c r="P82" i="14"/>
  <c r="J82" i="14"/>
  <c r="N82" i="14"/>
  <c r="O82" i="14"/>
  <c r="U82" i="14"/>
  <c r="M82" i="14"/>
  <c r="H82" i="14"/>
  <c r="L82" i="14"/>
  <c r="F82" i="14"/>
  <c r="Q82" i="14"/>
  <c r="C82" i="14"/>
  <c r="S82" i="14"/>
  <c r="W82" i="14"/>
  <c r="D82" i="14"/>
  <c r="R82" i="14"/>
  <c r="T82" i="14"/>
  <c r="G82" i="14"/>
  <c r="I82" i="14"/>
  <c r="E82" i="14"/>
  <c r="V82" i="14"/>
  <c r="K82" i="14"/>
  <c r="B78" i="14"/>
  <c r="N73" i="14"/>
  <c r="Q73" i="14"/>
  <c r="U73" i="14"/>
  <c r="T73" i="14"/>
  <c r="D73" i="14"/>
  <c r="S73" i="14"/>
  <c r="L73" i="14"/>
  <c r="M73" i="14"/>
  <c r="C73" i="14"/>
  <c r="R73" i="14"/>
  <c r="J73" i="14"/>
  <c r="I73" i="14"/>
  <c r="P73" i="14"/>
  <c r="K73" i="14"/>
  <c r="F73" i="14"/>
  <c r="E73" i="14"/>
  <c r="G73" i="14"/>
  <c r="V73" i="14"/>
  <c r="W73" i="14"/>
  <c r="H73" i="14"/>
  <c r="O73" i="14"/>
  <c r="C9" i="119"/>
  <c r="B56" i="15"/>
  <c r="W81" i="14"/>
  <c r="I81" i="14"/>
  <c r="S81" i="14"/>
  <c r="E81" i="14"/>
  <c r="R81" i="14"/>
  <c r="H81" i="14"/>
  <c r="L81" i="14"/>
  <c r="G81" i="14"/>
  <c r="V81" i="14"/>
  <c r="K81" i="14"/>
  <c r="O81" i="14"/>
  <c r="M81" i="14"/>
  <c r="F81" i="14"/>
  <c r="N81" i="14"/>
  <c r="D81" i="14"/>
  <c r="Q81" i="14"/>
  <c r="T81" i="14"/>
  <c r="C81" i="14"/>
  <c r="P81" i="14"/>
  <c r="J81" i="14"/>
  <c r="U81" i="14"/>
  <c r="B89" i="14"/>
  <c r="T80" i="14"/>
  <c r="U80" i="14"/>
  <c r="M80" i="14"/>
  <c r="I80" i="14"/>
  <c r="D80" i="14"/>
  <c r="Q80" i="14"/>
  <c r="S80" i="14"/>
  <c r="N80" i="14"/>
  <c r="P80" i="14"/>
  <c r="E80" i="14"/>
  <c r="W80" i="14"/>
  <c r="G80" i="14"/>
  <c r="K80" i="14"/>
  <c r="F80" i="14"/>
  <c r="V80" i="14"/>
  <c r="C80" i="14"/>
  <c r="R80" i="14"/>
  <c r="J80" i="14"/>
  <c r="H80" i="14"/>
  <c r="L80" i="14"/>
  <c r="O80" i="14"/>
  <c r="L53" i="14"/>
  <c r="V53" i="14"/>
  <c r="F53" i="14"/>
  <c r="P53" i="14"/>
  <c r="D53" i="14"/>
  <c r="M53" i="14"/>
  <c r="G53" i="14"/>
  <c r="U53" i="14"/>
  <c r="R53" i="14"/>
  <c r="K53" i="14"/>
  <c r="T53" i="14"/>
  <c r="N53" i="14"/>
  <c r="I53" i="14"/>
  <c r="O53" i="14"/>
  <c r="Q53" i="14"/>
  <c r="W53" i="14"/>
  <c r="C53" i="14"/>
  <c r="E53" i="14"/>
  <c r="H53" i="14"/>
  <c r="J53" i="14"/>
  <c r="S53" i="14"/>
  <c r="B86" i="14"/>
  <c r="B58" i="14"/>
  <c r="H65" i="15"/>
  <c r="G65" i="15"/>
  <c r="B53" i="15"/>
  <c r="B55" i="15" s="1"/>
  <c r="L105" i="15" s="1"/>
  <c r="B54" i="15"/>
  <c r="M105" i="15" s="1"/>
  <c r="P68" i="14"/>
  <c r="H68" i="14"/>
  <c r="R68" i="14"/>
  <c r="L68" i="14"/>
  <c r="O68" i="14"/>
  <c r="K68" i="14"/>
  <c r="M68" i="14"/>
  <c r="F68" i="14"/>
  <c r="E68" i="14"/>
  <c r="G68" i="14"/>
  <c r="W68" i="14"/>
  <c r="U68" i="14"/>
  <c r="C68" i="14"/>
  <c r="N68" i="14"/>
  <c r="V68" i="14"/>
  <c r="Q68" i="14"/>
  <c r="J68" i="14"/>
  <c r="T68" i="14"/>
  <c r="I68" i="14"/>
  <c r="S68" i="14"/>
  <c r="D68" i="14"/>
  <c r="L75" i="14"/>
  <c r="J75" i="14"/>
  <c r="V75" i="14"/>
  <c r="M75" i="14"/>
  <c r="K75" i="14"/>
  <c r="E75" i="14"/>
  <c r="H75" i="14"/>
  <c r="P75" i="14"/>
  <c r="F75" i="14"/>
  <c r="T75" i="14"/>
  <c r="R75" i="14"/>
  <c r="D75" i="14"/>
  <c r="S75" i="14"/>
  <c r="N75" i="14"/>
  <c r="C75" i="14"/>
  <c r="U75" i="14"/>
  <c r="G75" i="14"/>
  <c r="I75" i="14"/>
  <c r="Q75" i="14"/>
  <c r="O75" i="14"/>
  <c r="W75" i="14"/>
  <c r="O79" i="14"/>
  <c r="M79" i="14"/>
  <c r="C79" i="14"/>
  <c r="L79" i="14"/>
  <c r="V79" i="14"/>
  <c r="F79" i="14"/>
  <c r="H79" i="14"/>
  <c r="I79" i="14"/>
  <c r="J79" i="14"/>
  <c r="G79" i="14"/>
  <c r="T79" i="14"/>
  <c r="R79" i="14"/>
  <c r="E79" i="14"/>
  <c r="S79" i="14"/>
  <c r="N79" i="14"/>
  <c r="K79" i="14"/>
  <c r="D79" i="14"/>
  <c r="U79" i="14"/>
  <c r="Q79" i="14"/>
  <c r="P79" i="14"/>
  <c r="W79" i="14"/>
  <c r="T77" i="14"/>
  <c r="F77" i="14"/>
  <c r="K77" i="14"/>
  <c r="W77" i="14"/>
  <c r="N77" i="14"/>
  <c r="E77" i="14"/>
  <c r="D77" i="14"/>
  <c r="J77" i="14"/>
  <c r="U77" i="14"/>
  <c r="L77" i="14"/>
  <c r="C77" i="14"/>
  <c r="M77" i="14"/>
  <c r="H77" i="14"/>
  <c r="V77" i="14"/>
  <c r="R77" i="14"/>
  <c r="I77" i="14"/>
  <c r="S77" i="14"/>
  <c r="Q77" i="14"/>
  <c r="P77" i="14"/>
  <c r="G77" i="14"/>
  <c r="O77" i="14"/>
  <c r="B70" i="14"/>
  <c r="F60" i="14"/>
  <c r="E60" i="14"/>
  <c r="M60" i="14"/>
  <c r="S60" i="14"/>
  <c r="P60" i="14"/>
  <c r="K60" i="14"/>
  <c r="I60" i="14"/>
  <c r="J60" i="14"/>
  <c r="N60" i="14"/>
  <c r="R60" i="14"/>
  <c r="U60" i="14"/>
  <c r="L60" i="14"/>
  <c r="C60" i="14"/>
  <c r="W60" i="14"/>
  <c r="T60" i="14"/>
  <c r="D60" i="14"/>
  <c r="O60" i="14"/>
  <c r="Q60" i="14"/>
  <c r="H60" i="14"/>
  <c r="G60" i="14"/>
  <c r="V60" i="14"/>
  <c r="Q71" i="14"/>
  <c r="J71" i="14"/>
  <c r="D71" i="14"/>
  <c r="T71" i="14"/>
  <c r="I71" i="14"/>
  <c r="G71" i="14"/>
  <c r="F71" i="14"/>
  <c r="N71" i="14"/>
  <c r="P71" i="14"/>
  <c r="R71" i="14"/>
  <c r="M71" i="14"/>
  <c r="O71" i="14"/>
  <c r="H71" i="14"/>
  <c r="S71" i="14"/>
  <c r="C71" i="14"/>
  <c r="E71" i="14"/>
  <c r="V71" i="14"/>
  <c r="W71" i="14"/>
  <c r="L71" i="14"/>
  <c r="K71" i="14"/>
  <c r="U71" i="14"/>
  <c r="O69" i="14"/>
  <c r="V69" i="14"/>
  <c r="J69" i="14"/>
  <c r="E69" i="14"/>
  <c r="S69" i="14"/>
  <c r="U69" i="14"/>
  <c r="K69" i="14"/>
  <c r="M69" i="14"/>
  <c r="N69" i="14"/>
  <c r="G69" i="14"/>
  <c r="T69" i="14"/>
  <c r="L69" i="14"/>
  <c r="W69" i="14"/>
  <c r="D69" i="14"/>
  <c r="H69" i="14"/>
  <c r="F69" i="14"/>
  <c r="C69" i="14"/>
  <c r="P69" i="14"/>
  <c r="Q69" i="14"/>
  <c r="R69" i="14"/>
  <c r="I69" i="14"/>
  <c r="B72" i="14"/>
  <c r="G67" i="14"/>
  <c r="O67" i="14"/>
  <c r="J67" i="14"/>
  <c r="H67" i="14"/>
  <c r="F67" i="14"/>
  <c r="L67" i="14"/>
  <c r="M67" i="14"/>
  <c r="Q67" i="14"/>
  <c r="V67" i="14"/>
  <c r="I67" i="14"/>
  <c r="P67" i="14"/>
  <c r="E67" i="14"/>
  <c r="C67" i="14"/>
  <c r="K67" i="14"/>
  <c r="T67" i="14"/>
  <c r="W67" i="14"/>
  <c r="S67" i="14"/>
  <c r="U67" i="14"/>
  <c r="D67" i="14"/>
  <c r="R67" i="14"/>
  <c r="N67" i="14"/>
  <c r="E59" i="14"/>
  <c r="D59" i="14"/>
  <c r="Q59" i="14"/>
  <c r="I59" i="14"/>
  <c r="K59" i="14"/>
  <c r="T59" i="14"/>
  <c r="L59" i="14"/>
  <c r="W59" i="14"/>
  <c r="V59" i="14"/>
  <c r="U59" i="14"/>
  <c r="R59" i="14"/>
  <c r="P59" i="14"/>
  <c r="H59" i="14"/>
  <c r="S59" i="14"/>
  <c r="G59" i="14"/>
  <c r="O59" i="14"/>
  <c r="F59" i="14"/>
  <c r="J59" i="14"/>
  <c r="M59" i="14"/>
  <c r="N59" i="14"/>
  <c r="C59" i="14"/>
  <c r="P65" i="14"/>
  <c r="W65" i="14"/>
  <c r="R65" i="14"/>
  <c r="D65" i="14"/>
  <c r="E65" i="14"/>
  <c r="U65" i="14"/>
  <c r="J65" i="14"/>
  <c r="V65" i="14"/>
  <c r="H65" i="14"/>
  <c r="C65" i="14"/>
  <c r="S65" i="14"/>
  <c r="F65" i="14"/>
  <c r="Q65" i="14"/>
  <c r="I65" i="14"/>
  <c r="L65" i="14"/>
  <c r="O65" i="14"/>
  <c r="N65" i="14"/>
  <c r="M65" i="14"/>
  <c r="T65" i="14"/>
  <c r="G65" i="14"/>
  <c r="K65" i="14"/>
  <c r="M54" i="14"/>
  <c r="I54" i="14"/>
  <c r="N54" i="14"/>
  <c r="D54" i="14"/>
  <c r="K54" i="14"/>
  <c r="P54" i="14"/>
  <c r="U54" i="14"/>
  <c r="V54" i="14"/>
  <c r="R54" i="14"/>
  <c r="H54" i="14"/>
  <c r="L54" i="14"/>
  <c r="G54" i="14"/>
  <c r="O54" i="14"/>
  <c r="Q54" i="14"/>
  <c r="T54" i="14"/>
  <c r="C54" i="14"/>
  <c r="S54" i="14"/>
  <c r="W54" i="14"/>
  <c r="F54" i="14"/>
  <c r="J54" i="14"/>
  <c r="E54" i="14"/>
  <c r="B163" i="14" l="1"/>
  <c r="X91" i="14"/>
  <c r="X90" i="14"/>
  <c r="X71" i="14"/>
  <c r="I199" i="119"/>
  <c r="H9" i="119"/>
  <c r="C96" i="119"/>
  <c r="D96" i="119" s="1"/>
  <c r="I9" i="119"/>
  <c r="C97" i="119" s="1"/>
  <c r="D97" i="119" s="1"/>
  <c r="X59" i="14"/>
  <c r="X69" i="14"/>
  <c r="X77" i="14"/>
  <c r="N58" i="14"/>
  <c r="G58" i="14"/>
  <c r="D58" i="14"/>
  <c r="M58" i="14"/>
  <c r="P58" i="14"/>
  <c r="E58" i="14"/>
  <c r="R58" i="14"/>
  <c r="L58" i="14"/>
  <c r="K58" i="14"/>
  <c r="C58" i="14"/>
  <c r="O58" i="14"/>
  <c r="I58" i="14"/>
  <c r="V58" i="14"/>
  <c r="W58" i="14"/>
  <c r="U58" i="14"/>
  <c r="T58" i="14"/>
  <c r="J58" i="14"/>
  <c r="S58" i="14"/>
  <c r="Q58" i="14"/>
  <c r="H58" i="14"/>
  <c r="F58" i="14"/>
  <c r="X53" i="14"/>
  <c r="R89" i="14"/>
  <c r="K89" i="14"/>
  <c r="J89" i="14"/>
  <c r="V89" i="14"/>
  <c r="L89" i="14"/>
  <c r="C89" i="14"/>
  <c r="U89" i="14"/>
  <c r="D89" i="14"/>
  <c r="M89" i="14"/>
  <c r="G89" i="14"/>
  <c r="O89" i="14"/>
  <c r="E89" i="14"/>
  <c r="W89" i="14"/>
  <c r="B162" i="14" s="1"/>
  <c r="F89" i="14"/>
  <c r="N89" i="14"/>
  <c r="Q89" i="14"/>
  <c r="T89" i="14"/>
  <c r="H89" i="14"/>
  <c r="I89" i="14"/>
  <c r="S89" i="14"/>
  <c r="P89" i="14"/>
  <c r="X61" i="14"/>
  <c r="X82" i="14"/>
  <c r="G84" i="14"/>
  <c r="K84" i="14"/>
  <c r="P84" i="14"/>
  <c r="F84" i="14"/>
  <c r="T84" i="14"/>
  <c r="C84" i="14"/>
  <c r="O84" i="14"/>
  <c r="H84" i="14"/>
  <c r="I84" i="14"/>
  <c r="M84" i="14"/>
  <c r="U84" i="14"/>
  <c r="Q84" i="14"/>
  <c r="N84" i="14"/>
  <c r="D84" i="14"/>
  <c r="V84" i="14"/>
  <c r="W84" i="14"/>
  <c r="S84" i="14"/>
  <c r="L84" i="14"/>
  <c r="R84" i="14"/>
  <c r="J84" i="14"/>
  <c r="E84" i="14"/>
  <c r="X64" i="14"/>
  <c r="X83" i="14"/>
  <c r="X66" i="14"/>
  <c r="X62" i="14"/>
  <c r="X51" i="14"/>
  <c r="M116" i="15"/>
  <c r="M117" i="15" s="1"/>
  <c r="R48" i="119" s="1"/>
  <c r="E163" i="119" s="1"/>
  <c r="M115" i="15"/>
  <c r="B120" i="15" s="1"/>
  <c r="M114" i="15"/>
  <c r="V76" i="14"/>
  <c r="L76" i="14"/>
  <c r="Q76" i="14"/>
  <c r="W76" i="14"/>
  <c r="T76" i="14"/>
  <c r="I76" i="14"/>
  <c r="F76" i="14"/>
  <c r="H76" i="14"/>
  <c r="E76" i="14"/>
  <c r="P76" i="14"/>
  <c r="U76" i="14"/>
  <c r="C76" i="14"/>
  <c r="M76" i="14"/>
  <c r="J76" i="14"/>
  <c r="K76" i="14"/>
  <c r="N76" i="14"/>
  <c r="R76" i="14"/>
  <c r="S76" i="14"/>
  <c r="G76" i="14"/>
  <c r="O76" i="14"/>
  <c r="D76" i="14"/>
  <c r="X54" i="14"/>
  <c r="P72" i="14"/>
  <c r="H72" i="14"/>
  <c r="E72" i="14"/>
  <c r="W72" i="14"/>
  <c r="M72" i="14"/>
  <c r="S72" i="14"/>
  <c r="R72" i="14"/>
  <c r="D72" i="14"/>
  <c r="G72" i="14"/>
  <c r="U72" i="14"/>
  <c r="F72" i="14"/>
  <c r="K72" i="14"/>
  <c r="V72" i="14"/>
  <c r="I72" i="14"/>
  <c r="T72" i="14"/>
  <c r="N72" i="14"/>
  <c r="Q72" i="14"/>
  <c r="O72" i="14"/>
  <c r="J72" i="14"/>
  <c r="L72" i="14"/>
  <c r="C72" i="14"/>
  <c r="L116" i="15"/>
  <c r="L115" i="15"/>
  <c r="L114" i="15"/>
  <c r="H86" i="14"/>
  <c r="O86" i="14"/>
  <c r="M86" i="14"/>
  <c r="W86" i="14"/>
  <c r="I86" i="14"/>
  <c r="F86" i="14"/>
  <c r="V86" i="14"/>
  <c r="C86" i="14"/>
  <c r="T86" i="14"/>
  <c r="U86" i="14"/>
  <c r="L86" i="14"/>
  <c r="E86" i="14"/>
  <c r="P86" i="14"/>
  <c r="R86" i="14"/>
  <c r="J86" i="14"/>
  <c r="K86" i="14"/>
  <c r="G86" i="14"/>
  <c r="N86" i="14"/>
  <c r="S86" i="14"/>
  <c r="D86" i="14"/>
  <c r="Q86" i="14"/>
  <c r="X57" i="14"/>
  <c r="X63" i="14"/>
  <c r="C14" i="13"/>
  <c r="G114" i="15"/>
  <c r="B44" i="14"/>
  <c r="B50" i="14" s="1"/>
  <c r="G115" i="15"/>
  <c r="G116" i="15"/>
  <c r="X81" i="14"/>
  <c r="X73" i="14"/>
  <c r="X87" i="14"/>
  <c r="W34" i="119"/>
  <c r="W17" i="119"/>
  <c r="W20" i="119"/>
  <c r="W25" i="119"/>
  <c r="W28" i="119"/>
  <c r="W15" i="119"/>
  <c r="W33" i="119"/>
  <c r="W21" i="119"/>
  <c r="F204" i="119"/>
  <c r="F208" i="119"/>
  <c r="E205" i="119"/>
  <c r="E209" i="119"/>
  <c r="W22" i="119"/>
  <c r="W23" i="119"/>
  <c r="W18" i="119"/>
  <c r="W29" i="119"/>
  <c r="F205" i="119"/>
  <c r="E203" i="119"/>
  <c r="E207" i="119"/>
  <c r="F203" i="119"/>
  <c r="F207" i="119"/>
  <c r="E204" i="119"/>
  <c r="E208" i="119"/>
  <c r="W31" i="119"/>
  <c r="W26" i="119"/>
  <c r="W16" i="119"/>
  <c r="W19" i="119"/>
  <c r="E202" i="119"/>
  <c r="E206" i="119"/>
  <c r="W30" i="119"/>
  <c r="W24" i="119"/>
  <c r="W27" i="119"/>
  <c r="F202" i="119"/>
  <c r="F206" i="119"/>
  <c r="W14" i="119"/>
  <c r="W32" i="119"/>
  <c r="F209" i="119"/>
  <c r="G209" i="119" s="1"/>
  <c r="E210" i="119"/>
  <c r="F210" i="119"/>
  <c r="E211" i="119"/>
  <c r="F211" i="119"/>
  <c r="E212" i="119"/>
  <c r="F212" i="119"/>
  <c r="E213" i="119"/>
  <c r="F213" i="119"/>
  <c r="E214" i="119"/>
  <c r="F214" i="119"/>
  <c r="E215" i="119"/>
  <c r="F215" i="119"/>
  <c r="E216" i="119"/>
  <c r="F216" i="119"/>
  <c r="E217" i="119"/>
  <c r="F217" i="119"/>
  <c r="E218" i="119"/>
  <c r="F218" i="119"/>
  <c r="E219" i="119"/>
  <c r="F219" i="119"/>
  <c r="F222" i="119"/>
  <c r="G222" i="119" s="1"/>
  <c r="E220" i="119"/>
  <c r="F220" i="119"/>
  <c r="E221" i="119"/>
  <c r="F221" i="119"/>
  <c r="X52" i="14"/>
  <c r="X67" i="14"/>
  <c r="P70" i="14"/>
  <c r="E70" i="14"/>
  <c r="F70" i="14"/>
  <c r="C70" i="14"/>
  <c r="S70" i="14"/>
  <c r="G70" i="14"/>
  <c r="N70" i="14"/>
  <c r="J70" i="14"/>
  <c r="B125" i="14" s="1"/>
  <c r="U93" i="15" s="1"/>
  <c r="R70" i="14"/>
  <c r="I70" i="14"/>
  <c r="T70" i="14"/>
  <c r="O70" i="14"/>
  <c r="U70" i="14"/>
  <c r="Q70" i="14"/>
  <c r="L70" i="14"/>
  <c r="H70" i="14"/>
  <c r="D70" i="14"/>
  <c r="V70" i="14"/>
  <c r="W70" i="14"/>
  <c r="K70" i="14"/>
  <c r="M70" i="14"/>
  <c r="X79" i="14"/>
  <c r="X68" i="14"/>
  <c r="H114" i="15"/>
  <c r="H115" i="15"/>
  <c r="H116" i="15"/>
  <c r="C92" i="119"/>
  <c r="D92" i="119" s="1"/>
  <c r="D125" i="119" s="1"/>
  <c r="L106" i="119"/>
  <c r="D103" i="119" s="1"/>
  <c r="X74" i="14"/>
  <c r="X55" i="14"/>
  <c r="L88" i="14"/>
  <c r="F88" i="14"/>
  <c r="Q88" i="14"/>
  <c r="T88" i="14"/>
  <c r="V88" i="14"/>
  <c r="E88" i="14"/>
  <c r="P88" i="14"/>
  <c r="W88" i="14"/>
  <c r="J88" i="14"/>
  <c r="M88" i="14"/>
  <c r="G88" i="14"/>
  <c r="D88" i="14"/>
  <c r="C88" i="14"/>
  <c r="O88" i="14"/>
  <c r="U88" i="14"/>
  <c r="H88" i="14"/>
  <c r="S88" i="14"/>
  <c r="N88" i="14"/>
  <c r="R88" i="14"/>
  <c r="I88" i="14"/>
  <c r="K88" i="14"/>
  <c r="X65" i="14"/>
  <c r="X60" i="14"/>
  <c r="X75" i="14"/>
  <c r="X80" i="14"/>
  <c r="N101" i="15"/>
  <c r="N92" i="15"/>
  <c r="N87" i="15"/>
  <c r="N96" i="15"/>
  <c r="N78" i="15"/>
  <c r="N69" i="15"/>
  <c r="N70" i="15"/>
  <c r="J70" i="15" s="1"/>
  <c r="N98" i="15"/>
  <c r="N93" i="15"/>
  <c r="N86" i="15"/>
  <c r="N74" i="15"/>
  <c r="N104" i="15"/>
  <c r="N95" i="15"/>
  <c r="N91" i="15"/>
  <c r="N80" i="15"/>
  <c r="N102" i="15"/>
  <c r="N89" i="15"/>
  <c r="N94" i="15"/>
  <c r="N83" i="15"/>
  <c r="N88" i="15"/>
  <c r="N97" i="15"/>
  <c r="N103" i="15"/>
  <c r="N81" i="15"/>
  <c r="N73" i="15"/>
  <c r="N82" i="15"/>
  <c r="N71" i="15"/>
  <c r="N90" i="15"/>
  <c r="N72" i="15"/>
  <c r="N84" i="15"/>
  <c r="N66" i="15"/>
  <c r="N67" i="15"/>
  <c r="J67" i="15" s="1"/>
  <c r="N77" i="15"/>
  <c r="N79" i="15"/>
  <c r="N75" i="15"/>
  <c r="N76" i="15"/>
  <c r="N85" i="15"/>
  <c r="N99" i="15"/>
  <c r="N100" i="15"/>
  <c r="N68" i="15"/>
  <c r="N105" i="15"/>
  <c r="T78" i="14"/>
  <c r="H78" i="14"/>
  <c r="C78" i="14"/>
  <c r="N78" i="14"/>
  <c r="S78" i="14"/>
  <c r="G78" i="14"/>
  <c r="U78" i="14"/>
  <c r="W78" i="14"/>
  <c r="Q78" i="14"/>
  <c r="L78" i="14"/>
  <c r="K78" i="14"/>
  <c r="J78" i="14"/>
  <c r="R78" i="14"/>
  <c r="O78" i="14"/>
  <c r="F78" i="14"/>
  <c r="I78" i="14"/>
  <c r="D78" i="14"/>
  <c r="P78" i="14"/>
  <c r="V78" i="14"/>
  <c r="M78" i="14"/>
  <c r="E78" i="14"/>
  <c r="L56" i="14"/>
  <c r="T56" i="14"/>
  <c r="C56" i="14"/>
  <c r="E56" i="14"/>
  <c r="M56" i="14"/>
  <c r="S56" i="14"/>
  <c r="B120" i="14" s="1"/>
  <c r="U88" i="15" s="1"/>
  <c r="V56" i="14"/>
  <c r="K56" i="14"/>
  <c r="F56" i="14"/>
  <c r="D56" i="14"/>
  <c r="R56" i="14"/>
  <c r="J56" i="14"/>
  <c r="U56" i="14"/>
  <c r="O56" i="14"/>
  <c r="P56" i="14"/>
  <c r="G56" i="14"/>
  <c r="I56" i="14"/>
  <c r="W56" i="14"/>
  <c r="Q56" i="14"/>
  <c r="N56" i="14"/>
  <c r="H56" i="14"/>
  <c r="X85" i="14"/>
  <c r="J68" i="15" l="1"/>
  <c r="G208" i="119"/>
  <c r="J81" i="15"/>
  <c r="G216" i="119"/>
  <c r="G212" i="119"/>
  <c r="B129" i="14"/>
  <c r="U97" i="15" s="1"/>
  <c r="G218" i="119"/>
  <c r="G214" i="119"/>
  <c r="G210" i="119"/>
  <c r="B124" i="14"/>
  <c r="U92" i="15" s="1"/>
  <c r="B122" i="14"/>
  <c r="U90" i="15" s="1"/>
  <c r="B139" i="14"/>
  <c r="C139" i="14" s="1"/>
  <c r="J94" i="15"/>
  <c r="B119" i="14"/>
  <c r="U87" i="15" s="1"/>
  <c r="B127" i="14"/>
  <c r="U95" i="15" s="1"/>
  <c r="B121" i="14"/>
  <c r="U89" i="15" s="1"/>
  <c r="J80" i="15"/>
  <c r="G204" i="119"/>
  <c r="J100" i="15"/>
  <c r="J91" i="15"/>
  <c r="B136" i="14"/>
  <c r="U104" i="15" s="1"/>
  <c r="B134" i="14"/>
  <c r="U102" i="15" s="1"/>
  <c r="G206" i="119"/>
  <c r="J84" i="15"/>
  <c r="J97" i="15"/>
  <c r="J95" i="15"/>
  <c r="G220" i="119"/>
  <c r="B123" i="14"/>
  <c r="U91" i="15" s="1"/>
  <c r="J72" i="15"/>
  <c r="B135" i="14"/>
  <c r="U103" i="15" s="1"/>
  <c r="G205" i="119"/>
  <c r="J76" i="15"/>
  <c r="J90" i="15"/>
  <c r="J83" i="15"/>
  <c r="J87" i="15"/>
  <c r="B147" i="14"/>
  <c r="B146" i="14"/>
  <c r="J103" i="15"/>
  <c r="B128" i="14"/>
  <c r="U96" i="15" s="1"/>
  <c r="J99" i="15"/>
  <c r="J78" i="15"/>
  <c r="B130" i="14"/>
  <c r="U98" i="15" s="1"/>
  <c r="B138" i="14"/>
  <c r="C138" i="14" s="1"/>
  <c r="B132" i="14"/>
  <c r="U100" i="15" s="1"/>
  <c r="J74" i="15"/>
  <c r="B137" i="14"/>
  <c r="B131" i="14"/>
  <c r="U99" i="15" s="1"/>
  <c r="B133" i="14"/>
  <c r="U101" i="15" s="1"/>
  <c r="X86" i="14"/>
  <c r="B159" i="14"/>
  <c r="B152" i="14"/>
  <c r="B157" i="14"/>
  <c r="X84" i="14"/>
  <c r="B156" i="14"/>
  <c r="B126" i="14"/>
  <c r="U94" i="15" s="1"/>
  <c r="J85" i="15"/>
  <c r="J88" i="15"/>
  <c r="J104" i="15"/>
  <c r="J96" i="15"/>
  <c r="G221" i="119"/>
  <c r="G217" i="119"/>
  <c r="G213" i="119"/>
  <c r="L118" i="15"/>
  <c r="M48" i="119" s="1"/>
  <c r="E157" i="119" s="1"/>
  <c r="B153" i="14"/>
  <c r="B160" i="14"/>
  <c r="D147" i="119"/>
  <c r="D132" i="119"/>
  <c r="J66" i="15"/>
  <c r="N115" i="15"/>
  <c r="B121" i="15" s="1"/>
  <c r="N114" i="15"/>
  <c r="N116" i="15"/>
  <c r="N117" i="15" s="1"/>
  <c r="S48" i="119" s="1"/>
  <c r="E164" i="119" s="1"/>
  <c r="J69" i="15"/>
  <c r="H117" i="15"/>
  <c r="X78" i="14"/>
  <c r="X88" i="14"/>
  <c r="G202" i="119"/>
  <c r="X72" i="14"/>
  <c r="X76" i="14"/>
  <c r="X89" i="14"/>
  <c r="G207" i="119"/>
  <c r="L50" i="14"/>
  <c r="B107" i="14" s="1"/>
  <c r="U75" i="15" s="1"/>
  <c r="D50" i="14"/>
  <c r="B99" i="14" s="1"/>
  <c r="U67" i="15" s="1"/>
  <c r="C50" i="14"/>
  <c r="S50" i="14"/>
  <c r="B114" i="14" s="1"/>
  <c r="U82" i="15" s="1"/>
  <c r="J50" i="14"/>
  <c r="B105" i="14" s="1"/>
  <c r="U73" i="15" s="1"/>
  <c r="M50" i="14"/>
  <c r="B108" i="14" s="1"/>
  <c r="U76" i="15" s="1"/>
  <c r="H50" i="14"/>
  <c r="B103" i="14" s="1"/>
  <c r="U71" i="15" s="1"/>
  <c r="Q50" i="14"/>
  <c r="B112" i="14" s="1"/>
  <c r="U80" i="15" s="1"/>
  <c r="N50" i="14"/>
  <c r="B109" i="14" s="1"/>
  <c r="U77" i="15" s="1"/>
  <c r="W50" i="14"/>
  <c r="B118" i="14" s="1"/>
  <c r="U86" i="15" s="1"/>
  <c r="P50" i="14"/>
  <c r="B111" i="14" s="1"/>
  <c r="U79" i="15" s="1"/>
  <c r="F50" i="14"/>
  <c r="B101" i="14" s="1"/>
  <c r="U69" i="15" s="1"/>
  <c r="E50" i="14"/>
  <c r="B100" i="14" s="1"/>
  <c r="U68" i="15" s="1"/>
  <c r="I50" i="14"/>
  <c r="B104" i="14" s="1"/>
  <c r="U72" i="15" s="1"/>
  <c r="K50" i="14"/>
  <c r="B106" i="14" s="1"/>
  <c r="U74" i="15" s="1"/>
  <c r="U50" i="14"/>
  <c r="B116" i="14" s="1"/>
  <c r="U84" i="15" s="1"/>
  <c r="R50" i="14"/>
  <c r="B113" i="14" s="1"/>
  <c r="U81" i="15" s="1"/>
  <c r="V50" i="14"/>
  <c r="B117" i="14" s="1"/>
  <c r="U85" i="15" s="1"/>
  <c r="O50" i="14"/>
  <c r="B110" i="14" s="1"/>
  <c r="U78" i="15" s="1"/>
  <c r="G50" i="14"/>
  <c r="B102" i="14" s="1"/>
  <c r="U70" i="15" s="1"/>
  <c r="T50" i="14"/>
  <c r="B115" i="14" s="1"/>
  <c r="U83" i="15" s="1"/>
  <c r="B140" i="14"/>
  <c r="C140" i="14" s="1"/>
  <c r="B155" i="14"/>
  <c r="B151" i="14"/>
  <c r="L107" i="119"/>
  <c r="C95" i="119"/>
  <c r="D95" i="119" s="1"/>
  <c r="B150" i="14"/>
  <c r="G203" i="119"/>
  <c r="B158" i="14"/>
  <c r="B161" i="14"/>
  <c r="X58" i="14"/>
  <c r="J75" i="15"/>
  <c r="J71" i="15"/>
  <c r="J86" i="15"/>
  <c r="J92" i="15"/>
  <c r="J79" i="15"/>
  <c r="J82" i="15"/>
  <c r="J89" i="15"/>
  <c r="J93" i="15"/>
  <c r="J101" i="15"/>
  <c r="X56" i="14"/>
  <c r="J77" i="15"/>
  <c r="J73" i="15"/>
  <c r="J102" i="15"/>
  <c r="J98" i="15"/>
  <c r="X70" i="14"/>
  <c r="G219" i="119"/>
  <c r="G215" i="119"/>
  <c r="G211" i="119"/>
  <c r="G14" i="13"/>
  <c r="C15" i="13" s="1"/>
  <c r="E14" i="13"/>
  <c r="B148" i="14"/>
  <c r="B154" i="14"/>
  <c r="B149" i="14"/>
  <c r="C141" i="14" l="1"/>
  <c r="B166" i="14"/>
  <c r="U107" i="15" s="1"/>
  <c r="D14" i="13"/>
  <c r="S65" i="15"/>
  <c r="J105" i="15"/>
  <c r="J114" i="15" s="1"/>
  <c r="E15" i="13"/>
  <c r="G15" i="13"/>
  <c r="C16" i="13" s="1"/>
  <c r="X50" i="14"/>
  <c r="B98" i="14"/>
  <c r="D115" i="119"/>
  <c r="D130" i="119"/>
  <c r="N48" i="119"/>
  <c r="E159" i="119" s="1"/>
  <c r="D107" i="119"/>
  <c r="D104" i="119"/>
  <c r="U105" i="15" l="1"/>
  <c r="J116" i="15"/>
  <c r="J117" i="15" s="1"/>
  <c r="J115" i="15"/>
  <c r="T65" i="15"/>
  <c r="E16" i="13"/>
  <c r="G16" i="13"/>
  <c r="C17" i="13" s="1"/>
  <c r="D15" i="13"/>
  <c r="S66" i="15"/>
  <c r="B141" i="14"/>
  <c r="U66" i="15"/>
  <c r="X55" i="15" l="1"/>
  <c r="X57" i="15" s="1"/>
  <c r="D16" i="13"/>
  <c r="S67" i="15"/>
  <c r="U116" i="15"/>
  <c r="Y55" i="15" s="1"/>
  <c r="Y57" i="15" s="1"/>
  <c r="U114" i="15"/>
  <c r="U115" i="15"/>
  <c r="V65" i="15"/>
  <c r="AC65" i="15"/>
  <c r="E17" i="13"/>
  <c r="G17" i="13"/>
  <c r="C18" i="13" s="1"/>
  <c r="P48" i="119"/>
  <c r="E161" i="119" s="1"/>
  <c r="D17" i="13" l="1"/>
  <c r="S68" i="15"/>
  <c r="E18" i="13"/>
  <c r="G18" i="13"/>
  <c r="C19" i="13" s="1"/>
  <c r="X65" i="15"/>
  <c r="Y65" i="15" l="1"/>
  <c r="AA65" i="15"/>
  <c r="G19" i="13"/>
  <c r="C20" i="13" s="1"/>
  <c r="E19" i="13"/>
  <c r="D18" i="13"/>
  <c r="S69" i="15"/>
  <c r="D19" i="13" l="1"/>
  <c r="S70" i="15"/>
  <c r="G20" i="13"/>
  <c r="C21" i="13" s="1"/>
  <c r="E20" i="13"/>
  <c r="AB65" i="15"/>
  <c r="D20" i="13" l="1"/>
  <c r="S71" i="15"/>
  <c r="E21" i="13"/>
  <c r="G21" i="13"/>
  <c r="C22" i="13" s="1"/>
  <c r="E22" i="13" l="1"/>
  <c r="G22" i="13"/>
  <c r="C23" i="13" s="1"/>
  <c r="D21" i="13"/>
  <c r="S72" i="15"/>
  <c r="G23" i="13" l="1"/>
  <c r="C24" i="13" s="1"/>
  <c r="E23" i="13"/>
  <c r="D22" i="13"/>
  <c r="S73" i="15"/>
  <c r="D23" i="13" l="1"/>
  <c r="S74" i="15"/>
  <c r="E24" i="13"/>
  <c r="G24" i="13"/>
  <c r="C25" i="13" s="1"/>
  <c r="G25" i="13" l="1"/>
  <c r="C26" i="13" s="1"/>
  <c r="E25" i="13"/>
  <c r="D24" i="13"/>
  <c r="S75" i="15"/>
  <c r="E26" i="13" l="1"/>
  <c r="G26" i="13"/>
  <c r="C27" i="13" s="1"/>
  <c r="D25" i="13"/>
  <c r="S76" i="15"/>
  <c r="G27" i="13" l="1"/>
  <c r="C28" i="13" s="1"/>
  <c r="E27" i="13"/>
  <c r="D26" i="13"/>
  <c r="S77" i="15"/>
  <c r="D27" i="13" l="1"/>
  <c r="S78" i="15"/>
  <c r="E28" i="13"/>
  <c r="G28" i="13"/>
  <c r="C29" i="13" s="1"/>
  <c r="E29" i="13" l="1"/>
  <c r="G29" i="13"/>
  <c r="C30" i="13" s="1"/>
  <c r="D28" i="13"/>
  <c r="S79" i="15"/>
  <c r="G30" i="13" l="1"/>
  <c r="C31" i="13" s="1"/>
  <c r="E30" i="13"/>
  <c r="D29" i="13"/>
  <c r="S80" i="15"/>
  <c r="D30" i="13" l="1"/>
  <c r="S81" i="15"/>
  <c r="G31" i="13"/>
  <c r="C32" i="13" s="1"/>
  <c r="E31" i="13"/>
  <c r="D31" i="13" l="1"/>
  <c r="S82" i="15"/>
  <c r="E32" i="13"/>
  <c r="G32" i="13"/>
  <c r="C33" i="13" s="1"/>
  <c r="G33" i="13" l="1"/>
  <c r="C34" i="13" s="1"/>
  <c r="E33" i="13"/>
  <c r="D32" i="13"/>
  <c r="S83" i="15"/>
  <c r="D33" i="13" l="1"/>
  <c r="S84" i="15"/>
  <c r="G34" i="13"/>
  <c r="C35" i="13" s="1"/>
  <c r="E34" i="13"/>
  <c r="D34" i="13" l="1"/>
  <c r="S85" i="15"/>
  <c r="E35" i="13"/>
  <c r="G35" i="13"/>
  <c r="C36" i="13" s="1"/>
  <c r="G36" i="13" l="1"/>
  <c r="C37" i="13" s="1"/>
  <c r="E36" i="13"/>
  <c r="D35" i="13"/>
  <c r="S86" i="15"/>
  <c r="E37" i="13" l="1"/>
  <c r="G37" i="13"/>
  <c r="C38" i="13" s="1"/>
  <c r="D36" i="13"/>
  <c r="S87" i="15"/>
  <c r="E38" i="13" l="1"/>
  <c r="G38" i="13"/>
  <c r="C39" i="13" s="1"/>
  <c r="D37" i="13"/>
  <c r="S88" i="15"/>
  <c r="G39" i="13" l="1"/>
  <c r="C40" i="13" s="1"/>
  <c r="E39" i="13"/>
  <c r="D38" i="13"/>
  <c r="S89" i="15"/>
  <c r="D39" i="13" l="1"/>
  <c r="S90" i="15"/>
  <c r="G40" i="13"/>
  <c r="C41" i="13" s="1"/>
  <c r="E40" i="13"/>
  <c r="D40" i="13" l="1"/>
  <c r="S91" i="15"/>
  <c r="E41" i="13"/>
  <c r="G41" i="13"/>
  <c r="C42" i="13" s="1"/>
  <c r="G42" i="13" l="1"/>
  <c r="C43" i="13" s="1"/>
  <c r="E42" i="13"/>
  <c r="D41" i="13"/>
  <c r="S92" i="15"/>
  <c r="D42" i="13" l="1"/>
  <c r="S93" i="15"/>
  <c r="G43" i="13"/>
  <c r="C44" i="13" s="1"/>
  <c r="E43" i="13"/>
  <c r="G44" i="13" l="1"/>
  <c r="C45" i="13" s="1"/>
  <c r="E44" i="13"/>
  <c r="D43" i="13"/>
  <c r="S94" i="15"/>
  <c r="G45" i="13" l="1"/>
  <c r="C46" i="13" s="1"/>
  <c r="E45" i="13"/>
  <c r="D44" i="13"/>
  <c r="S95" i="15"/>
  <c r="G46" i="13" l="1"/>
  <c r="C47" i="13" s="1"/>
  <c r="E46" i="13"/>
  <c r="D45" i="13"/>
  <c r="S96" i="15"/>
  <c r="D46" i="13" l="1"/>
  <c r="S97" i="15"/>
  <c r="E47" i="13"/>
  <c r="G47" i="13"/>
  <c r="C48" i="13" s="1"/>
  <c r="D47" i="13" l="1"/>
  <c r="S98" i="15"/>
  <c r="E48" i="13"/>
  <c r="G48" i="13"/>
  <c r="C49" i="13" s="1"/>
  <c r="D48" i="13" l="1"/>
  <c r="S99" i="15"/>
  <c r="E49" i="13"/>
  <c r="G49" i="13"/>
  <c r="C50" i="13" s="1"/>
  <c r="D49" i="13" l="1"/>
  <c r="S100" i="15"/>
  <c r="G50" i="13"/>
  <c r="C51" i="13" s="1"/>
  <c r="E50" i="13"/>
  <c r="D50" i="13" l="1"/>
  <c r="S101" i="15"/>
  <c r="G51" i="13"/>
  <c r="C52" i="13" s="1"/>
  <c r="E51" i="13"/>
  <c r="D51" i="13" l="1"/>
  <c r="S102" i="15"/>
  <c r="E52" i="13"/>
  <c r="G52" i="13"/>
  <c r="C53" i="13" s="1"/>
  <c r="E53" i="13" l="1"/>
  <c r="G53" i="13"/>
  <c r="C54" i="13" s="1"/>
  <c r="D52" i="13"/>
  <c r="S103" i="15"/>
  <c r="D53" i="13" l="1"/>
  <c r="S104" i="15"/>
  <c r="F54" i="13"/>
  <c r="Z105" i="15" s="1"/>
  <c r="E54" i="13"/>
  <c r="G54" i="13" l="1"/>
  <c r="C55" i="13" s="1"/>
  <c r="D54" i="13"/>
  <c r="S105" i="15"/>
  <c r="Z115" i="15"/>
  <c r="Z114" i="15"/>
  <c r="Z116" i="15"/>
  <c r="Z55" i="15" l="1"/>
  <c r="Z57" i="15" s="1"/>
  <c r="Z117" i="15"/>
  <c r="Y48" i="119" s="1"/>
  <c r="E170" i="119" s="1"/>
  <c r="S115" i="15"/>
  <c r="B119" i="15" s="1"/>
  <c r="S116" i="15"/>
  <c r="S114" i="15"/>
  <c r="S117" i="15" l="1"/>
  <c r="AA55" i="15"/>
  <c r="AA57" i="15" s="1"/>
  <c r="E17" i="15" s="1"/>
  <c r="C125" i="15"/>
  <c r="D25" i="34" s="1"/>
  <c r="C119" i="15"/>
  <c r="D19" i="34" s="1"/>
  <c r="C124" i="15"/>
  <c r="D24" i="34" s="1"/>
  <c r="C122" i="15"/>
  <c r="D22" i="34" s="1"/>
  <c r="C123" i="15"/>
  <c r="D23" i="34" s="1"/>
  <c r="C120" i="15"/>
  <c r="D20" i="34" s="1"/>
  <c r="C121" i="15"/>
  <c r="D21" i="34" s="1"/>
  <c r="X60" i="15" l="1"/>
  <c r="W48" i="119"/>
  <c r="E168" i="119" s="1"/>
  <c r="F66" i="15"/>
  <c r="F103" i="15"/>
  <c r="T103" i="15" s="1"/>
  <c r="F95" i="15"/>
  <c r="T95" i="15" s="1"/>
  <c r="F99" i="15"/>
  <c r="T99" i="15" s="1"/>
  <c r="F93" i="15"/>
  <c r="T93" i="15" s="1"/>
  <c r="F72" i="15"/>
  <c r="T72" i="15" s="1"/>
  <c r="F67" i="15"/>
  <c r="T67" i="15" s="1"/>
  <c r="F73" i="15"/>
  <c r="T73" i="15" s="1"/>
  <c r="F87" i="15"/>
  <c r="T87" i="15" s="1"/>
  <c r="F105" i="15"/>
  <c r="T105" i="15" s="1"/>
  <c r="F84" i="15"/>
  <c r="T84" i="15" s="1"/>
  <c r="F86" i="15"/>
  <c r="T86" i="15" s="1"/>
  <c r="F104" i="15"/>
  <c r="T104" i="15" s="1"/>
  <c r="F74" i="15"/>
  <c r="T74" i="15" s="1"/>
  <c r="F71" i="15"/>
  <c r="T71" i="15" s="1"/>
  <c r="F96" i="15"/>
  <c r="T96" i="15" s="1"/>
  <c r="F97" i="15"/>
  <c r="T97" i="15" s="1"/>
  <c r="F68" i="15"/>
  <c r="T68" i="15" s="1"/>
  <c r="F88" i="15"/>
  <c r="T88" i="15" s="1"/>
  <c r="F82" i="15"/>
  <c r="T82" i="15" s="1"/>
  <c r="E16" i="15"/>
  <c r="F70" i="15"/>
  <c r="T70" i="15" s="1"/>
  <c r="F98" i="15"/>
  <c r="T98" i="15" s="1"/>
  <c r="F101" i="15"/>
  <c r="T101" i="15" s="1"/>
  <c r="F78" i="15"/>
  <c r="T78" i="15" s="1"/>
  <c r="F90" i="15"/>
  <c r="T90" i="15" s="1"/>
  <c r="F81" i="15"/>
  <c r="T81" i="15" s="1"/>
  <c r="F76" i="15"/>
  <c r="T76" i="15" s="1"/>
  <c r="F92" i="15"/>
  <c r="T92" i="15" s="1"/>
  <c r="F75" i="15"/>
  <c r="T75" i="15" s="1"/>
  <c r="F69" i="15"/>
  <c r="T69" i="15" s="1"/>
  <c r="F77" i="15"/>
  <c r="T77" i="15" s="1"/>
  <c r="F89" i="15"/>
  <c r="T89" i="15" s="1"/>
  <c r="F79" i="15"/>
  <c r="T79" i="15" s="1"/>
  <c r="F85" i="15"/>
  <c r="T85" i="15" s="1"/>
  <c r="F80" i="15"/>
  <c r="T80" i="15" s="1"/>
  <c r="F94" i="15"/>
  <c r="T94" i="15" s="1"/>
  <c r="F91" i="15"/>
  <c r="T91" i="15" s="1"/>
  <c r="F102" i="15"/>
  <c r="T102" i="15" s="1"/>
  <c r="F83" i="15"/>
  <c r="T83" i="15" s="1"/>
  <c r="F100" i="15"/>
  <c r="T100" i="15" s="1"/>
  <c r="V72" i="15" l="1"/>
  <c r="X72" i="15" s="1"/>
  <c r="Y72" i="15" s="1"/>
  <c r="AC72" i="15"/>
  <c r="V94" i="15"/>
  <c r="X94" i="15" s="1"/>
  <c r="AA94" i="15" s="1"/>
  <c r="AC94" i="15"/>
  <c r="V92" i="15"/>
  <c r="X92" i="15" s="1"/>
  <c r="Y92" i="15" s="1"/>
  <c r="AC92" i="15"/>
  <c r="D124" i="15"/>
  <c r="C24" i="34" s="1"/>
  <c r="D125" i="15"/>
  <c r="C25" i="34" s="1"/>
  <c r="D122" i="15"/>
  <c r="C22" i="34" s="1"/>
  <c r="D119" i="15"/>
  <c r="C19" i="34" s="1"/>
  <c r="D120" i="15"/>
  <c r="C20" i="34" s="1"/>
  <c r="D121" i="15"/>
  <c r="C21" i="34" s="1"/>
  <c r="D123" i="15"/>
  <c r="C23" i="34" s="1"/>
  <c r="V104" i="15"/>
  <c r="X104" i="15" s="1"/>
  <c r="Y104" i="15" s="1"/>
  <c r="AC104" i="15"/>
  <c r="V93" i="15"/>
  <c r="X93" i="15" s="1"/>
  <c r="Y93" i="15" s="1"/>
  <c r="AC93" i="15"/>
  <c r="V70" i="15"/>
  <c r="X70" i="15" s="1"/>
  <c r="Y70" i="15" s="1"/>
  <c r="AC70" i="15"/>
  <c r="V80" i="15"/>
  <c r="X80" i="15" s="1"/>
  <c r="Y80" i="15" s="1"/>
  <c r="AC80" i="15"/>
  <c r="V76" i="15"/>
  <c r="X76" i="15" s="1"/>
  <c r="Y76" i="15" s="1"/>
  <c r="AC76" i="15"/>
  <c r="V82" i="15"/>
  <c r="X82" i="15" s="1"/>
  <c r="Y82" i="15" s="1"/>
  <c r="AC82" i="15"/>
  <c r="V86" i="15"/>
  <c r="X86" i="15" s="1"/>
  <c r="Y86" i="15" s="1"/>
  <c r="AC86" i="15"/>
  <c r="V99" i="15"/>
  <c r="X99" i="15" s="1"/>
  <c r="Y99" i="15" s="1"/>
  <c r="AC99" i="15"/>
  <c r="V74" i="15"/>
  <c r="X74" i="15" s="1"/>
  <c r="Y74" i="15" s="1"/>
  <c r="AC74" i="15"/>
  <c r="V85" i="15"/>
  <c r="X85" i="15" s="1"/>
  <c r="Y85" i="15" s="1"/>
  <c r="AC85" i="15"/>
  <c r="V81" i="15"/>
  <c r="X81" i="15" s="1"/>
  <c r="Y81" i="15" s="1"/>
  <c r="AC81" i="15"/>
  <c r="V88" i="15"/>
  <c r="X88" i="15" s="1"/>
  <c r="AA88" i="15" s="1"/>
  <c r="AC88" i="15"/>
  <c r="V84" i="15"/>
  <c r="X84" i="15" s="1"/>
  <c r="Y84" i="15" s="1"/>
  <c r="AC84" i="15"/>
  <c r="V95" i="15"/>
  <c r="X95" i="15" s="1"/>
  <c r="Y95" i="15" s="1"/>
  <c r="AC95" i="15"/>
  <c r="V75" i="15"/>
  <c r="X75" i="15" s="1"/>
  <c r="Y75" i="15" s="1"/>
  <c r="AC75" i="15"/>
  <c r="V79" i="15"/>
  <c r="X79" i="15" s="1"/>
  <c r="Y79" i="15" s="1"/>
  <c r="AC79" i="15"/>
  <c r="V90" i="15"/>
  <c r="X90" i="15" s="1"/>
  <c r="Y90" i="15" s="1"/>
  <c r="AC90" i="15"/>
  <c r="V68" i="15"/>
  <c r="X68" i="15" s="1"/>
  <c r="AA68" i="15" s="1"/>
  <c r="AC68" i="15"/>
  <c r="V105" i="15"/>
  <c r="X105" i="15" s="1"/>
  <c r="Y105" i="15" s="1"/>
  <c r="AC105" i="15"/>
  <c r="V103" i="15"/>
  <c r="X103" i="15" s="1"/>
  <c r="Y103" i="15" s="1"/>
  <c r="AC103" i="15"/>
  <c r="V91" i="15"/>
  <c r="X91" i="15" s="1"/>
  <c r="AA91" i="15" s="1"/>
  <c r="AC91" i="15"/>
  <c r="V100" i="15"/>
  <c r="X100" i="15" s="1"/>
  <c r="Y100" i="15" s="1"/>
  <c r="AC100" i="15"/>
  <c r="V89" i="15"/>
  <c r="X89" i="15" s="1"/>
  <c r="Y89" i="15" s="1"/>
  <c r="AC89" i="15"/>
  <c r="V78" i="15"/>
  <c r="X78" i="15" s="1"/>
  <c r="Y78" i="15" s="1"/>
  <c r="AC78" i="15"/>
  <c r="V97" i="15"/>
  <c r="X97" i="15" s="1"/>
  <c r="Y97" i="15" s="1"/>
  <c r="AC97" i="15"/>
  <c r="V87" i="15"/>
  <c r="X87" i="15" s="1"/>
  <c r="Y87" i="15" s="1"/>
  <c r="AC87" i="15"/>
  <c r="T66" i="15"/>
  <c r="F114" i="15"/>
  <c r="F115" i="15"/>
  <c r="F116" i="15"/>
  <c r="F118" i="15" s="1"/>
  <c r="V83" i="15"/>
  <c r="X83" i="15" s="1"/>
  <c r="Y83" i="15" s="1"/>
  <c r="AC83" i="15"/>
  <c r="V77" i="15"/>
  <c r="X77" i="15" s="1"/>
  <c r="Y77" i="15" s="1"/>
  <c r="AC77" i="15"/>
  <c r="V101" i="15"/>
  <c r="X101" i="15" s="1"/>
  <c r="Y101" i="15" s="1"/>
  <c r="AC101" i="15"/>
  <c r="V96" i="15"/>
  <c r="X96" i="15" s="1"/>
  <c r="AA96" i="15" s="1"/>
  <c r="AC96" i="15"/>
  <c r="V73" i="15"/>
  <c r="X73" i="15" s="1"/>
  <c r="Y73" i="15" s="1"/>
  <c r="AC73" i="15"/>
  <c r="V102" i="15"/>
  <c r="X102" i="15" s="1"/>
  <c r="Y102" i="15" s="1"/>
  <c r="AC102" i="15"/>
  <c r="V69" i="15"/>
  <c r="X69" i="15" s="1"/>
  <c r="AA69" i="15" s="1"/>
  <c r="AC69" i="15"/>
  <c r="V98" i="15"/>
  <c r="X98" i="15" s="1"/>
  <c r="Y98" i="15" s="1"/>
  <c r="AC98" i="15"/>
  <c r="V71" i="15"/>
  <c r="X71" i="15" s="1"/>
  <c r="Y71" i="15" s="1"/>
  <c r="AC71" i="15"/>
  <c r="V67" i="15"/>
  <c r="X67" i="15" s="1"/>
  <c r="AA67" i="15" s="1"/>
  <c r="AC67" i="15"/>
  <c r="AA89" i="15" l="1"/>
  <c r="AA86" i="15"/>
  <c r="AA103" i="15"/>
  <c r="Y67" i="15"/>
  <c r="AA80" i="15"/>
  <c r="AA92" i="15"/>
  <c r="AA71" i="15"/>
  <c r="AA78" i="15"/>
  <c r="AA77" i="15"/>
  <c r="AA98" i="15"/>
  <c r="AA83" i="15"/>
  <c r="AA79" i="15"/>
  <c r="AA70" i="15"/>
  <c r="AA97" i="15"/>
  <c r="AA75" i="15"/>
  <c r="Y68" i="15"/>
  <c r="AA81" i="15"/>
  <c r="AA99" i="15"/>
  <c r="Y69" i="15"/>
  <c r="AA87" i="15"/>
  <c r="Y91" i="15"/>
  <c r="AA84" i="15"/>
  <c r="AA76" i="15"/>
  <c r="V66" i="15"/>
  <c r="AC66" i="15"/>
  <c r="T116" i="15"/>
  <c r="T114" i="15"/>
  <c r="T115" i="15"/>
  <c r="Y96" i="15"/>
  <c r="AA85" i="15"/>
  <c r="AA93" i="15"/>
  <c r="C26" i="34"/>
  <c r="Y94" i="15"/>
  <c r="AA102" i="15"/>
  <c r="AA101" i="15"/>
  <c r="AG118" i="15"/>
  <c r="K48" i="119"/>
  <c r="E155" i="119" s="1"/>
  <c r="AA90" i="15"/>
  <c r="Y88" i="15"/>
  <c r="AA74" i="15"/>
  <c r="AA104" i="15"/>
  <c r="AA100" i="15"/>
  <c r="AA72" i="15"/>
  <c r="AA73" i="15"/>
  <c r="AA105" i="15"/>
  <c r="AA95" i="15"/>
  <c r="AA82" i="15"/>
  <c r="AC114" i="15" l="1"/>
  <c r="AC115" i="15"/>
  <c r="E21" i="15"/>
  <c r="E19" i="15" s="1"/>
  <c r="AC116" i="15"/>
  <c r="X66" i="15"/>
  <c r="V115" i="15"/>
  <c r="V116" i="15"/>
  <c r="V114" i="15"/>
  <c r="F155" i="119"/>
  <c r="F156" i="119"/>
  <c r="F157" i="119"/>
  <c r="Y66" i="15" l="1"/>
  <c r="X116" i="15"/>
  <c r="X117" i="15" s="1"/>
  <c r="X115" i="15"/>
  <c r="X114" i="15"/>
  <c r="AA66" i="15"/>
  <c r="H155" i="119"/>
  <c r="K155" i="119" s="1"/>
  <c r="I155" i="119"/>
  <c r="L155" i="119" s="1"/>
  <c r="H157" i="119"/>
  <c r="K157" i="119" s="1"/>
  <c r="I156" i="119"/>
  <c r="L156" i="119" s="1"/>
  <c r="I157" i="119"/>
  <c r="L157" i="119" s="1"/>
  <c r="N157" i="119" s="1"/>
  <c r="H156" i="119"/>
  <c r="K156" i="119" s="1"/>
  <c r="L171" i="119" l="1"/>
  <c r="N155" i="119"/>
  <c r="AB66" i="15"/>
  <c r="AA115" i="15"/>
  <c r="E20" i="15"/>
  <c r="E18" i="15" s="1"/>
  <c r="E26" i="15"/>
  <c r="H17" i="6" s="1"/>
  <c r="AA116" i="15"/>
  <c r="AA114" i="15"/>
  <c r="X48" i="119"/>
  <c r="E169" i="119" s="1"/>
  <c r="AG117" i="15"/>
  <c r="N156" i="119"/>
  <c r="Y114" i="15"/>
  <c r="Y115" i="15"/>
  <c r="Y116" i="15"/>
  <c r="AB67" i="15" l="1"/>
  <c r="AB68" i="15" s="1"/>
  <c r="AB69" i="15" s="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F169" i="119"/>
  <c r="F161" i="119"/>
  <c r="F168" i="119"/>
  <c r="F162" i="119"/>
  <c r="F164" i="119"/>
  <c r="F160" i="119"/>
  <c r="F163" i="119"/>
  <c r="F170" i="119"/>
  <c r="F166" i="119"/>
  <c r="F165" i="119"/>
  <c r="F167" i="119"/>
  <c r="F159" i="119"/>
  <c r="I168" i="119" l="1"/>
  <c r="M168" i="119" s="1"/>
  <c r="I164" i="119"/>
  <c r="M164" i="119" s="1"/>
  <c r="I163" i="119"/>
  <c r="M163" i="119" s="1"/>
  <c r="H161" i="119"/>
  <c r="K161" i="119" s="1"/>
  <c r="I170" i="119"/>
  <c r="M170" i="119" s="1"/>
  <c r="I166" i="119"/>
  <c r="M166" i="119" s="1"/>
  <c r="I159" i="119"/>
  <c r="M159" i="119" s="1"/>
  <c r="I161" i="119"/>
  <c r="M161" i="119" s="1"/>
  <c r="I167" i="119"/>
  <c r="M167" i="119" s="1"/>
  <c r="H166" i="119"/>
  <c r="K166" i="119" s="1"/>
  <c r="H170" i="119"/>
  <c r="K170" i="119" s="1"/>
  <c r="H169" i="119"/>
  <c r="K169" i="119" s="1"/>
  <c r="H168" i="119"/>
  <c r="K168" i="119" s="1"/>
  <c r="H164" i="119"/>
  <c r="K164" i="119" s="1"/>
  <c r="I169" i="119"/>
  <c r="M169" i="119" s="1"/>
  <c r="N169" i="119" s="1"/>
  <c r="I160" i="119"/>
  <c r="M160" i="119" s="1"/>
  <c r="I162" i="119"/>
  <c r="M162" i="119" s="1"/>
  <c r="H163" i="119"/>
  <c r="K163" i="119" s="1"/>
  <c r="I165" i="119"/>
  <c r="M165" i="119" s="1"/>
  <c r="H162" i="119"/>
  <c r="K162" i="119" s="1"/>
  <c r="H160" i="119"/>
  <c r="K160" i="119" s="1"/>
  <c r="H167" i="119"/>
  <c r="K167" i="119" s="1"/>
  <c r="H159" i="119"/>
  <c r="K159" i="119" s="1"/>
  <c r="H165" i="119"/>
  <c r="K165" i="119" s="1"/>
  <c r="AB115" i="15"/>
  <c r="AB114" i="15"/>
  <c r="AB116" i="15"/>
  <c r="N160" i="119" l="1"/>
  <c r="N161" i="119"/>
  <c r="N170" i="119"/>
  <c r="N159" i="119"/>
  <c r="M171" i="119"/>
  <c r="N171" i="119" s="1"/>
  <c r="N166" i="119"/>
  <c r="N165" i="119"/>
  <c r="N163" i="119"/>
  <c r="N164" i="119"/>
  <c r="N162" i="119"/>
  <c r="N167" i="119"/>
  <c r="N168"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<sst xmlns="http://schemas.openxmlformats.org/spreadsheetml/2006/main" count="3921" uniqueCount="1431">
  <si>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</si>
  <si>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</si>
  <si>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</si>
  <si>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</si>
  <si>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</si>
  <si>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</si>
  <si>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</si>
  <si>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</si>
  <si>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</si>
  <si>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</si>
  <si>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</si>
  <si>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</si>
  <si>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</si>
  <si>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</si>
  <si>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</si>
  <si>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</si>
  <si>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</si>
  <si>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</si>
  <si>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</si>
  <si>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</si>
  <si>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</si>
  <si>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</si>
  <si>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</si>
  <si>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</si>
  <si>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</si>
  <si>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</si>
  <si>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</si>
  <si>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</si>
  <si>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</si>
  <si>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</si>
  <si>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</si>
  <si>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</si>
  <si>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</si>
  <si>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</si>
  <si>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</si>
  <si>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</si>
  <si>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</si>
  <si>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</si>
  <si>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</si>
  <si>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</si>
  <si>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</si>
  <si>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</si>
  <si>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</si>
  <si>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</si>
  <si>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</si>
  <si>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</si>
  <si>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</si>
  <si>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</si>
  <si>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</si>
  <si>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</si>
  <si>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</si>
  <si>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</si>
  <si>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</si>
  <si>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</si>
  <si>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</si>
  <si>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</si>
  <si>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</si>
  <si>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</si>
  <si>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</si>
  <si>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</si>
  <si>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</si>
  <si>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</si>
  <si>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</si>
  <si>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</si>
  <si>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</si>
  <si>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</si>
  <si>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</si>
  <si>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</si>
  <si>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</si>
  <si>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</si>
  <si>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</si>
  <si>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</si>
  <si>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</si>
  <si>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</si>
  <si>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</si>
  <si>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</si>
  <si>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</si>
  <si>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</si>
  <si>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</si>
  <si>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</si>
  <si>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</si>
  <si>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</si>
  <si>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</si>
  <si>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</si>
  <si>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</si>
  <si>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</si>
  <si>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</si>
  <si>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</si>
  <si>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</si>
  <si>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</si>
  <si>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</si>
  <si>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</si>
  <si>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</si>
  <si>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</si>
  <si>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</si>
  <si>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</si>
  <si>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</si>
  <si>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</si>
  <si>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</si>
  <si>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</si>
  <si>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</si>
  <si>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</si>
  <si>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</si>
  <si>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</si>
  <si>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</si>
  <si>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</si>
  <si>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</si>
  <si>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</si>
  <si>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</si>
  <si>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</si>
  <si>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</si>
  <si>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</si>
  <si>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</si>
  <si>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</si>
  <si>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</si>
  <si>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</si>
  <si>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</si>
  <si>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</si>
  <si>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</si>
  <si>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</si>
  <si>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</si>
  <si>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</si>
  <si>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</si>
  <si>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</si>
  <si>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</si>
  <si>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</si>
  <si>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</si>
  <si>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</si>
  <si>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</si>
  <si>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</si>
  <si>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</si>
  <si>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</si>
  <si>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</si>
  <si>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</si>
  <si>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</si>
  <si>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</si>
  <si>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</si>
  <si>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</si>
  <si>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</si>
  <si>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</si>
  <si>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</si>
  <si>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</si>
  <si>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</si>
  <si>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</si>
  <si>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</si>
  <si>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</si>
  <si>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</si>
  <si>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</si>
  <si>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</si>
  <si>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</si>
  <si>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</si>
  <si>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</si>
  <si>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</si>
  <si>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</si>
  <si>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</si>
  <si>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</si>
  <si>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</si>
  <si>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</si>
  <si>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</si>
  <si>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</si>
  <si>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</si>
  <si>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</si>
  <si>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</si>
  <si>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</si>
  <si>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</si>
  <si>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</si>
  <si>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</si>
  <si>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</si>
  <si>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</si>
  <si>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</si>
  <si>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</si>
  <si>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</si>
  <si>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</si>
  <si>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</si>
  <si>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</si>
  <si>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</si>
  <si>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</si>
  <si>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</si>
  <si>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</si>
  <si>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</si>
  <si>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</si>
  <si>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</si>
  <si>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</si>
  <si>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</si>
  <si>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</si>
  <si>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</si>
  <si>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</si>
  <si>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</si>
  <si>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</si>
  <si>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</si>
  <si>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</si>
  <si>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</si>
  <si>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</si>
  <si>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</si>
  <si>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</si>
  <si>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</si>
  <si>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</si>
  <si>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</si>
  <si>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</si>
  <si>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</si>
  <si>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</si>
  <si>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</si>
  <si>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</si>
  <si>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</si>
  <si>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</si>
  <si>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</si>
  <si>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</si>
  <si>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</si>
  <si>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</si>
  <si>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</si>
  <si>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</si>
  <si>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</si>
  <si>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</si>
  <si>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</si>
  <si>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</si>
  <si>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</si>
  <si>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</si>
  <si>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</si>
  <si>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</si>
  <si>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</si>
  <si>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</si>
  <si>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</si>
  <si>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</si>
  <si>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</si>
  <si>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</si>
  <si>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</si>
  <si>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</si>
  <si>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</si>
  <si>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</si>
  <si>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</si>
  <si>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</si>
  <si>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</si>
  <si>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</si>
  <si>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</si>
  <si>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</si>
  <si>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</si>
  <si>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</si>
  <si>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</si>
  <si>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</si>
  <si>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</si>
  <si>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</si>
  <si>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</si>
  <si>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</si>
  <si>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</si>
  <si>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</si>
  <si>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</si>
  <si>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</si>
  <si>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</si>
  <si>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</si>
  <si>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</si>
  <si>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</si>
  <si>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</si>
  <si>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</si>
  <si>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</si>
  <si>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</si>
  <si>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</si>
  <si>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</si>
  <si>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</si>
  <si>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</si>
  <si>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</si>
  <si>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</si>
  <si>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</si>
  <si>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</si>
  <si>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</si>
  <si>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</si>
  <si>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</si>
  <si>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</si>
  <si>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</si>
  <si>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</si>
  <si>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</si>
  <si>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</si>
  <si>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</si>
  <si>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</si>
  <si>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</si>
  <si>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</si>
  <si>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</si>
  <si>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</si>
  <si>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</si>
  <si>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</si>
  <si>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</si>
  <si>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</si>
  <si>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</si>
  <si>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</si>
  <si>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</si>
  <si>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</si>
  <si>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</si>
  <si>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</si>
  <si>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</si>
  <si>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</si>
  <si>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</si>
  <si>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</si>
  <si>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</si>
  <si>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</si>
  <si>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</si>
  <si>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</si>
  <si>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</si>
  <si>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</si>
  <si>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</si>
  <si>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</si>
  <si>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</si>
  <si>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</si>
  <si>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</si>
  <si>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</si>
  <si>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</si>
  <si>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</si>
  <si>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</si>
  <si>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</si>
  <si>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</si>
  <si>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</si>
  <si>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</si>
  <si>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</si>
  <si>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</si>
  <si>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</si>
  <si>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</si>
  <si>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</si>
  <si>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</si>
  <si>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</si>
  <si>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</si>
  <si>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</si>
  <si>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</si>
  <si>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</si>
  <si>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</si>
  <si>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</si>
  <si>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</si>
  <si>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</si>
  <si>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</si>
  <si>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</si>
  <si>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</si>
  <si>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</si>
  <si>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</si>
  <si>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</si>
  <si>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</si>
  <si>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</si>
  <si>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</si>
  <si>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</si>
  <si>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</si>
  <si>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</si>
  <si>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</si>
  <si>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</si>
  <si>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</si>
  <si>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</si>
  <si>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</si>
  <si>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</si>
  <si>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</si>
  <si>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</si>
  <si>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</si>
  <si>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</si>
  <si>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</si>
  <si>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</si>
  <si>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</si>
  <si>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</si>
  <si>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</si>
  <si>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</si>
  <si>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</si>
  <si>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</si>
  <si>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</si>
  <si>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</si>
  <si>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</si>
  <si>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</si>
  <si>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</si>
  <si>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</si>
  <si>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</si>
  <si>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</si>
  <si>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</si>
  <si>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</si>
  <si>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</si>
  <si>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</si>
  <si>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</si>
  <si>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</si>
  <si>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</si>
  <si>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</si>
  <si>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</si>
  <si>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</si>
  <si>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</si>
  <si>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</si>
  <si>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</si>
  <si>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</si>
  <si>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</si>
  <si>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</si>
  <si>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</si>
  <si>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</si>
  <si>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</si>
  <si>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</si>
  <si>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</si>
  <si>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</si>
  <si>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</si>
  <si>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</si>
  <si>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</si>
  <si>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</si>
  <si>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</si>
  <si>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</si>
  <si>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</si>
  <si>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</si>
  <si>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</si>
  <si>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</si>
  <si>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</si>
  <si>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</si>
  <si>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</si>
  <si>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</si>
  <si>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</si>
  <si>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</si>
  <si>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</si>
  <si>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</si>
  <si>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</si>
  <si>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</si>
  <si>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</si>
  <si>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</si>
  <si>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</si>
  <si>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</si>
  <si>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</si>
  <si>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</si>
  <si>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</si>
  <si>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</si>
  <si>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</si>
  <si>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</si>
  <si>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</si>
  <si>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</si>
  <si>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</si>
  <si>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</si>
  <si>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</si>
  <si>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</si>
  <si>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</si>
  <si>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</si>
  <si>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</si>
  <si>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</si>
  <si>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</si>
  <si>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</si>
  <si>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</si>
  <si>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</si>
  <si>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</si>
  <si>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</si>
  <si>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</si>
  <si>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</si>
  <si>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</si>
  <si>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</si>
  <si>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</si>
  <si>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</si>
  <si>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</si>
  <si>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</si>
  <si>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</si>
  <si>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</si>
  <si>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</si>
  <si>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</si>
  <si>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</si>
  <si>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</si>
  <si>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</si>
  <si>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</si>
  <si>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</si>
  <si>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</si>
  <si>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</si>
  <si>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</si>
  <si>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</si>
  <si>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</si>
  <si>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</si>
  <si>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</si>
  <si>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</si>
  <si>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</si>
  <si>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</si>
  <si>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</si>
  <si>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</si>
  <si>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</si>
  <si>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</si>
  <si>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</si>
  <si>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</si>
  <si>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</si>
  <si>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</si>
  <si>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</si>
  <si>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</si>
  <si>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</si>
  <si>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</si>
  <si>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</si>
  <si>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</si>
  <si>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</si>
  <si>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</si>
  <si>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</si>
  <si>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</si>
  <si>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</si>
  <si>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</si>
  <si>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</si>
  <si>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</si>
  <si>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</si>
  <si>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</si>
  <si>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</si>
  <si>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</si>
  <si>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</si>
  <si>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</si>
  <si>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</si>
  <si>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</si>
  <si>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</si>
  <si>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</si>
  <si>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</si>
  <si>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</si>
  <si>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</si>
  <si>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</si>
  <si>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</si>
  <si>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</si>
  <si>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</si>
  <si>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</si>
  <si>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</si>
  <si>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</si>
  <si>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</si>
  <si>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</si>
  <si>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</si>
  <si>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</si>
  <si>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</si>
  <si>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</si>
  <si>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</si>
  <si>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</si>
  <si>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</si>
  <si>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</si>
  <si>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</si>
  <si>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</si>
  <si>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</si>
  <si>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</si>
  <si>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</si>
  <si>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</si>
  <si>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</si>
  <si>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</si>
  <si>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</si>
  <si>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</si>
  <si>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</si>
  <si>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</si>
  <si>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</si>
  <si>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</si>
  <si>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</si>
  <si>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</si>
  <si>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</si>
  <si>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</si>
  <si>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</si>
  <si>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</si>
  <si>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</si>
  <si>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</si>
  <si>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</si>
  <si>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</si>
  <si>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</si>
  <si>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</si>
  <si>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</si>
  <si>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</si>
  <si>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</si>
  <si>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</si>
  <si>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</si>
  <si>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</si>
  <si>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</si>
  <si>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</si>
  <si>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</si>
  <si>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</si>
  <si>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</si>
  <si>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</si>
  <si>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</si>
  <si>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</si>
  <si>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</si>
  <si>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</si>
  <si>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</si>
  <si>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</si>
  <si>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</si>
  <si>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</si>
  <si>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</si>
  <si>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</si>
  <si>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</si>
  <si>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</si>
  <si>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</si>
  <si>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</si>
  <si>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</si>
  <si>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</si>
  <si>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</si>
  <si>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</si>
  <si>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</si>
  <si>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</si>
  <si>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</si>
  <si>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</si>
  <si>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</si>
  <si>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</si>
  <si>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</si>
  <si>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</si>
  <si>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</si>
  <si>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</si>
  <si>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</si>
  <si>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</si>
  <si>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</si>
  <si>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</si>
  <si>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</si>
  <si>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</si>
  <si>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</si>
  <si>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</si>
  <si>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</si>
  <si>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</si>
  <si>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</si>
  <si>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</si>
  <si>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</si>
  <si>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</si>
  <si>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</si>
  <si>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</si>
  <si>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</si>
  <si>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</si>
  <si>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</si>
  <si>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</si>
  <si>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</si>
  <si>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</si>
  <si>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</si>
  <si>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</si>
  <si>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</si>
  <si>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</si>
  <si>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</si>
  <si>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</si>
  <si>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</si>
  <si>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</si>
  <si>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</si>
  <si>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</si>
  <si>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</si>
  <si>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</si>
  <si>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</si>
  <si>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</si>
  <si>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</si>
  <si>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</si>
  <si>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</si>
  <si>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</si>
  <si>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</si>
  <si>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</si>
  <si>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</si>
  <si>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</si>
  <si>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</si>
  <si>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</si>
  <si>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</si>
  <si>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</si>
  <si>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</si>
  <si>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</si>
  <si>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</si>
  <si>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</si>
  <si>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</si>
  <si>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</si>
  <si>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</si>
  <si>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</si>
  <si>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</si>
  <si>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</si>
  <si>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</si>
  <si>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</si>
  <si>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</si>
  <si>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</si>
  <si>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</si>
  <si>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</si>
  <si>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</si>
  <si>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</si>
  <si>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</si>
  <si>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</si>
  <si>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</si>
  <si>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</si>
  <si>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</si>
  <si>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</si>
  <si>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</si>
  <si>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</si>
  <si>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</si>
  <si>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</si>
  <si>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</si>
  <si>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</si>
  <si>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</si>
  <si>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</si>
  <si>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</si>
  <si>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</si>
  <si>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</si>
  <si>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</si>
  <si>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</si>
  <si>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</si>
  <si>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</si>
  <si>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</si>
  <si>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</si>
  <si>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</si>
  <si>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</si>
  <si>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</si>
  <si>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</si>
  <si>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</si>
  <si>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</si>
  <si>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</si>
  <si>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</si>
  <si>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</si>
  <si>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</si>
  <si>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</si>
  <si>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</si>
  <si>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</si>
  <si>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</si>
  <si>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</si>
  <si>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</si>
  <si>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</si>
  <si>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</si>
  <si>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</si>
  <si>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</si>
  <si>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</si>
  <si>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</si>
  <si>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</si>
  <si>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</si>
  <si>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</si>
  <si>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</si>
  <si>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</si>
  <si>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</si>
  <si>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</si>
  <si>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</si>
  <si>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</si>
  <si>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</si>
  <si>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</si>
  <si>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</si>
  <si>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</si>
  <si>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</si>
  <si>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</si>
  <si>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</si>
  <si>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</si>
  <si>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</si>
  <si>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</si>
  <si>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</si>
  <si>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</si>
  <si>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</si>
  <si>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</si>
  <si>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</si>
  <si>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</si>
  <si>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</si>
  <si>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</si>
  <si>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</si>
  <si>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</si>
  <si>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</si>
  <si>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</si>
  <si>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</si>
  <si>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</si>
  <si>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</si>
  <si>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</si>
  <si>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</si>
  <si>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</si>
  <si>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</si>
  <si>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</si>
  <si>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</si>
  <si>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</si>
  <si>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</si>
  <si>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</si>
  <si>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</si>
  <si>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</si>
  <si>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</si>
  <si>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</si>
  <si>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</si>
  <si>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</si>
  <si>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</si>
  <si>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</si>
  <si>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</si>
  <si>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</si>
  <si>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</si>
  <si>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</si>
  <si>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</si>
  <si>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</si>
  <si>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</si>
  <si>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</si>
  <si>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</si>
  <si>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</si>
  <si>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</si>
  <si>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</si>
  <si>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</si>
  <si>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</si>
  <si>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</si>
  <si>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</si>
  <si>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</si>
  <si>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</si>
  <si>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</si>
  <si>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</si>
  <si>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</si>
  <si>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</si>
  <si>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</si>
  <si>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</si>
  <si>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</si>
  <si>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</si>
  <si>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</si>
  <si>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</si>
  <si>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</si>
  <si>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</si>
  <si>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</si>
  <si>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</si>
  <si>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</si>
  <si>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</si>
  <si>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</si>
  <si>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</si>
  <si>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</si>
  <si>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</si>
  <si>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</si>
  <si>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</si>
  <si>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</si>
  <si>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</si>
  <si>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</si>
  <si>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</si>
  <si>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</si>
  <si>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</si>
  <si>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</si>
  <si>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</si>
  <si>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</si>
  <si>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</si>
  <si>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</si>
  <si>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</si>
  <si>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</si>
  <si>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</si>
  <si>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</si>
  <si>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</si>
  <si>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</si>
  <si>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</si>
  <si>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</si>
  <si>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</si>
  <si>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</si>
  <si>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</si>
  <si>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</si>
  <si>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</si>
  <si>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</si>
  <si>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</si>
  <si>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</si>
  <si>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</si>
  <si>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</si>
  <si>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</si>
  <si>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</si>
  <si>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</si>
  <si>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</si>
  <si>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</si>
  <si>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</si>
  <si>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</si>
  <si>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</si>
  <si>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</si>
  <si>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</si>
  <si>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</si>
  <si>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</si>
  <si>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</si>
  <si>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</si>
  <si>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</si>
  <si>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</si>
  <si>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</si>
  <si>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</si>
  <si>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</si>
  <si>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</si>
  <si>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</si>
  <si>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</si>
  <si>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H2A Version 2.1 updates</t>
  </si>
  <si>
    <t>Mike Rutkowski</t>
  </si>
  <si>
    <t>Biomass Multi-Year Program Plan April 2011, Table B-4. LHV from Table B-7 (8,000 Btu/lb). Prices starting in 2010 $82.70, 2011 $71.60, 2012, $61.57, 2013; $68.97</t>
  </si>
  <si>
    <t>feedstock Industrial Natural Gas Usage</t>
  </si>
  <si>
    <t>feedstockIndustrial_Natural_Gas_Usage</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</si>
  <si>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</si>
  <si>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</si>
  <si>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</si>
  <si>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</si>
  <si>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</si>
  <si>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</si>
  <si>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</si>
  <si>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</si>
  <si>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</si>
  <si>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</si>
  <si>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</si>
  <si>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</si>
  <si>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</si>
  <si>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</si>
  <si>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</si>
  <si>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</si>
  <si>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</si>
  <si>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</si>
  <si>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</si>
  <si>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</si>
  <si>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</si>
  <si>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</si>
  <si>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</si>
  <si>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</si>
  <si>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</si>
  <si>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</si>
  <si>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</si>
  <si>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</si>
  <si>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</si>
  <si>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</si>
  <si>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</si>
  <si>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</si>
  <si>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</si>
  <si>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</si>
  <si>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</si>
  <si>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</si>
  <si>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</si>
  <si>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</si>
  <si>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</si>
  <si>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</si>
  <si>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</si>
  <si>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</si>
  <si>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</si>
  <si>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</si>
  <si>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</si>
  <si>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</si>
  <si>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</si>
  <si>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</si>
  <si>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</si>
  <si>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</si>
  <si>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</si>
  <si>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</si>
  <si>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</si>
  <si>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</si>
  <si>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</si>
  <si>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</si>
  <si>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</si>
  <si>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</si>
  <si>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</si>
  <si>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</si>
  <si>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</si>
  <si>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</si>
  <si>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</si>
  <si>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</si>
  <si>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</si>
  <si>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</si>
  <si>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</si>
  <si>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</si>
  <si>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</si>
  <si>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</si>
  <si>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</si>
  <si>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</si>
  <si>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</si>
  <si>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</si>
  <si>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</si>
  <si>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</si>
  <si>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</si>
  <si>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</si>
  <si>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</si>
  <si>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</si>
  <si>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</si>
  <si>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</si>
  <si>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</si>
  <si>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</si>
  <si>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</si>
  <si>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</si>
  <si>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</si>
  <si>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</si>
  <si>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</si>
  <si>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</si>
  <si>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</si>
  <si>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</si>
  <si>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</si>
  <si>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</si>
  <si>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</si>
  <si>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</si>
  <si>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</si>
  <si>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</si>
  <si>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</si>
  <si>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</si>
  <si>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</si>
  <si>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</si>
  <si>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</si>
  <si>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</si>
  <si>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</si>
  <si>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</si>
  <si>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</si>
  <si>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</si>
  <si>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</si>
  <si>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</si>
  <si>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</si>
  <si>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</si>
  <si>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</si>
  <si>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</si>
  <si>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</si>
  <si>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</si>
  <si>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</si>
  <si>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</si>
  <si>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</si>
  <si>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</si>
  <si>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</si>
  <si>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</si>
  <si>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</si>
  <si>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</si>
  <si>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</si>
  <si>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</si>
  <si>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</si>
  <si>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</si>
  <si>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</si>
  <si>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</si>
  <si>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</si>
  <si>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</si>
  <si>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</si>
  <si>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</si>
  <si>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</si>
  <si>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</si>
  <si>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</si>
  <si>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</si>
  <si>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</si>
  <si>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</si>
  <si>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</si>
  <si>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</si>
  <si>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</si>
  <si>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</si>
  <si>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</si>
  <si>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</si>
  <si>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</si>
  <si>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</si>
  <si>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</si>
  <si>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</si>
  <si>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</si>
  <si>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</si>
  <si>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</si>
  <si>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</si>
  <si>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</si>
  <si>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</si>
  <si>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</si>
  <si>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</si>
  <si>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</si>
  <si>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</si>
  <si>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</si>
  <si>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</si>
  <si>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</si>
  <si>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</si>
  <si>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</si>
  <si>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</si>
  <si>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</si>
  <si>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</si>
  <si>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</si>
  <si>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</si>
  <si>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</si>
  <si>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</si>
  <si>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</si>
  <si>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</si>
  <si>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</si>
  <si>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</si>
  <si>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</si>
  <si>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</si>
  <si>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</si>
  <si>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</si>
  <si>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</si>
  <si>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</si>
  <si>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</si>
  <si>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</si>
  <si>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</si>
  <si>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</si>
  <si>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</si>
  <si>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</si>
  <si>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</si>
  <si>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</si>
  <si>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</si>
  <si>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</si>
  <si>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</si>
  <si>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</si>
  <si>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</si>
  <si>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</si>
  <si>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</si>
  <si>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</si>
  <si>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</si>
  <si>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</si>
  <si>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</si>
  <si>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</si>
  <si>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</si>
  <si>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</si>
  <si>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</si>
  <si>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</si>
  <si>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</si>
  <si>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</si>
  <si>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</si>
  <si>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</si>
  <si>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</si>
  <si>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</si>
  <si>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</si>
  <si>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</si>
  <si>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</si>
  <si>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</si>
  <si>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</si>
  <si>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</si>
  <si>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</si>
  <si>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</si>
  <si>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</si>
  <si>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</si>
  <si>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</si>
  <si>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</si>
  <si>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</si>
  <si>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</si>
  <si>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</si>
  <si>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</si>
  <si>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</si>
  <si>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</si>
  <si>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</si>
  <si>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</si>
  <si>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</si>
  <si>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</si>
  <si>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</si>
  <si>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</si>
  <si>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</si>
  <si>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</si>
  <si>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</si>
  <si>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</si>
  <si>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</si>
  <si>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</si>
  <si>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</si>
  <si>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</si>
  <si>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</si>
  <si>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</si>
  <si>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</si>
  <si>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</si>
  <si>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</si>
  <si>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</si>
  <si>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</si>
  <si>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</si>
  <si>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</si>
  <si>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</si>
  <si>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</si>
  <si>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</si>
  <si>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</si>
  <si>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</si>
  <si>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</si>
  <si>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</si>
  <si>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</si>
  <si>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</si>
  <si>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</si>
  <si>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</si>
  <si>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</si>
  <si>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</si>
  <si>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</si>
  <si>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</si>
  <si>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</si>
  <si>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</si>
  <si>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</si>
  <si>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</si>
  <si>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</si>
  <si>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</si>
  <si>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</si>
  <si>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</si>
  <si>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</si>
  <si>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</si>
  <si>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</si>
  <si>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</si>
  <si>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</si>
  <si>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</si>
  <si>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</si>
  <si>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</si>
  <si>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</si>
  <si>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</si>
  <si>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</si>
  <si>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</si>
  <si>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</si>
  <si>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</si>
  <si>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</si>
  <si>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</si>
  <si>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</si>
  <si>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</si>
  <si>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</si>
  <si>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</si>
  <si>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</si>
  <si>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</si>
  <si>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</si>
  <si>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</si>
  <si>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</si>
  <si>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</si>
  <si>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</si>
  <si>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</si>
  <si>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</si>
  <si>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</si>
  <si>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</si>
  <si>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</si>
  <si>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</si>
  <si>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</si>
  <si>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</si>
  <si>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</si>
  <si>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</si>
  <si>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</si>
  <si>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</si>
  <si>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</si>
  <si>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</si>
  <si>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</si>
  <si>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</si>
  <si>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</si>
  <si>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</si>
  <si>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</si>
  <si>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</si>
  <si>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</si>
  <si>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</si>
  <si>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</si>
  <si>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</si>
  <si>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</si>
  <si>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</si>
  <si>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</si>
  <si>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</si>
  <si>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</si>
  <si>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</si>
  <si>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</si>
  <si>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</si>
  <si>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</si>
  <si>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</si>
  <si>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</si>
  <si>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</si>
  <si>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</si>
  <si>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</si>
  <si>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</si>
  <si>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</si>
  <si>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</si>
  <si>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</si>
  <si>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</si>
  <si>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</si>
  <si>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</si>
  <si>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</si>
  <si>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</si>
  <si>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</si>
  <si>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</si>
  <si>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</si>
  <si>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</si>
  <si>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</si>
  <si>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</si>
  <si>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</si>
  <si>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</si>
  <si>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</si>
  <si>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</si>
  <si>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</si>
  <si>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</si>
  <si>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</si>
  <si>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</si>
  <si>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</si>
  <si>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</si>
  <si>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</si>
  <si>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</si>
  <si>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</si>
  <si>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</si>
  <si>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</si>
  <si>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</si>
  <si>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</si>
  <si>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</si>
  <si>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</si>
  <si>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</si>
  <si>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</si>
  <si>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</si>
  <si>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</si>
  <si>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</si>
  <si>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</si>
  <si>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</si>
  <si>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</si>
  <si>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</si>
  <si>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</si>
  <si>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</si>
  <si>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</si>
  <si>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</si>
  <si>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</si>
  <si>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</si>
  <si>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</si>
  <si>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</si>
  <si>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</si>
  <si>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</si>
  <si>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</si>
  <si>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</si>
  <si>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</si>
  <si>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</si>
  <si>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</si>
  <si>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</si>
  <si>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</si>
  <si>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</si>
  <si>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</si>
  <si>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</si>
  <si>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</si>
  <si>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</si>
  <si>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</si>
  <si>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</si>
  <si>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</si>
  <si>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</si>
  <si>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</si>
  <si>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</si>
  <si>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</si>
  <si>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</si>
  <si>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</si>
  <si>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</si>
  <si>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</si>
  <si>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</si>
  <si>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</si>
  <si>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</si>
  <si>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</si>
  <si>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</si>
  <si>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</si>
  <si>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</si>
  <si>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</si>
  <si>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</si>
  <si>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</si>
  <si>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</si>
  <si>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</si>
  <si>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</si>
  <si>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</si>
  <si>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</si>
  <si>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</si>
  <si>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</si>
  <si>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</si>
  <si>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</si>
  <si>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</si>
  <si>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</si>
  <si>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</si>
  <si>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</si>
  <si>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</si>
  <si>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</si>
  <si>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</si>
  <si>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</si>
  <si>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</si>
  <si>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</si>
  <si>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</si>
  <si>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</si>
  <si>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</si>
  <si>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</si>
  <si>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</si>
  <si>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</si>
  <si>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Prices are in $(2012)/GJ LHV</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</si>
  <si>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</si>
  <si>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</si>
  <si>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</si>
  <si>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</si>
  <si>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</si>
  <si>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</si>
  <si>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</si>
  <si>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</si>
  <si>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H2A Version 2</t>
  </si>
  <si>
    <t>M. Penev</t>
  </si>
  <si>
    <t>Case was ported to H2A version 3</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</si>
  <si>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</si>
  <si>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</si>
  <si>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</si>
  <si>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</si>
  <si>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</si>
  <si>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</si>
  <si>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</si>
  <si>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</si>
  <si>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</si>
  <si>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</si>
  <si>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</si>
  <si>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</si>
  <si>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</si>
  <si>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</si>
  <si>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</si>
  <si>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</si>
  <si>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</si>
  <si>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</si>
  <si>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</si>
  <si>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</si>
  <si>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</si>
  <si>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</si>
  <si>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</si>
  <si>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</si>
  <si>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</si>
  <si>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</si>
  <si>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</si>
  <si>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</si>
  <si>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</si>
  <si>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</si>
  <si>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</si>
  <si>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</si>
  <si>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</si>
  <si>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</si>
  <si>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</si>
  <si>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</si>
  <si>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</si>
  <si>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</si>
  <si>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</si>
  <si>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</si>
  <si>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</si>
  <si>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</si>
  <si>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D. M. Steward</t>
  </si>
  <si>
    <t>NREL - Transferred to new model structure</t>
  </si>
  <si>
    <t>NREL - updated for release</t>
  </si>
  <si>
    <t>This version was not released</t>
  </si>
  <si>
    <t>Mike Rutkowski, Revise Capital and Feedstock $</t>
  </si>
  <si>
    <t>NJ Kuehn</t>
  </si>
  <si>
    <t>none</t>
  </si>
  <si>
    <t>NREL - tornado chart</t>
  </si>
  <si>
    <t>Version 1</t>
  </si>
  <si>
    <t>Spath, P.; Aden, A.; Eggeman, T.; Ringer, M.; Wallace, B.; Jechura, J. (2005). Biomass to Hydrogen Production Detailed Design and Economics Utilizing the Battelle Columbus Laboratory Indirectly-Heated Gasifier. 161 pp.; NREL Report No. TP-510-37408.  http://www.nrel.gov/docs/fy05osti/37408.pdf
Mann, M.K., Spath, P.L.; Life Cycle Assessment of a Biomass Gasification Combined-cycle Power System; NREL/TP--430-23076; National Renewable Energy Laboratory; Golden, CO; 1997.  (http://www.osti.gov/bridge/product.biblio.jsp?osti_id=567454&amp;queryId=2&amp;start=0)
Spath, P.L., Mann, M.K., Amos, W.A.; Update of Hydrogen from Biomass - Determination of the Delivered Cost of Hydrogen; NREL/MP-510-33112; National Renewable Energy Laboratory; Golden, CO; 2003.  (http://www.osti.gov/bridge/product.biblio.jsp?osti_id=15006097&amp;queryId=1&amp;start=0)</t>
  </si>
  <si>
    <t>Rob Williams, Nathan Parker, Christopher Yang, Joan Ogden and Bryan Jenkins, H2 Production Via Biomass Gasification, Advanced Energy Pathways (AEP) Project Task 4.1 Technology Assessments of Vehicle Fuels and Technologies, Public Interest Energy Research (PIER) Program California Energy Commission, July 2007.</t>
  </si>
  <si>
    <t>Sensitivity ranges derived from; October 2011
Hydrogen Production Cost Estimate Using Biomass Gasification
NREL/BK-6A10-51726</t>
  </si>
  <si>
    <t>utility</t>
  </si>
  <si>
    <t>Central Biomass Gasification - Current Timeframe</t>
  </si>
  <si>
    <t>Enter 0 to enable constant outstanding debt.</t>
  </si>
  <si>
    <t>H2A Hydrogen Production Cash Flow Analysis Tool v3.2018</t>
  </si>
  <si>
    <t>Default used?</t>
  </si>
  <si>
    <t>Run Risk Analysis (note: Risk analysis could take ~30 min to run)?</t>
  </si>
  <si>
    <t>Current (2015) Hydrogen Production from Central PEM Electrolysis</t>
  </si>
  <si>
    <t>D. DeSantis, B.James, G. Saur</t>
  </si>
  <si>
    <t>D. DeSantis</t>
  </si>
  <si>
    <t>703-797-4594</t>
  </si>
  <si>
    <t>ddesantis@sainc.com</t>
  </si>
  <si>
    <t>Strategic Analysis Inc.</t>
  </si>
  <si>
    <t>Grid Electricity (industrial)</t>
  </si>
  <si>
    <t>PEM Electrolysis</t>
  </si>
  <si>
    <r>
      <t>H</t>
    </r>
    <r>
      <rPr>
        <b/>
        <vertAlign val="subscript"/>
        <sz val="10"/>
        <rFont val="Arial"/>
        <family val="2"/>
      </rPr>
      <t>2</t>
    </r>
    <r>
      <rPr>
        <b/>
        <sz val="10"/>
        <rFont val="Arial"/>
        <family val="2"/>
      </rPr>
      <t xml:space="preserve"> Onsite Storage Type</t>
    </r>
  </si>
  <si>
    <t>USA</t>
  </si>
  <si>
    <t>Daniel DeSantis</t>
  </si>
  <si>
    <t>Created</t>
  </si>
  <si>
    <t>The purpose of this analysis is to provide a cost of production for hydrogen from PEM electrolysis through a techno-economic analysis of the current industrial market.</t>
  </si>
  <si>
    <t>The modeled system is a standalone grid powered PEM electrolyzer system with a total hydrogen production capacity of 50,000 kg/day. The production system is based on a generic system using input from several key industry collaborators (KIC) with commercial experience in PEM electrolysis and brief system and subsystem technoeconomic models conducted by the authors, the electrolyzer units use process water, passed through deionizing beds, and grid electricity for electrolysis</t>
  </si>
  <si>
    <t>Energy balances done manually from generic system estimates, equipment costing and performance from input from key industry collaborators (KIC).
The delivered cost of hydrogen was determined using a discounted cash flow analysis on the total capital investment and the periodic expenditures for repair, maintenance, and replacement.
A tornado plot was developed to show the sensitivity of the delivered hydrogen cost to several important variables.</t>
  </si>
  <si>
    <t>.</t>
  </si>
  <si>
    <t>Owner operated large for-profit business.</t>
  </si>
  <si>
    <t>Average Production Rate</t>
  </si>
  <si>
    <r>
      <t>kg H</t>
    </r>
    <r>
      <rPr>
        <vertAlign val="subscript"/>
        <sz val="10"/>
        <rFont val="Arial"/>
        <family val="2"/>
      </rPr>
      <t>2</t>
    </r>
    <r>
      <rPr>
        <sz val="10"/>
        <rFont val="Arial"/>
        <family val="2"/>
      </rPr>
      <t>/day</t>
    </r>
  </si>
  <si>
    <t>Current Density</t>
  </si>
  <si>
    <r>
      <t>A/cm</t>
    </r>
    <r>
      <rPr>
        <vertAlign val="superscript"/>
        <sz val="10"/>
        <rFont val="Arial"/>
        <family val="2"/>
      </rPr>
      <t>2</t>
    </r>
  </si>
  <si>
    <t>Voltage</t>
  </si>
  <si>
    <t>V/cell</t>
  </si>
  <si>
    <r>
      <t>T</t>
    </r>
    <r>
      <rPr>
        <vertAlign val="subscript"/>
        <sz val="10"/>
        <rFont val="Arial"/>
        <family val="2"/>
      </rPr>
      <t>operating</t>
    </r>
  </si>
  <si>
    <t>°C</t>
  </si>
  <si>
    <r>
      <t>H</t>
    </r>
    <r>
      <rPr>
        <vertAlign val="subscript"/>
        <sz val="10"/>
        <rFont val="Arial"/>
        <family val="2"/>
      </rPr>
      <t>2</t>
    </r>
    <r>
      <rPr>
        <sz val="10"/>
        <rFont val="Arial"/>
        <family val="2"/>
      </rPr>
      <t xml:space="preserve"> Outlet Pressure</t>
    </r>
  </si>
  <si>
    <t>Cell Active Area</t>
  </si>
  <si>
    <r>
      <t>cm</t>
    </r>
    <r>
      <rPr>
        <vertAlign val="superscript"/>
        <sz val="10"/>
        <rFont val="Arial"/>
        <family val="2"/>
      </rPr>
      <t>2</t>
    </r>
  </si>
  <si>
    <t>Cell/stack</t>
  </si>
  <si>
    <t>#</t>
  </si>
  <si>
    <t>Degradation Rate</t>
  </si>
  <si>
    <t>mV/1000 hrs</t>
  </si>
  <si>
    <t>Stack Life</t>
  </si>
  <si>
    <t>years</t>
  </si>
  <si>
    <t>Hours per stack life</t>
  </si>
  <si>
    <t>hrs/life</t>
  </si>
  <si>
    <t>V/life</t>
  </si>
  <si>
    <t>Stack oversize due to degradation</t>
  </si>
  <si>
    <t>%</t>
  </si>
  <si>
    <t>Peak Production Rate</t>
  </si>
  <si>
    <t>Total Active Area</t>
  </si>
  <si>
    <r>
      <t>m</t>
    </r>
    <r>
      <rPr>
        <vertAlign val="superscript"/>
        <sz val="10"/>
        <rFont val="Arial"/>
        <family val="2"/>
      </rPr>
      <t>2</t>
    </r>
  </si>
  <si>
    <t>Total Active Area (With degradation)</t>
  </si>
  <si>
    <t xml:space="preserve">Total System Electrical Usage </t>
  </si>
  <si>
    <r>
      <t>kWh/kg H</t>
    </r>
    <r>
      <rPr>
        <vertAlign val="subscript"/>
        <sz val="10"/>
        <rFont val="Arial"/>
        <family val="2"/>
      </rPr>
      <t>2</t>
    </r>
  </si>
  <si>
    <t>Stack Electrical Usage</t>
  </si>
  <si>
    <t>BoP Electrical Usage</t>
  </si>
  <si>
    <t>Total System Input Power (Peak)</t>
  </si>
  <si>
    <t>MW</t>
  </si>
  <si>
    <t>Stack Input Power (peak)</t>
  </si>
  <si>
    <t>Process Water Flow Rate</t>
  </si>
  <si>
    <r>
      <t>gal/kg H</t>
    </r>
    <r>
      <rPr>
        <vertAlign val="subscript"/>
        <sz val="10"/>
        <rFont val="Arial"/>
        <family val="2"/>
      </rPr>
      <t>2</t>
    </r>
  </si>
  <si>
    <t>$/kW</t>
  </si>
  <si>
    <t>Total System Cost</t>
  </si>
  <si>
    <t>Stack System Cost</t>
  </si>
  <si>
    <r>
      <t>$/cm</t>
    </r>
    <r>
      <rPr>
        <vertAlign val="superscript"/>
        <sz val="10"/>
        <rFont val="Arial"/>
        <family val="2"/>
      </rPr>
      <t>2</t>
    </r>
  </si>
  <si>
    <t>Mechanical BoP</t>
  </si>
  <si>
    <r>
      <t>$/(kg H</t>
    </r>
    <r>
      <rPr>
        <vertAlign val="subscript"/>
        <sz val="10"/>
        <rFont val="Arial"/>
        <family val="2"/>
      </rPr>
      <t>2</t>
    </r>
    <r>
      <rPr>
        <sz val="10"/>
        <rFont val="Arial"/>
        <family val="2"/>
      </rPr>
      <t>/day)</t>
    </r>
  </si>
  <si>
    <t>Electrical BoP</t>
  </si>
  <si>
    <t>Total System Cost from above</t>
  </si>
  <si>
    <t>$</t>
  </si>
  <si>
    <t>Price Conversion Factor (GJ/kWh)</t>
  </si>
  <si>
    <t>Price in Startup Year ($2016)/kWh</t>
  </si>
  <si>
    <t>Usage (kWh/kg H2)</t>
  </si>
  <si>
    <t>Cost in Startup Year</t>
  </si>
  <si>
    <t>utility Industrial Electricity Usage</t>
  </si>
  <si>
    <t>utilityIndustrial_Electricity_Usage</t>
  </si>
  <si>
    <t>$(2016)/ gal</t>
  </si>
  <si>
    <t>Usage per kg H2</t>
  </si>
  <si>
    <t>Stack Capital Cost</t>
  </si>
  <si>
    <t>Stack is oversized to account for degradation</t>
  </si>
  <si>
    <t>A 46% installation factor is included in the Bottoms Up Mechanical BoP Analysis</t>
  </si>
  <si>
    <t>15% replacement cost every 7 years based on questionnaire respondents and previous study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</si>
</sst>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164" formatCode="&quot;$&quot;#,##0_);\(&quot;$&quot;#,##0\)"/>
    <numFmt numFmtId="165" formatCode="&quot;$&quot;#,##0_);[Red]\(&quot;$&quot;#,##0\)"/>
    <numFmt numFmtId="166" formatCode="&quot;$&quot;#,##0.00_);\(&quot;$&quot;#,##0.00\)"/>
    <numFmt numFmtId="167" formatCode="_(&quot;$&quot;* #,##0_);_(&quot;$&quot;* \(#,##0\);_(&quot;$&quot;* &quot;-&quot;_);_(@_)"/>
    <numFmt numFmtId="168" formatCode="_(* #,##0_);_(* \(#,##0\);_(* &quot;-&quot;_);_(@_)"/>
    <numFmt numFmtId="169" formatCode="_(&quot;$&quot;* #,##0.00_);_(&quot;$&quot;* \(#,##0.00\);_(&quot;$&quot;* &quot;-&quot;??_);_(@_)"/>
    <numFmt numFmtId="170" formatCode="_(* #,##0.00_);_(* \(#,##0.00\);_(* &quot;-&quot;??_);_(@_)"/>
    <numFmt numFmtId="171" formatCode="0.0%"/>
    <numFmt numFmtId="172" formatCode="0.000"/>
    <numFmt numFmtId="173" formatCode="0.0"/>
    <numFmt numFmtId="174" formatCode="0.0000"/>
    <numFmt numFmtId="175" formatCode="0.000%"/>
    <numFmt numFmtId="176" formatCode="&quot;$&quot;#,##0.00"/>
    <numFmt numFmtId="177" formatCode="&quot;$&quot;#,##0"/>
    <numFmt numFmtId="178" formatCode="#,##0.0"/>
    <numFmt numFmtId="179" formatCode="_(* #,##0_);_(* \(#,##0\);_(* &quot;-&quot;??_);_(@_)"/>
    <numFmt numFmtId="180" formatCode="General_)"/>
    <numFmt numFmtId="181" formatCode="&quot;$&quot;#,##0.0000"/>
    <numFmt numFmtId="182" formatCode="#,##0.000_);[Red]\(#,##0.000\)"/>
    <numFmt numFmtId="183" formatCode="&quot;$&quot;#,##0.000000"/>
    <numFmt numFmtId="184" formatCode="#,##0.00000"/>
    <numFmt numFmtId="185" formatCode="_(&quot;$&quot;* #,##0_);_(&quot;$&quot;* \(#,##0\);_(&quot;$&quot;* &quot;-&quot;??_);_(@_)"/>
    <numFmt numFmtId="186" formatCode="0.00_)"/>
    <numFmt numFmtId="187" formatCode="#,##0.0_);\(#,##0.0\)"/>
    <numFmt numFmtId="188" formatCode="&quot;$&quot;#,##0.00000000"/>
    <numFmt numFmtId="189" formatCode="&quot;$&quot;#,##0.000000000000"/>
    <numFmt numFmtId="190" formatCode="_(* #,##0.000_);_(* \(#,##0.000\);_(* &quot;-&quot;??_);_(@_)"/>
    <numFmt numFmtId="191" formatCode="&quot;$&quot;#,##0.000_);[Red]\(&quot;$&quot;#,##0.000\)"/>
    <numFmt numFmtId="192" formatCode="&quot;$&quot;#,##0.0000_);[Red]\(&quot;$&quot;#,##0.0000\)"/>
    <numFmt numFmtId="193" formatCode="#0.0"/>
    <numFmt numFmtId="194" formatCode="#0.00"/>
    <numFmt numFmtId="195" formatCode="0;;&quot;Constant debt&quot;"/>
  </numFmts>
  <fonts count="85">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sz val="8"/>
      <color rgb="FF000000"/>
      <name val="Segoe UI"/>
      <family val="2"/>
    </font>
    <font>
      <sz val="10"/>
      <color theme="0" tint="-0.34998626667073579"/>
      <name val="Arial"/>
      <family val="2"/>
    </font>
    <font>
      <b/>
      <vertAlign val="subscript"/>
      <sz val="10"/>
      <name val="Arial"/>
      <family val="2"/>
    </font>
    <font>
      <vertAlign val="superscript"/>
      <sz val="10"/>
      <name val="Arial"/>
      <family val="2"/>
    </font>
  </fonts>
  <fills count="27">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s>
  <borders count="17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s>
  <cellStyleXfs count="21">
    <xf numFmtId="0" fontId="0" fillId="0" borderId="0"/>
    <xf numFmtId="170" fontId="1" fillId="0" borderId="0" applyFont="0" applyFill="0" applyBorder="0" applyAlignment="0" applyProtection="0"/>
    <xf numFmtId="170" fontId="61" fillId="0" borderId="0" applyFont="0" applyFill="0" applyBorder="0" applyAlignment="0" applyProtection="0"/>
    <xf numFmtId="169" fontId="1" fillId="0" borderId="0" applyFont="0" applyFill="0" applyBorder="0" applyAlignment="0" applyProtection="0"/>
    <xf numFmtId="169" fontId="61"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2" fillId="0" borderId="0"/>
    <xf numFmtId="0" fontId="62" fillId="0" borderId="0"/>
    <xf numFmtId="0" fontId="58" fillId="0" borderId="0"/>
    <xf numFmtId="0" fontId="62" fillId="0" borderId="0"/>
    <xf numFmtId="180" fontId="52" fillId="0" borderId="0"/>
    <xf numFmtId="180" fontId="52" fillId="0" borderId="0"/>
    <xf numFmtId="0" fontId="11" fillId="0" borderId="0"/>
    <xf numFmtId="0" fontId="11" fillId="0" borderId="0"/>
    <xf numFmtId="180" fontId="15" fillId="0" borderId="0"/>
    <xf numFmtId="9" fontId="1" fillId="0" borderId="0" applyFont="0" applyFill="0" applyBorder="0" applyAlignment="0" applyProtection="0"/>
    <xf numFmtId="9" fontId="11" fillId="0" borderId="0" applyFont="0" applyFill="0" applyBorder="0" applyAlignment="0" applyProtection="0"/>
    <xf numFmtId="9" fontId="61" fillId="0" borderId="0" applyFont="0" applyFill="0" applyBorder="0" applyAlignment="0" applyProtection="0"/>
    <xf numFmtId="0" fontId="74" fillId="0" borderId="0"/>
  </cellStyleXfs>
  <cellXfs count="1597">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Alignment="1">
      <alignment vertical="center" wrapText="1"/>
    </xf>
    <xf numFmtId="0" fontId="8" fillId="3" borderId="0" xfId="0" applyFont="1" applyFill="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Alignment="1">
      <alignment horizontal="left" vertical="center" wrapText="1"/>
    </xf>
    <xf numFmtId="1" fontId="7" fillId="2" borderId="0" xfId="0" applyNumberFormat="1" applyFont="1" applyFill="1" applyAlignment="1">
      <alignment horizontal="center" vertical="center"/>
    </xf>
    <xf numFmtId="3" fontId="7" fillId="0" borderId="0" xfId="0" applyNumberFormat="1" applyFont="1" applyAlignment="1">
      <alignment horizontal="center" vertical="center"/>
    </xf>
    <xf numFmtId="0" fontId="7" fillId="2" borderId="4" xfId="0" applyFont="1" applyFill="1" applyBorder="1" applyAlignment="1">
      <alignment vertical="center" wrapText="1"/>
    </xf>
    <xf numFmtId="0" fontId="8" fillId="2" borderId="0" xfId="0" applyFont="1" applyFill="1" applyAlignment="1">
      <alignment vertical="center" wrapText="1"/>
    </xf>
    <xf numFmtId="3" fontId="7" fillId="2" borderId="0" xfId="0" applyNumberFormat="1" applyFont="1" applyFill="1" applyAlignment="1">
      <alignment horizontal="center" vertical="center"/>
    </xf>
    <xf numFmtId="173" fontId="7" fillId="2" borderId="0" xfId="0" applyNumberFormat="1" applyFont="1" applyFill="1" applyAlignment="1">
      <alignment horizontal="center" vertical="center"/>
    </xf>
    <xf numFmtId="3" fontId="7" fillId="2" borderId="0" xfId="0" applyNumberFormat="1" applyFont="1" applyFill="1" applyAlignment="1">
      <alignment horizontal="center" vertical="center" wrapText="1"/>
    </xf>
    <xf numFmtId="173"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Alignment="1">
      <alignment vertical="center"/>
    </xf>
    <xf numFmtId="3" fontId="7" fillId="2" borderId="0" xfId="0" quotePrefix="1" applyNumberFormat="1" applyFont="1" applyFill="1" applyAlignment="1">
      <alignment horizontal="center" vertical="center" wrapText="1"/>
    </xf>
    <xf numFmtId="0" fontId="7" fillId="2" borderId="4" xfId="0" applyFont="1" applyFill="1" applyBorder="1" applyAlignment="1">
      <alignment horizontal="left" wrapText="1"/>
    </xf>
    <xf numFmtId="0" fontId="7" fillId="2" borderId="0" xfId="0" applyFont="1" applyFill="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11" fillId="0" borderId="0" xfId="0" applyFont="1" applyAlignment="1">
      <alignment vertical="top" wrapText="1"/>
    </xf>
    <xf numFmtId="0" fontId="11" fillId="3" borderId="8" xfId="0" applyFont="1" applyFill="1" applyBorder="1" applyAlignment="1">
      <alignment horizontal="left" vertical="center" wrapText="1"/>
    </xf>
    <xf numFmtId="0" fontId="16" fillId="0" borderId="0" xfId="0" applyFont="1"/>
    <xf numFmtId="0" fontId="11" fillId="0" borderId="0" xfId="0" applyFont="1" applyAlignment="1">
      <alignment horizontal="left" vertical="center" wrapText="1"/>
    </xf>
    <xf numFmtId="0" fontId="3" fillId="0" borderId="0" xfId="0" quotePrefix="1" applyFont="1" applyAlignment="1">
      <alignment horizontal="left" vertical="center"/>
    </xf>
    <xf numFmtId="0" fontId="12" fillId="4" borderId="0" xfId="0" applyFont="1" applyFill="1"/>
    <xf numFmtId="0" fontId="11" fillId="4" borderId="0" xfId="0" applyFont="1" applyFill="1"/>
    <xf numFmtId="0" fontId="11" fillId="0" borderId="0" xfId="0" applyFont="1"/>
    <xf numFmtId="0" fontId="11" fillId="5" borderId="8" xfId="0" applyFont="1" applyFill="1" applyBorder="1" applyAlignment="1">
      <alignment horizontal="left" vertical="center" wrapText="1"/>
    </xf>
    <xf numFmtId="0" fontId="11" fillId="6" borderId="8" xfId="0" applyFont="1" applyFill="1" applyBorder="1" applyAlignment="1">
      <alignment horizontal="left" vertical="center" wrapText="1"/>
    </xf>
    <xf numFmtId="0" fontId="0" fillId="4" borderId="8" xfId="0" applyFill="1" applyBorder="1"/>
    <xf numFmtId="180" fontId="17" fillId="0" borderId="9" xfId="16" applyFont="1" applyBorder="1"/>
    <xf numFmtId="180" fontId="17" fillId="0" borderId="10" xfId="16" applyFont="1" applyBorder="1"/>
    <xf numFmtId="0" fontId="0" fillId="0" borderId="10" xfId="0" applyBorder="1"/>
    <xf numFmtId="0" fontId="0" fillId="0" borderId="11" xfId="0" applyBorder="1"/>
    <xf numFmtId="180" fontId="11" fillId="0" borderId="0" xfId="16" applyFont="1"/>
    <xf numFmtId="180" fontId="3" fillId="0" borderId="13" xfId="16" applyFont="1" applyBorder="1" applyAlignment="1">
      <alignment horizontal="center"/>
    </xf>
    <xf numFmtId="180" fontId="3" fillId="0" borderId="14" xfId="16" applyFont="1" applyBorder="1" applyAlignment="1">
      <alignment horizontal="center"/>
    </xf>
    <xf numFmtId="180" fontId="3" fillId="0" borderId="15" xfId="16" applyFont="1" applyBorder="1" applyAlignment="1">
      <alignment horizontal="center"/>
    </xf>
    <xf numFmtId="180" fontId="3" fillId="0" borderId="16" xfId="16" applyFont="1" applyBorder="1" applyAlignment="1">
      <alignment horizontal="center"/>
    </xf>
    <xf numFmtId="180" fontId="11" fillId="3" borderId="17" xfId="16" applyFont="1" applyFill="1" applyBorder="1"/>
    <xf numFmtId="177" fontId="11" fillId="3" borderId="8" xfId="16" applyNumberFormat="1" applyFont="1" applyFill="1" applyBorder="1"/>
    <xf numFmtId="177" fontId="11" fillId="3" borderId="19" xfId="16" applyNumberFormat="1" applyFont="1" applyFill="1" applyBorder="1"/>
    <xf numFmtId="180" fontId="11" fillId="3" borderId="20" xfId="16" applyFont="1" applyFill="1" applyBorder="1"/>
    <xf numFmtId="177" fontId="11" fillId="3" borderId="23" xfId="16" applyNumberFormat="1" applyFont="1" applyFill="1" applyBorder="1"/>
    <xf numFmtId="0" fontId="17" fillId="3" borderId="24" xfId="0" applyFont="1" applyFill="1" applyBorder="1"/>
    <xf numFmtId="0" fontId="0" fillId="3" borderId="10" xfId="0" applyFill="1" applyBorder="1"/>
    <xf numFmtId="0" fontId="0" fillId="3" borderId="11" xfId="0" applyFill="1" applyBorder="1"/>
    <xf numFmtId="0" fontId="0" fillId="3" borderId="25" xfId="0" applyFill="1" applyBorder="1"/>
    <xf numFmtId="0" fontId="0" fillId="3" borderId="26" xfId="0" applyFill="1" applyBorder="1" applyAlignment="1">
      <alignment horizontal="center"/>
    </xf>
    <xf numFmtId="0" fontId="0" fillId="3" borderId="27" xfId="0" applyFill="1" applyBorder="1" applyAlignment="1">
      <alignment horizontal="center"/>
    </xf>
    <xf numFmtId="0" fontId="0" fillId="3" borderId="12" xfId="0" applyFill="1" applyBorder="1"/>
    <xf numFmtId="0" fontId="0" fillId="3" borderId="25" xfId="0" applyFill="1" applyBorder="1" applyAlignment="1">
      <alignment horizontal="center"/>
    </xf>
    <xf numFmtId="0" fontId="0" fillId="3" borderId="28" xfId="0" applyFill="1" applyBorder="1"/>
    <xf numFmtId="10" fontId="0" fillId="3" borderId="29" xfId="0" applyNumberFormat="1" applyFill="1" applyBorder="1"/>
    <xf numFmtId="10" fontId="0" fillId="3" borderId="30" xfId="0" applyNumberFormat="1" applyFill="1" applyBorder="1"/>
    <xf numFmtId="175" fontId="0" fillId="3" borderId="31" xfId="0" applyNumberFormat="1" applyFill="1" applyBorder="1"/>
    <xf numFmtId="0" fontId="0" fillId="3" borderId="32" xfId="0" applyFill="1" applyBorder="1"/>
    <xf numFmtId="10" fontId="0" fillId="3" borderId="18" xfId="0" applyNumberFormat="1" applyFill="1" applyBorder="1"/>
    <xf numFmtId="10" fontId="0" fillId="3" borderId="8" xfId="0" applyNumberFormat="1" applyFill="1" applyBorder="1"/>
    <xf numFmtId="175" fontId="0" fillId="3" borderId="19" xfId="0" applyNumberFormat="1" applyFill="1" applyBorder="1"/>
    <xf numFmtId="0" fontId="0" fillId="3" borderId="33" xfId="0" applyFill="1" applyBorder="1"/>
    <xf numFmtId="10" fontId="0" fillId="3" borderId="21" xfId="0" applyNumberFormat="1" applyFill="1" applyBorder="1"/>
    <xf numFmtId="10" fontId="0" fillId="3" borderId="22" xfId="0" applyNumberFormat="1" applyFill="1" applyBorder="1"/>
    <xf numFmtId="175" fontId="0" fillId="3" borderId="23" xfId="0" applyNumberFormat="1" applyFill="1" applyBorder="1"/>
    <xf numFmtId="0" fontId="0" fillId="3" borderId="34" xfId="0" applyFill="1" applyBorder="1"/>
    <xf numFmtId="182" fontId="0" fillId="3" borderId="13" xfId="0" applyNumberFormat="1" applyFill="1" applyBorder="1"/>
    <xf numFmtId="182" fontId="0" fillId="3" borderId="15" xfId="0" applyNumberFormat="1" applyFill="1" applyBorder="1"/>
    <xf numFmtId="182" fontId="0" fillId="3" borderId="16" xfId="0" applyNumberFormat="1" applyFill="1" applyBorder="1"/>
    <xf numFmtId="182" fontId="0" fillId="3" borderId="20" xfId="0" applyNumberFormat="1" applyFill="1" applyBorder="1"/>
    <xf numFmtId="182" fontId="0" fillId="3" borderId="22" xfId="0" applyNumberFormat="1" applyFill="1" applyBorder="1"/>
    <xf numFmtId="182" fontId="0" fillId="3" borderId="23" xfId="0" applyNumberFormat="1" applyFill="1" applyBorder="1"/>
    <xf numFmtId="0" fontId="17" fillId="3" borderId="25" xfId="0" applyFont="1" applyFill="1" applyBorder="1"/>
    <xf numFmtId="0" fontId="0" fillId="3" borderId="27" xfId="0" applyFill="1" applyBorder="1"/>
    <xf numFmtId="0" fontId="0" fillId="3" borderId="13" xfId="0" applyFill="1" applyBorder="1"/>
    <xf numFmtId="0" fontId="0" fillId="3" borderId="16" xfId="0" applyFill="1" applyBorder="1" applyAlignment="1">
      <alignment horizontal="right"/>
    </xf>
    <xf numFmtId="0" fontId="0" fillId="3" borderId="17" xfId="0" applyFill="1" applyBorder="1"/>
    <xf numFmtId="0" fontId="0" fillId="3" borderId="19" xfId="0" applyFill="1" applyBorder="1" applyAlignment="1">
      <alignment horizontal="right"/>
    </xf>
    <xf numFmtId="0" fontId="0" fillId="3" borderId="20" xfId="0" applyFill="1" applyBorder="1"/>
    <xf numFmtId="177" fontId="0" fillId="3" borderId="23" xfId="0" applyNumberFormat="1" applyFill="1" applyBorder="1"/>
    <xf numFmtId="0" fontId="17" fillId="3" borderId="9" xfId="0" applyFont="1" applyFill="1" applyBorder="1"/>
    <xf numFmtId="0" fontId="0" fillId="3" borderId="9" xfId="0" applyFill="1" applyBorder="1"/>
    <xf numFmtId="0" fontId="0" fillId="3" borderId="12" xfId="0" applyFill="1" applyBorder="1" applyAlignment="1">
      <alignment wrapText="1"/>
    </xf>
    <xf numFmtId="0" fontId="0" fillId="3" borderId="35" xfId="0" applyFill="1" applyBorder="1"/>
    <xf numFmtId="0" fontId="0" fillId="3" borderId="26" xfId="0" applyFill="1" applyBorder="1"/>
    <xf numFmtId="177" fontId="0" fillId="3" borderId="29" xfId="0" applyNumberFormat="1" applyFill="1" applyBorder="1"/>
    <xf numFmtId="177" fontId="0" fillId="3" borderId="30" xfId="0" applyNumberFormat="1" applyFill="1" applyBorder="1"/>
    <xf numFmtId="177" fontId="0" fillId="3" borderId="31" xfId="0" applyNumberFormat="1" applyFill="1" applyBorder="1"/>
    <xf numFmtId="177" fontId="0" fillId="3" borderId="28" xfId="0" applyNumberFormat="1" applyFill="1" applyBorder="1"/>
    <xf numFmtId="177" fontId="0" fillId="3" borderId="32" xfId="0" applyNumberFormat="1" applyFill="1" applyBorder="1"/>
    <xf numFmtId="177" fontId="0" fillId="3" borderId="18" xfId="0" applyNumberFormat="1" applyFill="1" applyBorder="1"/>
    <xf numFmtId="177" fontId="0" fillId="3" borderId="8" xfId="0" applyNumberFormat="1" applyFill="1" applyBorder="1"/>
    <xf numFmtId="177" fontId="0" fillId="3" borderId="19" xfId="0" applyNumberFormat="1" applyFill="1" applyBorder="1"/>
    <xf numFmtId="177" fontId="0" fillId="3" borderId="21" xfId="0" applyNumberFormat="1" applyFill="1" applyBorder="1"/>
    <xf numFmtId="177" fontId="0" fillId="3" borderId="22" xfId="0" applyNumberFormat="1" applyFill="1" applyBorder="1"/>
    <xf numFmtId="177" fontId="0" fillId="3" borderId="33" xfId="0" applyNumberFormat="1" applyFill="1" applyBorder="1"/>
    <xf numFmtId="177" fontId="0" fillId="0" borderId="0" xfId="0" applyNumberFormat="1"/>
    <xf numFmtId="0" fontId="3" fillId="3" borderId="13" xfId="0" applyFont="1" applyFill="1" applyBorder="1"/>
    <xf numFmtId="0" fontId="3" fillId="3" borderId="15" xfId="0" applyFont="1" applyFill="1" applyBorder="1"/>
    <xf numFmtId="0" fontId="3" fillId="3" borderId="16" xfId="0" applyFont="1" applyFill="1" applyBorder="1" applyAlignment="1">
      <alignment wrapText="1"/>
    </xf>
    <xf numFmtId="164" fontId="1" fillId="3" borderId="19" xfId="3" applyNumberFormat="1" applyFill="1" applyBorder="1" applyProtection="1"/>
    <xf numFmtId="0" fontId="0" fillId="3" borderId="36" xfId="0" applyFill="1" applyBorder="1"/>
    <xf numFmtId="177" fontId="0" fillId="3" borderId="37" xfId="0" applyNumberFormat="1" applyFill="1" applyBorder="1"/>
    <xf numFmtId="164" fontId="1" fillId="3" borderId="38" xfId="3" applyNumberFormat="1" applyFill="1" applyBorder="1" applyProtection="1"/>
    <xf numFmtId="0" fontId="3" fillId="3" borderId="25" xfId="0" applyFont="1" applyFill="1" applyBorder="1"/>
    <xf numFmtId="177" fontId="3" fillId="3" borderId="26" xfId="0" applyNumberFormat="1" applyFont="1" applyFill="1" applyBorder="1"/>
    <xf numFmtId="164" fontId="3" fillId="3" borderId="27" xfId="3" applyNumberFormat="1" applyFont="1" applyFill="1" applyBorder="1" applyProtection="1"/>
    <xf numFmtId="177" fontId="3" fillId="0" borderId="0" xfId="0" applyNumberFormat="1" applyFont="1"/>
    <xf numFmtId="164" fontId="3" fillId="0" borderId="0" xfId="3" applyNumberFormat="1" applyFont="1" applyFill="1" applyBorder="1" applyProtection="1"/>
    <xf numFmtId="0" fontId="3" fillId="3" borderId="20" xfId="0" applyFont="1" applyFill="1" applyBorder="1" applyAlignment="1">
      <alignment wrapText="1"/>
    </xf>
    <xf numFmtId="0" fontId="3" fillId="3" borderId="23" xfId="0" applyFont="1" applyFill="1" applyBorder="1" applyAlignment="1">
      <alignment wrapText="1"/>
    </xf>
    <xf numFmtId="0" fontId="0" fillId="3" borderId="39" xfId="0" applyFill="1" applyBorder="1"/>
    <xf numFmtId="177" fontId="3" fillId="3" borderId="27" xfId="0" applyNumberFormat="1" applyFont="1" applyFill="1" applyBorder="1"/>
    <xf numFmtId="180" fontId="16" fillId="0" borderId="0" xfId="16" applyFont="1" applyAlignment="1">
      <alignment horizontal="left"/>
    </xf>
    <xf numFmtId="180" fontId="7" fillId="0" borderId="0" xfId="16" applyFont="1"/>
    <xf numFmtId="180" fontId="19" fillId="0" borderId="0" xfId="16" applyFont="1"/>
    <xf numFmtId="180" fontId="20" fillId="0" borderId="0" xfId="16" applyFont="1" applyAlignment="1">
      <alignment horizontal="left"/>
    </xf>
    <xf numFmtId="180" fontId="11" fillId="0" borderId="17" xfId="16" applyFont="1" applyBorder="1" applyAlignment="1">
      <alignment wrapText="1"/>
    </xf>
    <xf numFmtId="180" fontId="11" fillId="0" borderId="17" xfId="16" applyFont="1" applyBorder="1"/>
    <xf numFmtId="171" fontId="11" fillId="3" borderId="19" xfId="16" applyNumberFormat="1" applyFont="1" applyFill="1" applyBorder="1" applyAlignment="1">
      <alignment horizontal="center"/>
    </xf>
    <xf numFmtId="180" fontId="11" fillId="0" borderId="36" xfId="16" applyFont="1" applyBorder="1"/>
    <xf numFmtId="171" fontId="11" fillId="3" borderId="38" xfId="16" applyNumberFormat="1" applyFont="1" applyFill="1" applyBorder="1" applyAlignment="1">
      <alignment horizontal="center"/>
    </xf>
    <xf numFmtId="0" fontId="19" fillId="0" borderId="0" xfId="0" applyFont="1" applyAlignment="1">
      <alignment horizontal="left" vertical="center"/>
    </xf>
    <xf numFmtId="180" fontId="11" fillId="0" borderId="36" xfId="16" applyFont="1" applyBorder="1" applyAlignment="1">
      <alignment wrapText="1"/>
    </xf>
    <xf numFmtId="172" fontId="11" fillId="3" borderId="38" xfId="16" applyNumberFormat="1" applyFont="1" applyFill="1" applyBorder="1" applyAlignment="1">
      <alignment horizontal="center"/>
    </xf>
    <xf numFmtId="180" fontId="11" fillId="0" borderId="20" xfId="16" applyFont="1" applyBorder="1"/>
    <xf numFmtId="0" fontId="17" fillId="0" borderId="10" xfId="0" applyFont="1" applyBorder="1" applyAlignment="1">
      <alignment wrapText="1"/>
    </xf>
    <xf numFmtId="180" fontId="11" fillId="0" borderId="11" xfId="16" applyFont="1" applyBorder="1"/>
    <xf numFmtId="10" fontId="11" fillId="0" borderId="0" xfId="17" applyNumberFormat="1" applyFont="1" applyFill="1" applyBorder="1" applyProtection="1"/>
    <xf numFmtId="180" fontId="3" fillId="0" borderId="40" xfId="16" applyFont="1" applyBorder="1" applyAlignment="1">
      <alignment horizontal="center"/>
    </xf>
    <xf numFmtId="171" fontId="11" fillId="3" borderId="31" xfId="16" applyNumberFormat="1" applyFont="1" applyFill="1" applyBorder="1"/>
    <xf numFmtId="171" fontId="11" fillId="3" borderId="19" xfId="16" applyNumberFormat="1" applyFont="1" applyFill="1" applyBorder="1"/>
    <xf numFmtId="180" fontId="17" fillId="0" borderId="9" xfId="16" applyFont="1" applyBorder="1" applyAlignment="1">
      <alignment horizontal="left"/>
    </xf>
    <xf numFmtId="180" fontId="21" fillId="0" borderId="17" xfId="16" applyFont="1" applyBorder="1" applyAlignment="1">
      <alignment horizontal="left"/>
    </xf>
    <xf numFmtId="180" fontId="11" fillId="0" borderId="19" xfId="16" applyFont="1" applyBorder="1"/>
    <xf numFmtId="180" fontId="11" fillId="0" borderId="17" xfId="16" applyFont="1" applyBorder="1" applyAlignment="1">
      <alignment horizontal="left" wrapText="1"/>
    </xf>
    <xf numFmtId="3" fontId="11" fillId="3" borderId="19" xfId="16" applyNumberFormat="1" applyFont="1" applyFill="1" applyBorder="1"/>
    <xf numFmtId="180" fontId="11" fillId="0" borderId="17" xfId="16" applyFont="1" applyBorder="1" applyAlignment="1">
      <alignment horizontal="left"/>
    </xf>
    <xf numFmtId="0" fontId="11" fillId="0" borderId="17" xfId="0" applyFont="1" applyBorder="1" applyAlignment="1">
      <alignment horizontal="left" vertical="center"/>
    </xf>
    <xf numFmtId="2" fontId="11" fillId="3" borderId="19" xfId="16" applyNumberFormat="1" applyFont="1" applyFill="1" applyBorder="1"/>
    <xf numFmtId="1" fontId="11" fillId="3" borderId="19" xfId="16" applyNumberFormat="1" applyFont="1" applyFill="1" applyBorder="1"/>
    <xf numFmtId="180" fontId="22" fillId="0" borderId="0" xfId="16" applyFont="1"/>
    <xf numFmtId="9" fontId="11" fillId="3" borderId="19" xfId="16" applyNumberFormat="1" applyFont="1" applyFill="1" applyBorder="1"/>
    <xf numFmtId="9" fontId="11" fillId="3" borderId="7" xfId="16" applyNumberFormat="1" applyFont="1" applyFill="1" applyBorder="1"/>
    <xf numFmtId="171" fontId="11" fillId="0" borderId="19" xfId="16" applyNumberFormat="1" applyFont="1" applyBorder="1"/>
    <xf numFmtId="180" fontId="21" fillId="0" borderId="17" xfId="16" applyFont="1" applyBorder="1"/>
    <xf numFmtId="9" fontId="11" fillId="0" borderId="19" xfId="16" applyNumberFormat="1" applyFont="1" applyBorder="1"/>
    <xf numFmtId="10" fontId="11" fillId="3" borderId="19" xfId="16" applyNumberFormat="1" applyFont="1" applyFill="1" applyBorder="1"/>
    <xf numFmtId="166" fontId="11" fillId="0" borderId="0" xfId="3" applyNumberFormat="1" applyFont="1" applyFill="1" applyBorder="1" applyProtection="1"/>
    <xf numFmtId="1" fontId="11" fillId="3" borderId="19" xfId="16" applyNumberFormat="1" applyFont="1" applyFill="1" applyBorder="1" applyAlignment="1">
      <alignment horizontal="right"/>
    </xf>
    <xf numFmtId="177" fontId="11" fillId="3" borderId="19" xfId="16" applyNumberFormat="1" applyFont="1" applyFill="1" applyBorder="1" applyAlignment="1">
      <alignment horizontal="right"/>
    </xf>
    <xf numFmtId="180" fontId="11" fillId="0" borderId="20" xfId="16" applyFont="1" applyBorder="1" applyAlignment="1">
      <alignment wrapText="1"/>
    </xf>
    <xf numFmtId="0" fontId="0" fillId="0" borderId="10" xfId="0" applyBorder="1" applyAlignment="1">
      <alignment wrapText="1"/>
    </xf>
    <xf numFmtId="180" fontId="3" fillId="0" borderId="0" xfId="16" applyFont="1" applyAlignment="1">
      <alignment horizontal="center" wrapText="1"/>
    </xf>
    <xf numFmtId="180" fontId="11" fillId="3" borderId="13" xfId="16" applyFont="1" applyFill="1" applyBorder="1"/>
    <xf numFmtId="180" fontId="11" fillId="3" borderId="15" xfId="16" applyFont="1" applyFill="1" applyBorder="1"/>
    <xf numFmtId="172" fontId="11" fillId="3" borderId="15" xfId="16" applyNumberFormat="1" applyFont="1" applyFill="1" applyBorder="1"/>
    <xf numFmtId="177" fontId="11" fillId="3" borderId="15" xfId="16" applyNumberFormat="1" applyFont="1" applyFill="1" applyBorder="1"/>
    <xf numFmtId="165" fontId="11" fillId="3" borderId="15" xfId="16" applyNumberFormat="1" applyFont="1" applyFill="1" applyBorder="1"/>
    <xf numFmtId="171" fontId="1" fillId="3" borderId="15" xfId="17" applyNumberFormat="1" applyFill="1" applyBorder="1" applyProtection="1"/>
    <xf numFmtId="180" fontId="11" fillId="3" borderId="8" xfId="16" applyFont="1" applyFill="1" applyBorder="1"/>
    <xf numFmtId="172" fontId="11" fillId="3" borderId="8" xfId="16" applyNumberFormat="1" applyFont="1" applyFill="1" applyBorder="1"/>
    <xf numFmtId="165" fontId="11" fillId="3" borderId="8" xfId="16" applyNumberFormat="1" applyFont="1" applyFill="1" applyBorder="1"/>
    <xf numFmtId="171" fontId="1" fillId="3" borderId="8" xfId="17" applyNumberFormat="1" applyFill="1" applyBorder="1" applyProtection="1"/>
    <xf numFmtId="180" fontId="11" fillId="3" borderId="22" xfId="16" applyFont="1" applyFill="1" applyBorder="1"/>
    <xf numFmtId="165" fontId="11" fillId="3" borderId="22" xfId="16" applyNumberFormat="1" applyFont="1" applyFill="1" applyBorder="1"/>
    <xf numFmtId="180" fontId="11" fillId="0" borderId="0" xfId="16" applyFont="1" applyAlignment="1">
      <alignment horizontal="right"/>
    </xf>
    <xf numFmtId="177" fontId="11" fillId="0" borderId="0" xfId="16" applyNumberFormat="1" applyFont="1"/>
    <xf numFmtId="0" fontId="17" fillId="0" borderId="11" xfId="0" applyFont="1" applyBorder="1" applyAlignment="1">
      <alignment wrapText="1"/>
    </xf>
    <xf numFmtId="180" fontId="11" fillId="3" borderId="17" xfId="16" applyFont="1" applyFill="1" applyBorder="1" applyAlignment="1">
      <alignment horizontal="right"/>
    </xf>
    <xf numFmtId="10" fontId="11" fillId="3" borderId="8" xfId="16" applyNumberFormat="1" applyFont="1" applyFill="1" applyBorder="1"/>
    <xf numFmtId="176" fontId="11" fillId="3" borderId="19" xfId="16" applyNumberFormat="1" applyFont="1" applyFill="1" applyBorder="1" applyAlignment="1">
      <alignment horizontal="right"/>
    </xf>
    <xf numFmtId="180" fontId="11" fillId="3" borderId="20" xfId="16" applyFont="1" applyFill="1" applyBorder="1" applyAlignment="1">
      <alignment horizontal="right" wrapText="1"/>
    </xf>
    <xf numFmtId="10" fontId="11" fillId="3" borderId="22" xfId="16" applyNumberFormat="1" applyFont="1" applyFill="1" applyBorder="1"/>
    <xf numFmtId="176" fontId="11" fillId="3" borderId="23" xfId="16" applyNumberFormat="1" applyFont="1" applyFill="1" applyBorder="1" applyAlignment="1">
      <alignment horizontal="right"/>
    </xf>
    <xf numFmtId="180" fontId="17" fillId="0" borderId="46" xfId="16" applyFont="1" applyBorder="1"/>
    <xf numFmtId="0" fontId="0" fillId="0" borderId="47" xfId="0" applyBorder="1" applyAlignment="1">
      <alignment wrapText="1"/>
    </xf>
    <xf numFmtId="180" fontId="17" fillId="0" borderId="9" xfId="16" applyFont="1" applyBorder="1" applyAlignment="1">
      <alignment wrapText="1"/>
    </xf>
    <xf numFmtId="0" fontId="17" fillId="0" borderId="9" xfId="0" applyFont="1" applyBorder="1" applyAlignment="1">
      <alignment wrapText="1"/>
    </xf>
    <xf numFmtId="180" fontId="3" fillId="0" borderId="48" xfId="16" applyFont="1" applyBorder="1" applyAlignment="1">
      <alignment horizontal="center"/>
    </xf>
    <xf numFmtId="180" fontId="11" fillId="3" borderId="49" xfId="16" applyFont="1" applyFill="1" applyBorder="1"/>
    <xf numFmtId="176" fontId="11" fillId="3" borderId="17" xfId="16" applyNumberFormat="1" applyFont="1" applyFill="1" applyBorder="1"/>
    <xf numFmtId="176" fontId="11" fillId="3" borderId="8" xfId="16" applyNumberFormat="1" applyFont="1" applyFill="1" applyBorder="1"/>
    <xf numFmtId="180" fontId="11" fillId="3" borderId="50" xfId="16" applyFont="1" applyFill="1" applyBorder="1"/>
    <xf numFmtId="0" fontId="0" fillId="0" borderId="0" xfId="0" applyAlignment="1" applyProtection="1">
      <alignment wrapText="1"/>
      <protection locked="0"/>
    </xf>
    <xf numFmtId="0" fontId="0" fillId="0" borderId="0" xfId="0" applyProtection="1">
      <protection locked="0"/>
    </xf>
    <xf numFmtId="0" fontId="11" fillId="0" borderId="0" xfId="0" applyFont="1" applyProtection="1">
      <protection locked="0"/>
    </xf>
    <xf numFmtId="0" fontId="3" fillId="0" borderId="0" xfId="0" applyFont="1" applyProtection="1">
      <protection locked="0"/>
    </xf>
    <xf numFmtId="177" fontId="0" fillId="0" borderId="0" xfId="0" applyNumberFormat="1" applyAlignment="1" applyProtection="1">
      <alignment wrapText="1"/>
      <protection locked="0"/>
    </xf>
    <xf numFmtId="177" fontId="0" fillId="3" borderId="15" xfId="0" applyNumberFormat="1" applyFill="1" applyBorder="1" applyAlignment="1">
      <alignment horizontal="center" vertical="center" wrapText="1"/>
    </xf>
    <xf numFmtId="177" fontId="11" fillId="3" borderId="15" xfId="0" applyNumberFormat="1" applyFont="1" applyFill="1" applyBorder="1" applyAlignment="1">
      <alignment horizontal="center" vertical="center" wrapText="1"/>
    </xf>
    <xf numFmtId="177" fontId="0" fillId="3" borderId="8" xfId="0" applyNumberFormat="1" applyFill="1" applyBorder="1" applyAlignment="1">
      <alignment horizontal="center" vertical="center" wrapText="1"/>
    </xf>
    <xf numFmtId="177" fontId="11" fillId="3" borderId="8" xfId="0" applyNumberFormat="1" applyFont="1" applyFill="1" applyBorder="1" applyAlignment="1">
      <alignment horizontal="center" vertical="center" wrapText="1"/>
    </xf>
    <xf numFmtId="177" fontId="0" fillId="3" borderId="22" xfId="0" applyNumberFormat="1" applyFill="1" applyBorder="1" applyAlignment="1">
      <alignment horizontal="center" vertical="center" wrapText="1"/>
    </xf>
    <xf numFmtId="177" fontId="11" fillId="3" borderId="22" xfId="0" applyNumberFormat="1" applyFont="1" applyFill="1" applyBorder="1" applyAlignment="1">
      <alignment horizontal="center" vertical="center" wrapText="1"/>
    </xf>
    <xf numFmtId="0" fontId="0" fillId="0" borderId="0" xfId="0" quotePrefix="1" applyProtection="1">
      <protection locked="0"/>
    </xf>
    <xf numFmtId="0" fontId="26" fillId="0" borderId="25" xfId="0" applyFont="1" applyBorder="1" applyAlignment="1">
      <alignment wrapText="1"/>
    </xf>
    <xf numFmtId="0" fontId="26" fillId="0" borderId="51" xfId="0" applyFont="1" applyBorder="1" applyAlignment="1">
      <alignment horizontal="center" wrapText="1"/>
    </xf>
    <xf numFmtId="0" fontId="26" fillId="0" borderId="52" xfId="0" applyFont="1" applyBorder="1" applyAlignment="1">
      <alignment horizontal="center" wrapText="1"/>
    </xf>
    <xf numFmtId="0" fontId="26" fillId="0" borderId="53" xfId="0" applyFont="1" applyBorder="1" applyAlignment="1">
      <alignment horizontal="center" wrapText="1"/>
    </xf>
    <xf numFmtId="0" fontId="26" fillId="0" borderId="54" xfId="0" applyFont="1" applyBorder="1" applyAlignment="1">
      <alignment horizontal="center" wrapText="1"/>
    </xf>
    <xf numFmtId="180" fontId="3" fillId="0" borderId="0" xfId="16" applyFont="1" applyAlignment="1">
      <alignment vertical="top" wrapText="1"/>
    </xf>
    <xf numFmtId="0" fontId="11" fillId="3" borderId="8" xfId="16" applyNumberFormat="1" applyFont="1" applyFill="1" applyBorder="1"/>
    <xf numFmtId="0" fontId="28" fillId="0" borderId="10" xfId="0" applyFont="1" applyBorder="1" applyAlignment="1">
      <alignment wrapText="1"/>
    </xf>
    <xf numFmtId="0" fontId="28" fillId="0" borderId="10" xfId="0" quotePrefix="1" applyFont="1" applyBorder="1" applyAlignment="1">
      <alignment wrapText="1"/>
    </xf>
    <xf numFmtId="176" fontId="11" fillId="3" borderId="18" xfId="16" applyNumberFormat="1" applyFont="1" applyFill="1" applyBorder="1"/>
    <xf numFmtId="0" fontId="17" fillId="0" borderId="25" xfId="0" applyFont="1" applyBorder="1" applyAlignment="1">
      <alignment wrapText="1"/>
    </xf>
    <xf numFmtId="176" fontId="11" fillId="3" borderId="55" xfId="16" applyNumberFormat="1" applyFont="1" applyFill="1" applyBorder="1"/>
    <xf numFmtId="176" fontId="11" fillId="3" borderId="19" xfId="16" applyNumberFormat="1" applyFont="1" applyFill="1" applyBorder="1"/>
    <xf numFmtId="180" fontId="11" fillId="0" borderId="56" xfId="16" applyFont="1" applyBorder="1"/>
    <xf numFmtId="180" fontId="3" fillId="0" borderId="34" xfId="16" applyFont="1" applyBorder="1" applyAlignment="1">
      <alignment horizontal="center" wrapText="1"/>
    </xf>
    <xf numFmtId="180" fontId="3" fillId="7" borderId="34" xfId="16" applyFont="1" applyFill="1" applyBorder="1" applyAlignment="1">
      <alignment horizontal="center" wrapText="1"/>
    </xf>
    <xf numFmtId="176" fontId="11" fillId="7" borderId="17" xfId="16" applyNumberFormat="1" applyFont="1" applyFill="1" applyBorder="1"/>
    <xf numFmtId="181" fontId="11" fillId="7" borderId="17" xfId="16" applyNumberFormat="1" applyFont="1" applyFill="1" applyBorder="1"/>
    <xf numFmtId="181" fontId="11" fillId="7" borderId="20" xfId="16" applyNumberFormat="1" applyFont="1" applyFill="1" applyBorder="1"/>
    <xf numFmtId="0" fontId="0" fillId="6" borderId="0" xfId="0" applyFill="1" applyAlignment="1">
      <alignment horizontal="left" vertical="top" wrapText="1"/>
    </xf>
    <xf numFmtId="177" fontId="0" fillId="3" borderId="57" xfId="0" applyNumberFormat="1" applyFill="1" applyBorder="1" applyAlignment="1">
      <alignment vertical="top" wrapText="1"/>
    </xf>
    <xf numFmtId="166" fontId="0" fillId="3" borderId="57" xfId="0" applyNumberFormat="1" applyFill="1" applyBorder="1" applyAlignment="1">
      <alignment vertical="top" wrapText="1"/>
    </xf>
    <xf numFmtId="177" fontId="0" fillId="3" borderId="57" xfId="0" applyNumberFormat="1" applyFill="1" applyBorder="1" applyAlignment="1">
      <alignment horizontal="right" vertical="top" wrapText="1"/>
    </xf>
    <xf numFmtId="0" fontId="3" fillId="7" borderId="1" xfId="0" applyFont="1" applyFill="1" applyBorder="1"/>
    <xf numFmtId="0" fontId="0" fillId="7" borderId="2" xfId="0" applyFill="1" applyBorder="1"/>
    <xf numFmtId="9" fontId="0" fillId="7" borderId="2" xfId="17" applyFont="1" applyFill="1" applyBorder="1" applyProtection="1"/>
    <xf numFmtId="0" fontId="0" fillId="7" borderId="4" xfId="0" applyFill="1" applyBorder="1"/>
    <xf numFmtId="0" fontId="0" fillId="7" borderId="0" xfId="0" applyFill="1"/>
    <xf numFmtId="0" fontId="4" fillId="7" borderId="4" xfId="5" applyFill="1" applyBorder="1" applyAlignment="1" applyProtection="1"/>
    <xf numFmtId="0" fontId="0" fillId="7" borderId="4" xfId="0" applyFill="1" applyBorder="1" applyAlignment="1">
      <alignment horizontal="left"/>
    </xf>
    <xf numFmtId="170" fontId="0" fillId="7" borderId="0" xfId="1" applyFont="1" applyFill="1" applyBorder="1"/>
    <xf numFmtId="0" fontId="0" fillId="7" borderId="58" xfId="0" applyFill="1" applyBorder="1"/>
    <xf numFmtId="170" fontId="0" fillId="7" borderId="59" xfId="1" applyFont="1" applyFill="1" applyBorder="1"/>
    <xf numFmtId="0" fontId="3" fillId="7" borderId="4" xfId="0" applyFont="1" applyFill="1" applyBorder="1"/>
    <xf numFmtId="0" fontId="0" fillId="7" borderId="59"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170" fontId="0" fillId="9" borderId="0" xfId="0" applyNumberFormat="1" applyFill="1"/>
    <xf numFmtId="170" fontId="0" fillId="9" borderId="57" xfId="0" applyNumberFormat="1" applyFill="1" applyBorder="1"/>
    <xf numFmtId="170" fontId="0" fillId="4" borderId="0" xfId="0" applyNumberFormat="1" applyFill="1"/>
    <xf numFmtId="170" fontId="0" fillId="4" borderId="57" xfId="0" applyNumberFormat="1" applyFill="1" applyBorder="1"/>
    <xf numFmtId="170" fontId="0" fillId="11" borderId="0" xfId="0" applyNumberFormat="1" applyFill="1"/>
    <xf numFmtId="170" fontId="0" fillId="11" borderId="57" xfId="0" applyNumberFormat="1" applyFill="1" applyBorder="1"/>
    <xf numFmtId="170" fontId="0" fillId="12" borderId="0" xfId="0" applyNumberFormat="1" applyFill="1"/>
    <xf numFmtId="170" fontId="0" fillId="12" borderId="57" xfId="0" applyNumberFormat="1" applyFill="1" applyBorder="1"/>
    <xf numFmtId="170" fontId="0" fillId="10" borderId="0" xfId="0" applyNumberFormat="1" applyFill="1"/>
    <xf numFmtId="170" fontId="0" fillId="10" borderId="57" xfId="0" applyNumberFormat="1" applyFill="1" applyBorder="1"/>
    <xf numFmtId="0" fontId="0" fillId="13" borderId="4" xfId="0" applyFill="1" applyBorder="1"/>
    <xf numFmtId="170" fontId="0" fillId="12" borderId="62" xfId="0" applyNumberFormat="1" applyFill="1" applyBorder="1"/>
    <xf numFmtId="170" fontId="0" fillId="0" borderId="0" xfId="0" applyNumberFormat="1"/>
    <xf numFmtId="0" fontId="0" fillId="13" borderId="8" xfId="0" applyFill="1" applyBorder="1"/>
    <xf numFmtId="170" fontId="0" fillId="14" borderId="0" xfId="1" applyFont="1" applyFill="1" applyBorder="1"/>
    <xf numFmtId="0" fontId="0" fillId="14" borderId="0" xfId="0" applyFill="1"/>
    <xf numFmtId="2" fontId="7" fillId="14" borderId="0" xfId="0" applyNumberFormat="1" applyFont="1" applyFill="1" applyAlignment="1">
      <alignment wrapText="1"/>
    </xf>
    <xf numFmtId="170" fontId="0" fillId="14" borderId="62" xfId="0" applyNumberFormat="1" applyFill="1" applyBorder="1"/>
    <xf numFmtId="0" fontId="0" fillId="14" borderId="4" xfId="0" applyFill="1" applyBorder="1"/>
    <xf numFmtId="0" fontId="11" fillId="14" borderId="63" xfId="0" applyFont="1" applyFill="1" applyBorder="1"/>
    <xf numFmtId="0" fontId="11" fillId="14" borderId="17" xfId="0" applyFont="1" applyFill="1" applyBorder="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71" fontId="12" fillId="0" borderId="64" xfId="16" applyNumberFormat="1" applyFont="1" applyBorder="1"/>
    <xf numFmtId="0" fontId="0" fillId="3" borderId="15" xfId="0" applyFill="1" applyBorder="1" applyAlignment="1">
      <alignment horizontal="right" vertical="center" wrapText="1"/>
    </xf>
    <xf numFmtId="0" fontId="0" fillId="3" borderId="8" xfId="0" applyFill="1" applyBorder="1" applyAlignment="1">
      <alignment horizontal="right" vertical="center" wrapText="1"/>
    </xf>
    <xf numFmtId="0" fontId="0" fillId="3" borderId="22" xfId="0" applyFill="1" applyBorder="1" applyAlignment="1">
      <alignment horizontal="right" vertical="center" wrapText="1"/>
    </xf>
    <xf numFmtId="0" fontId="31" fillId="0" borderId="0" xfId="0" applyFont="1"/>
    <xf numFmtId="180" fontId="3" fillId="0" borderId="17" xfId="16" applyFont="1" applyBorder="1" applyAlignment="1">
      <alignment wrapText="1"/>
    </xf>
    <xf numFmtId="0" fontId="25" fillId="2" borderId="0" xfId="0" applyFont="1" applyFill="1" applyAlignment="1">
      <alignment horizontal="center" vertical="top" wrapText="1"/>
    </xf>
    <xf numFmtId="0" fontId="0" fillId="2" borderId="0" xfId="0" applyFill="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Alignment="1">
      <alignment horizontal="center" vertical="top" wrapText="1"/>
    </xf>
    <xf numFmtId="177" fontId="0" fillId="2" borderId="0" xfId="0" applyNumberFormat="1" applyFill="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lignment horizontal="left"/>
    </xf>
    <xf numFmtId="3" fontId="3" fillId="2" borderId="65" xfId="0" applyNumberFormat="1" applyFont="1" applyFill="1" applyBorder="1" applyAlignment="1">
      <alignment vertical="center" wrapText="1"/>
    </xf>
    <xf numFmtId="0" fontId="3" fillId="2" borderId="65" xfId="0" applyFont="1" applyFill="1" applyBorder="1" applyAlignment="1">
      <alignment horizontal="left" vertical="center" wrapText="1"/>
    </xf>
    <xf numFmtId="0" fontId="11" fillId="2" borderId="65" xfId="0" applyFont="1" applyFill="1" applyBorder="1" applyAlignment="1">
      <alignment horizontal="left" vertical="center" wrapText="1"/>
    </xf>
    <xf numFmtId="0" fontId="0" fillId="2" borderId="66" xfId="0" applyFill="1" applyBorder="1"/>
    <xf numFmtId="0" fontId="13" fillId="2" borderId="25" xfId="0" applyFont="1" applyFill="1" applyBorder="1" applyAlignment="1">
      <alignment horizontal="left"/>
    </xf>
    <xf numFmtId="3" fontId="3" fillId="2" borderId="42" xfId="0" applyNumberFormat="1" applyFont="1" applyFill="1" applyBorder="1" applyAlignment="1">
      <alignment vertical="center" wrapText="1"/>
    </xf>
    <xf numFmtId="0" fontId="3" fillId="2" borderId="26" xfId="0" applyFont="1" applyFill="1" applyBorder="1" applyAlignment="1">
      <alignment horizontal="left" vertical="center" wrapText="1"/>
    </xf>
    <xf numFmtId="0" fontId="3" fillId="2" borderId="27" xfId="0" applyFont="1" applyFill="1" applyBorder="1" applyAlignment="1">
      <alignment vertical="center"/>
    </xf>
    <xf numFmtId="0" fontId="11" fillId="2" borderId="67" xfId="0" applyFont="1" applyFill="1" applyBorder="1" applyAlignment="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lignment wrapText="1"/>
    </xf>
    <xf numFmtId="0" fontId="3" fillId="2" borderId="25" xfId="0" applyFont="1" applyFill="1" applyBorder="1" applyAlignment="1">
      <alignment horizontal="center"/>
    </xf>
    <xf numFmtId="0" fontId="3" fillId="2" borderId="69" xfId="0" applyFont="1" applyFill="1" applyBorder="1" applyAlignment="1">
      <alignment horizontal="center" wrapText="1"/>
    </xf>
    <xf numFmtId="0" fontId="3" fillId="2" borderId="26" xfId="0" applyFont="1" applyFill="1" applyBorder="1" applyAlignment="1">
      <alignment horizontal="center" wrapText="1"/>
    </xf>
    <xf numFmtId="0" fontId="3" fillId="2" borderId="26" xfId="0" applyFont="1" applyFill="1" applyBorder="1" applyAlignment="1">
      <alignment wrapText="1"/>
    </xf>
    <xf numFmtId="0" fontId="3" fillId="2" borderId="27" xfId="0" applyFont="1" applyFill="1" applyBorder="1" applyAlignment="1">
      <alignment wrapText="1"/>
    </xf>
    <xf numFmtId="0" fontId="3" fillId="2" borderId="41" xfId="0" applyFont="1" applyFill="1" applyBorder="1" applyAlignment="1">
      <alignment horizontal="center"/>
    </xf>
    <xf numFmtId="0" fontId="3" fillId="2" borderId="42" xfId="0" applyFont="1" applyFill="1" applyBorder="1" applyAlignment="1">
      <alignment horizontal="center" wrapText="1"/>
    </xf>
    <xf numFmtId="0" fontId="3" fillId="2" borderId="42" xfId="0" applyFont="1" applyFill="1" applyBorder="1" applyAlignment="1">
      <alignment wrapText="1"/>
    </xf>
    <xf numFmtId="0" fontId="3" fillId="2" borderId="71" xfId="0" applyFont="1" applyFill="1" applyBorder="1" applyAlignment="1">
      <alignment wrapText="1"/>
    </xf>
    <xf numFmtId="177" fontId="11" fillId="2" borderId="15" xfId="0" applyNumberFormat="1" applyFont="1" applyFill="1" applyBorder="1" applyAlignment="1" applyProtection="1">
      <alignment horizontal="right" vertical="center" wrapText="1"/>
      <protection locked="0"/>
    </xf>
    <xf numFmtId="178" fontId="11" fillId="2" borderId="15" xfId="0" applyNumberFormat="1" applyFont="1" applyFill="1" applyBorder="1" applyAlignment="1" applyProtection="1">
      <alignment horizontal="right" vertical="center" wrapText="1"/>
      <protection locked="0"/>
    </xf>
    <xf numFmtId="3"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7" fontId="11" fillId="2" borderId="8" xfId="0" applyNumberFormat="1" applyFont="1" applyFill="1" applyBorder="1" applyAlignment="1" applyProtection="1">
      <alignment horizontal="right" vertical="center" wrapText="1"/>
      <protection locked="0"/>
    </xf>
    <xf numFmtId="178"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7" fontId="11" fillId="2" borderId="22" xfId="0" applyNumberFormat="1" applyFont="1" applyFill="1" applyBorder="1" applyAlignment="1" applyProtection="1">
      <alignment horizontal="right" vertical="center" wrapText="1"/>
      <protection locked="0"/>
    </xf>
    <xf numFmtId="178"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80" fontId="17" fillId="0" borderId="72" xfId="16" applyFont="1" applyBorder="1" applyAlignment="1">
      <alignment wrapText="1"/>
    </xf>
    <xf numFmtId="180" fontId="17" fillId="0" borderId="73" xfId="16" applyFont="1" applyBorder="1" applyAlignment="1">
      <alignment wrapText="1"/>
    </xf>
    <xf numFmtId="180" fontId="17" fillId="0" borderId="74" xfId="16" applyFont="1" applyBorder="1" applyAlignment="1">
      <alignment wrapText="1"/>
    </xf>
    <xf numFmtId="180" fontId="12" fillId="3" borderId="75" xfId="16" applyFont="1" applyFill="1" applyBorder="1" applyAlignment="1">
      <alignment wrapText="1"/>
    </xf>
    <xf numFmtId="0" fontId="12" fillId="3" borderId="76" xfId="0" applyFont="1" applyFill="1" applyBorder="1" applyAlignment="1">
      <alignment wrapText="1"/>
    </xf>
    <xf numFmtId="0" fontId="12" fillId="3" borderId="75" xfId="0" applyFont="1" applyFill="1" applyBorder="1" applyAlignment="1">
      <alignment wrapText="1"/>
    </xf>
    <xf numFmtId="0" fontId="12" fillId="3" borderId="76" xfId="0" quotePrefix="1" applyFont="1" applyFill="1" applyBorder="1" applyAlignment="1">
      <alignment wrapText="1"/>
    </xf>
    <xf numFmtId="0" fontId="17" fillId="3" borderId="76" xfId="0" applyFont="1" applyFill="1" applyBorder="1" applyAlignment="1">
      <alignment wrapText="1"/>
    </xf>
    <xf numFmtId="0" fontId="17" fillId="3" borderId="77" xfId="0" applyFont="1" applyFill="1" applyBorder="1" applyAlignment="1">
      <alignment wrapText="1"/>
    </xf>
    <xf numFmtId="180" fontId="12" fillId="3" borderId="78" xfId="16" applyFont="1" applyFill="1" applyBorder="1" applyAlignment="1">
      <alignment wrapText="1"/>
    </xf>
    <xf numFmtId="0" fontId="12" fillId="3" borderId="79" xfId="0" applyFont="1" applyFill="1" applyBorder="1" applyAlignment="1">
      <alignment wrapText="1"/>
    </xf>
    <xf numFmtId="0" fontId="12" fillId="3" borderId="78" xfId="0" applyFont="1" applyFill="1" applyBorder="1" applyAlignment="1">
      <alignment wrapText="1"/>
    </xf>
    <xf numFmtId="0" fontId="12" fillId="3" borderId="79" xfId="0" quotePrefix="1" applyFont="1" applyFill="1" applyBorder="1" applyAlignment="1">
      <alignment wrapText="1"/>
    </xf>
    <xf numFmtId="0" fontId="17" fillId="3" borderId="79" xfId="0" applyFont="1" applyFill="1" applyBorder="1" applyAlignment="1">
      <alignment wrapText="1"/>
    </xf>
    <xf numFmtId="0" fontId="17" fillId="3" borderId="80" xfId="0" applyFont="1" applyFill="1" applyBorder="1" applyAlignment="1">
      <alignment wrapText="1"/>
    </xf>
    <xf numFmtId="180" fontId="12" fillId="3" borderId="81" xfId="16" applyFont="1" applyFill="1" applyBorder="1" applyAlignment="1">
      <alignment wrapText="1"/>
    </xf>
    <xf numFmtId="0" fontId="12" fillId="3" borderId="2" xfId="0" applyFont="1" applyFill="1" applyBorder="1" applyAlignment="1">
      <alignment wrapText="1"/>
    </xf>
    <xf numFmtId="0" fontId="12" fillId="3" borderId="81" xfId="0" applyFont="1" applyFill="1" applyBorder="1" applyAlignment="1">
      <alignment wrapText="1"/>
    </xf>
    <xf numFmtId="0" fontId="12" fillId="3" borderId="2" xfId="0" quotePrefix="1" applyFont="1" applyFill="1" applyBorder="1" applyAlignment="1">
      <alignment wrapText="1"/>
    </xf>
    <xf numFmtId="0" fontId="17" fillId="3" borderId="2" xfId="0" applyFont="1" applyFill="1" applyBorder="1" applyAlignment="1">
      <alignment wrapText="1"/>
    </xf>
    <xf numFmtId="0" fontId="17" fillId="3" borderId="82" xfId="0" applyFont="1" applyFill="1" applyBorder="1" applyAlignment="1">
      <alignment wrapText="1"/>
    </xf>
    <xf numFmtId="0" fontId="17" fillId="0" borderId="41" xfId="0" applyFont="1" applyBorder="1" applyAlignment="1">
      <alignment wrapText="1"/>
    </xf>
    <xf numFmtId="0" fontId="17" fillId="0" borderId="13" xfId="0" applyFont="1" applyBorder="1" applyAlignment="1">
      <alignment wrapText="1"/>
    </xf>
    <xf numFmtId="0" fontId="17" fillId="0" borderId="17" xfId="0" applyFont="1" applyBorder="1" applyAlignment="1">
      <alignment wrapText="1"/>
    </xf>
    <xf numFmtId="0" fontId="17" fillId="0" borderId="20" xfId="0" applyFont="1" applyBorder="1" applyAlignment="1">
      <alignment wrapText="1"/>
    </xf>
    <xf numFmtId="0" fontId="17" fillId="0" borderId="83" xfId="0" applyFont="1" applyBorder="1" applyAlignment="1">
      <alignment wrapText="1"/>
    </xf>
    <xf numFmtId="0" fontId="17" fillId="3" borderId="42" xfId="0" applyFont="1" applyFill="1" applyBorder="1" applyAlignment="1">
      <alignment wrapText="1"/>
    </xf>
    <xf numFmtId="0" fontId="17" fillId="3" borderId="71" xfId="0" applyFont="1" applyFill="1" applyBorder="1" applyAlignment="1">
      <alignment wrapText="1"/>
    </xf>
    <xf numFmtId="0" fontId="17" fillId="3" borderId="15" xfId="0" applyFont="1" applyFill="1" applyBorder="1" applyAlignment="1">
      <alignment wrapText="1"/>
    </xf>
    <xf numFmtId="0" fontId="17" fillId="3" borderId="16" xfId="0" applyFont="1" applyFill="1" applyBorder="1" applyAlignment="1">
      <alignment wrapText="1"/>
    </xf>
    <xf numFmtId="0" fontId="17" fillId="3" borderId="8" xfId="0" applyFont="1" applyFill="1" applyBorder="1" applyAlignment="1">
      <alignment wrapText="1"/>
    </xf>
    <xf numFmtId="0" fontId="17" fillId="3" borderId="19" xfId="0" applyFont="1" applyFill="1" applyBorder="1" applyAlignment="1">
      <alignment wrapText="1"/>
    </xf>
    <xf numFmtId="0" fontId="17" fillId="3" borderId="22" xfId="0" applyFont="1" applyFill="1" applyBorder="1" applyAlignment="1">
      <alignment wrapText="1"/>
    </xf>
    <xf numFmtId="0" fontId="17" fillId="3" borderId="23" xfId="0" applyFont="1" applyFill="1" applyBorder="1" applyAlignment="1">
      <alignment wrapText="1"/>
    </xf>
    <xf numFmtId="0" fontId="17" fillId="3" borderId="84" xfId="0" applyFont="1" applyFill="1" applyBorder="1" applyAlignment="1">
      <alignment wrapText="1"/>
    </xf>
    <xf numFmtId="0" fontId="17" fillId="3" borderId="45" xfId="0" applyFont="1" applyFill="1" applyBorder="1" applyAlignment="1">
      <alignment wrapText="1"/>
    </xf>
    <xf numFmtId="180" fontId="17" fillId="0" borderId="6" xfId="16" applyFont="1" applyBorder="1" applyAlignment="1">
      <alignment wrapText="1"/>
    </xf>
    <xf numFmtId="180" fontId="17" fillId="3" borderId="10" xfId="16" applyFont="1" applyFill="1" applyBorder="1" applyAlignment="1">
      <alignment wrapText="1"/>
    </xf>
    <xf numFmtId="180" fontId="11" fillId="3" borderId="11" xfId="16" applyFont="1" applyFill="1" applyBorder="1"/>
    <xf numFmtId="180" fontId="17" fillId="3" borderId="22" xfId="16" applyFont="1" applyFill="1" applyBorder="1" applyAlignment="1">
      <alignment wrapText="1"/>
    </xf>
    <xf numFmtId="180" fontId="11" fillId="3" borderId="23" xfId="16" applyFont="1" applyFill="1" applyBorder="1"/>
    <xf numFmtId="180" fontId="17" fillId="3" borderId="0" xfId="16" applyFont="1" applyFill="1" applyAlignment="1">
      <alignment wrapText="1"/>
    </xf>
    <xf numFmtId="180" fontId="11" fillId="3" borderId="7" xfId="16" applyFont="1" applyFill="1" applyBorder="1"/>
    <xf numFmtId="180" fontId="5" fillId="3" borderId="0" xfId="16" applyFont="1" applyFill="1" applyAlignment="1">
      <alignment horizontal="center" vertical="center"/>
    </xf>
    <xf numFmtId="180" fontId="17" fillId="0" borderId="85" xfId="16" applyFont="1" applyBorder="1" applyAlignment="1">
      <alignment wrapText="1"/>
    </xf>
    <xf numFmtId="0" fontId="17" fillId="3" borderId="47" xfId="0" applyFont="1" applyFill="1" applyBorder="1" applyAlignment="1">
      <alignment wrapText="1"/>
    </xf>
    <xf numFmtId="0" fontId="17" fillId="3" borderId="56" xfId="0" applyFont="1" applyFill="1" applyBorder="1" applyAlignment="1">
      <alignment wrapText="1"/>
    </xf>
    <xf numFmtId="0" fontId="17" fillId="0" borderId="86" xfId="0" applyFont="1" applyBorder="1" applyAlignment="1">
      <alignment wrapText="1"/>
    </xf>
    <xf numFmtId="180" fontId="17" fillId="0" borderId="86" xfId="16" applyFont="1" applyBorder="1" applyAlignment="1">
      <alignment wrapText="1"/>
    </xf>
    <xf numFmtId="180" fontId="17" fillId="3" borderId="47" xfId="16" applyFont="1" applyFill="1" applyBorder="1" applyAlignment="1">
      <alignment wrapText="1"/>
    </xf>
    <xf numFmtId="180" fontId="11" fillId="3" borderId="56" xfId="16" applyFont="1" applyFill="1" applyBorder="1"/>
    <xf numFmtId="2" fontId="12" fillId="3" borderId="86" xfId="16" applyNumberFormat="1" applyFont="1" applyFill="1" applyBorder="1" applyAlignment="1">
      <alignment wrapText="1"/>
    </xf>
    <xf numFmtId="2" fontId="12" fillId="3" borderId="47" xfId="16" applyNumberFormat="1" applyFont="1" applyFill="1" applyBorder="1" applyAlignment="1">
      <alignment wrapText="1"/>
    </xf>
    <xf numFmtId="2" fontId="12" fillId="3" borderId="56" xfId="16" applyNumberFormat="1" applyFont="1" applyFill="1" applyBorder="1" applyAlignment="1">
      <alignment wrapText="1"/>
    </xf>
    <xf numFmtId="180" fontId="17" fillId="0" borderId="75" xfId="16" applyFont="1" applyBorder="1"/>
    <xf numFmtId="180" fontId="11" fillId="0" borderId="76" xfId="16" applyFont="1" applyBorder="1"/>
    <xf numFmtId="180" fontId="3" fillId="0" borderId="16" xfId="16" applyFont="1" applyBorder="1" applyAlignment="1">
      <alignment horizontal="center" wrapText="1"/>
    </xf>
    <xf numFmtId="180" fontId="33" fillId="0" borderId="0" xfId="16" applyFont="1" applyAlignment="1">
      <alignment horizontal="left"/>
    </xf>
    <xf numFmtId="0" fontId="5" fillId="0" borderId="4" xfId="0" applyFont="1" applyBorder="1" applyAlignment="1">
      <alignment vertical="top" wrapText="1"/>
    </xf>
    <xf numFmtId="0" fontId="11" fillId="0" borderId="5" xfId="0" applyFont="1" applyBorder="1" applyAlignment="1">
      <alignment vertical="top" wrapText="1"/>
    </xf>
    <xf numFmtId="0" fontId="5" fillId="0" borderId="0" xfId="0" applyFont="1" applyAlignment="1">
      <alignment vertical="top" wrapText="1"/>
    </xf>
    <xf numFmtId="0" fontId="5" fillId="0" borderId="4" xfId="0" applyFont="1" applyBorder="1" applyAlignment="1">
      <alignment vertical="center" wrapText="1"/>
    </xf>
    <xf numFmtId="0" fontId="11" fillId="0" borderId="0" xfId="0" applyFont="1" applyAlignment="1">
      <alignment vertical="center" wrapText="1"/>
    </xf>
    <xf numFmtId="0" fontId="0" fillId="0" borderId="0" xfId="0" applyAlignment="1">
      <alignment vertical="center" wrapText="1"/>
    </xf>
    <xf numFmtId="0" fontId="11" fillId="0" borderId="0" xfId="0" applyFont="1" applyAlignment="1">
      <alignment horizontal="center" vertical="center" wrapText="1"/>
    </xf>
    <xf numFmtId="0" fontId="5" fillId="0" borderId="0" xfId="0" applyFont="1" applyAlignment="1">
      <alignment vertical="center" wrapText="1"/>
    </xf>
    <xf numFmtId="0" fontId="5" fillId="0" borderId="4" xfId="0" applyFont="1" applyBorder="1" applyAlignment="1">
      <alignment horizontal="left" vertical="top" wrapText="1"/>
    </xf>
    <xf numFmtId="0" fontId="0" fillId="0" borderId="59" xfId="0" applyBorder="1"/>
    <xf numFmtId="0" fontId="0" fillId="0" borderId="87" xfId="0" applyBorder="1"/>
    <xf numFmtId="0" fontId="5" fillId="3" borderId="57" xfId="0" applyFont="1" applyFill="1" applyBorder="1" applyAlignment="1">
      <alignment vertical="center" wrapText="1"/>
    </xf>
    <xf numFmtId="0" fontId="5" fillId="0" borderId="4" xfId="0" applyFont="1" applyBorder="1" applyAlignment="1">
      <alignment horizontal="right" vertical="center" wrapText="1"/>
    </xf>
    <xf numFmtId="0" fontId="5" fillId="0" borderId="4" xfId="0" applyFont="1" applyBorder="1" applyAlignment="1">
      <alignment horizontal="right" vertical="top" wrapText="1"/>
    </xf>
    <xf numFmtId="0" fontId="0" fillId="0" borderId="0" xfId="0" applyAlignment="1">
      <alignment horizontal="center" vertical="top" wrapText="1"/>
    </xf>
    <xf numFmtId="0" fontId="0" fillId="0" borderId="5" xfId="0" applyBorder="1"/>
    <xf numFmtId="0" fontId="0" fillId="0" borderId="4" xfId="0" applyBorder="1" applyAlignment="1">
      <alignment horizontal="center" vertical="top" wrapText="1"/>
    </xf>
    <xf numFmtId="0" fontId="5" fillId="0" borderId="58" xfId="0" applyFont="1" applyBorder="1" applyAlignment="1">
      <alignment vertical="center" wrapText="1"/>
    </xf>
    <xf numFmtId="0" fontId="0" fillId="0" borderId="59" xfId="0" applyBorder="1" applyAlignment="1">
      <alignment horizontal="center" vertical="top" wrapText="1"/>
    </xf>
    <xf numFmtId="177"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7"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Alignment="1">
      <alignment horizontal="center" vertical="top" wrapText="1"/>
    </xf>
    <xf numFmtId="177" fontId="3" fillId="3" borderId="0" xfId="0" applyNumberFormat="1" applyFont="1" applyFill="1" applyAlignment="1">
      <alignment horizontal="center" vertical="top" wrapText="1"/>
    </xf>
    <xf numFmtId="0" fontId="3" fillId="3" borderId="5" xfId="0" applyFont="1" applyFill="1" applyBorder="1" applyAlignment="1">
      <alignment vertical="top"/>
    </xf>
    <xf numFmtId="177" fontId="14" fillId="3" borderId="89" xfId="0" applyNumberFormat="1" applyFont="1" applyFill="1" applyBorder="1" applyAlignment="1">
      <alignment vertical="center" wrapText="1"/>
    </xf>
    <xf numFmtId="0" fontId="34" fillId="0" borderId="0" xfId="0" applyFont="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167" fontId="11" fillId="3" borderId="22" xfId="0" applyNumberFormat="1" applyFont="1" applyFill="1" applyBorder="1" applyAlignment="1" applyProtection="1">
      <alignment wrapText="1"/>
      <protection locked="0"/>
    </xf>
    <xf numFmtId="171" fontId="0" fillId="5" borderId="57" xfId="0" applyNumberFormat="1"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Alignment="1">
      <alignment vertical="top" wrapText="1"/>
    </xf>
    <xf numFmtId="166"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7" fontId="0" fillId="4" borderId="0" xfId="0" applyNumberFormat="1" applyFill="1" applyAlignment="1">
      <alignment horizontal="right" vertical="top" wrapText="1"/>
    </xf>
    <xf numFmtId="0" fontId="0" fillId="6" borderId="0" xfId="0" applyFill="1"/>
    <xf numFmtId="183" fontId="14" fillId="3" borderId="57" xfId="0" applyNumberFormat="1" applyFont="1" applyFill="1" applyBorder="1" applyAlignment="1">
      <alignment horizontal="right" vertical="top" wrapText="1"/>
    </xf>
    <xf numFmtId="177" fontId="0" fillId="5" borderId="15" xfId="0" applyNumberFormat="1" applyFill="1" applyBorder="1" applyAlignment="1" applyProtection="1">
      <alignment horizontal="center" vertical="center" wrapText="1"/>
      <protection locked="0"/>
    </xf>
    <xf numFmtId="177" fontId="0" fillId="5" borderId="8" xfId="0" applyNumberFormat="1" applyFill="1" applyBorder="1" applyAlignment="1" applyProtection="1">
      <alignment horizontal="center" vertical="center" wrapText="1"/>
      <protection locked="0"/>
    </xf>
    <xf numFmtId="177" fontId="0" fillId="5" borderId="22" xfId="0" applyNumberFormat="1" applyFill="1" applyBorder="1" applyAlignment="1" applyProtection="1">
      <alignment horizontal="center" vertical="center" wrapText="1"/>
      <protection locked="0"/>
    </xf>
    <xf numFmtId="0" fontId="36" fillId="2" borderId="20" xfId="0" applyFont="1" applyFill="1" applyBorder="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7"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7" fontId="0" fillId="2" borderId="0" xfId="0" applyNumberFormat="1" applyFill="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167" fontId="11" fillId="3" borderId="69" xfId="0" applyNumberFormat="1" applyFont="1" applyFill="1" applyBorder="1" applyAlignment="1" applyProtection="1">
      <alignment wrapText="1"/>
      <protection locked="0"/>
    </xf>
    <xf numFmtId="167"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9"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Alignment="1">
      <alignment wrapText="1"/>
    </xf>
    <xf numFmtId="0" fontId="17" fillId="3" borderId="7" xfId="0" applyFont="1" applyFill="1" applyBorder="1" applyAlignment="1">
      <alignment wrapText="1"/>
    </xf>
    <xf numFmtId="0" fontId="17" fillId="0" borderId="6" xfId="0" applyFont="1" applyBorder="1" applyAlignment="1">
      <alignment wrapText="1"/>
    </xf>
    <xf numFmtId="180" fontId="17" fillId="0" borderId="104" xfId="16" applyFont="1" applyBorder="1" applyAlignment="1">
      <alignment wrapText="1"/>
    </xf>
    <xf numFmtId="2" fontId="12" fillId="3" borderId="78" xfId="16" applyNumberFormat="1" applyFont="1" applyFill="1" applyBorder="1" applyAlignment="1">
      <alignment wrapText="1"/>
    </xf>
    <xf numFmtId="2" fontId="12" fillId="3" borderId="79" xfId="16" applyNumberFormat="1" applyFont="1" applyFill="1" applyBorder="1" applyAlignment="1">
      <alignment wrapText="1"/>
    </xf>
    <xf numFmtId="2" fontId="12" fillId="3" borderId="80" xfId="16" applyNumberFormat="1" applyFont="1" applyFill="1" applyBorder="1" applyAlignment="1">
      <alignment wrapText="1"/>
    </xf>
    <xf numFmtId="0" fontId="9" fillId="2" borderId="0" xfId="5" applyFont="1" applyFill="1" applyBorder="1" applyAlignment="1" applyProtection="1">
      <alignment horizontal="left" vertical="top" wrapText="1"/>
    </xf>
    <xf numFmtId="0" fontId="0" fillId="0" borderId="0" xfId="0" applyAlignment="1">
      <alignment horizontal="left" vertical="top" wrapText="1"/>
    </xf>
    <xf numFmtId="172" fontId="7" fillId="2" borderId="0" xfId="0" applyNumberFormat="1" applyFont="1" applyFill="1" applyAlignment="1">
      <alignment horizontal="center" vertical="center"/>
    </xf>
    <xf numFmtId="173" fontId="7" fillId="0" borderId="5" xfId="0" applyNumberFormat="1" applyFont="1" applyBorder="1" applyAlignment="1">
      <alignment horizontal="center" vertical="center" wrapText="1"/>
    </xf>
    <xf numFmtId="1" fontId="7" fillId="2" borderId="0" xfId="0" applyNumberFormat="1" applyFont="1" applyFill="1" applyAlignment="1">
      <alignment horizontal="center" vertical="center" wrapText="1"/>
    </xf>
    <xf numFmtId="2" fontId="7" fillId="2" borderId="0" xfId="0" applyNumberFormat="1" applyFont="1" applyFill="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84"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74"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Alignment="1">
      <alignment vertical="top" wrapText="1"/>
    </xf>
    <xf numFmtId="0" fontId="0" fillId="0" borderId="90" xfId="0" applyBorder="1"/>
    <xf numFmtId="0" fontId="19" fillId="3" borderId="111" xfId="0" applyFont="1" applyFill="1" applyBorder="1" applyAlignment="1">
      <alignment horizontal="left" vertical="center"/>
    </xf>
    <xf numFmtId="180" fontId="11" fillId="0" borderId="112" xfId="16" applyFont="1" applyBorder="1" applyAlignment="1">
      <alignment wrapText="1"/>
    </xf>
    <xf numFmtId="172" fontId="11" fillId="3" borderId="113" xfId="16" applyNumberFormat="1" applyFont="1" applyFill="1" applyBorder="1"/>
    <xf numFmtId="180" fontId="11" fillId="0" borderId="114" xfId="16" applyFont="1" applyBorder="1"/>
    <xf numFmtId="180" fontId="11" fillId="0" borderId="115" xfId="16" applyFont="1" applyBorder="1" applyAlignment="1">
      <alignment wrapText="1"/>
    </xf>
    <xf numFmtId="172" fontId="11" fillId="3" borderId="98" xfId="16" applyNumberFormat="1" applyFont="1" applyFill="1" applyBorder="1"/>
    <xf numFmtId="180" fontId="11" fillId="0" borderId="116" xfId="16" applyFont="1" applyBorder="1"/>
    <xf numFmtId="180" fontId="11" fillId="0" borderId="117" xfId="16" applyFont="1" applyBorder="1" applyAlignment="1">
      <alignment wrapText="1"/>
    </xf>
    <xf numFmtId="172" fontId="11" fillId="3" borderId="118" xfId="16" applyNumberFormat="1" applyFont="1" applyFill="1" applyBorder="1"/>
    <xf numFmtId="180" fontId="11" fillId="0" borderId="119" xfId="16" applyFont="1" applyBorder="1"/>
    <xf numFmtId="172" fontId="3" fillId="0" borderId="0" xfId="16" applyNumberFormat="1" applyFont="1"/>
    <xf numFmtId="0" fontId="3" fillId="0" borderId="58" xfId="0" applyFont="1" applyBorder="1"/>
    <xf numFmtId="0" fontId="3" fillId="0" borderId="59" xfId="0" applyFont="1" applyBorder="1"/>
    <xf numFmtId="0" fontId="3" fillId="0" borderId="87" xfId="0" applyFont="1" applyBorder="1"/>
    <xf numFmtId="180" fontId="11" fillId="0" borderId="106" xfId="16" applyFont="1" applyBorder="1"/>
    <xf numFmtId="177" fontId="11" fillId="0" borderId="107" xfId="16" applyNumberFormat="1" applyFont="1" applyBorder="1" applyAlignment="1">
      <alignment horizontal="center"/>
    </xf>
    <xf numFmtId="180" fontId="11" fillId="0" borderId="98" xfId="16" applyFont="1" applyBorder="1"/>
    <xf numFmtId="180" fontId="11" fillId="0" borderId="108" xfId="16" applyFont="1" applyBorder="1"/>
    <xf numFmtId="180" fontId="11" fillId="0" borderId="120" xfId="16" applyFont="1" applyBorder="1"/>
    <xf numFmtId="180" fontId="11" fillId="0" borderId="111" xfId="16" applyFont="1" applyBorder="1"/>
    <xf numFmtId="180" fontId="5" fillId="0" borderId="40" xfId="16" applyFont="1" applyBorder="1"/>
    <xf numFmtId="180" fontId="4" fillId="0" borderId="63" xfId="5" applyNumberFormat="1" applyBorder="1" applyAlignment="1" applyProtection="1"/>
    <xf numFmtId="180" fontId="4" fillId="0" borderId="109" xfId="5" applyNumberFormat="1" applyBorder="1" applyAlignment="1" applyProtection="1"/>
    <xf numFmtId="0" fontId="14" fillId="0" borderId="121" xfId="0" applyFont="1" applyBorder="1" applyAlignment="1">
      <alignment vertical="top" wrapText="1"/>
    </xf>
    <xf numFmtId="174" fontId="14" fillId="3" borderId="37" xfId="0" applyNumberFormat="1" applyFont="1" applyFill="1" applyBorder="1" applyAlignment="1">
      <alignment vertical="top" wrapText="1"/>
    </xf>
    <xf numFmtId="0" fontId="17" fillId="0" borderId="10" xfId="0" quotePrefix="1" applyFont="1" applyBorder="1" applyAlignment="1">
      <alignment wrapText="1"/>
    </xf>
    <xf numFmtId="180" fontId="3" fillId="0" borderId="40" xfId="16" applyFont="1" applyBorder="1" applyAlignment="1">
      <alignment horizontal="center" wrapText="1"/>
    </xf>
    <xf numFmtId="0" fontId="12" fillId="3" borderId="122" xfId="0" applyFont="1" applyFill="1" applyBorder="1" applyAlignment="1">
      <alignment wrapText="1"/>
    </xf>
    <xf numFmtId="0" fontId="12" fillId="3" borderId="123" xfId="0" applyFont="1" applyFill="1" applyBorder="1" applyAlignment="1">
      <alignment wrapText="1"/>
    </xf>
    <xf numFmtId="0" fontId="12" fillId="3" borderId="124" xfId="0" applyFont="1" applyFill="1" applyBorder="1" applyAlignment="1">
      <alignment wrapText="1"/>
    </xf>
    <xf numFmtId="180" fontId="3" fillId="0" borderId="107" xfId="16" applyFont="1" applyBorder="1" applyAlignment="1">
      <alignment horizontal="center" wrapText="1"/>
    </xf>
    <xf numFmtId="176" fontId="11" fillId="3" borderId="108" xfId="16" applyNumberFormat="1" applyFont="1" applyFill="1" applyBorder="1"/>
    <xf numFmtId="180" fontId="3" fillId="0" borderId="125" xfId="16" applyFont="1" applyBorder="1" applyAlignment="1">
      <alignment horizontal="center" wrapText="1"/>
    </xf>
    <xf numFmtId="0" fontId="12" fillId="3" borderId="77" xfId="0" quotePrefix="1" applyFont="1" applyFill="1" applyBorder="1" applyAlignment="1">
      <alignment horizontal="left" wrapText="1"/>
    </xf>
    <xf numFmtId="0" fontId="12" fillId="3" borderId="80" xfId="0" quotePrefix="1" applyFont="1" applyFill="1" applyBorder="1" applyAlignment="1">
      <alignment wrapText="1"/>
    </xf>
    <xf numFmtId="0" fontId="12" fillId="3" borderId="80" xfId="0" quotePrefix="1" applyFont="1" applyFill="1" applyBorder="1" applyAlignment="1">
      <alignment horizontal="center" wrapText="1"/>
    </xf>
    <xf numFmtId="0" fontId="3" fillId="0" borderId="3" xfId="0" applyFont="1" applyBorder="1" applyAlignment="1">
      <alignment wrapText="1"/>
    </xf>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80" fontId="17" fillId="0" borderId="76" xfId="16" applyFont="1" applyBorder="1" applyAlignment="1">
      <alignment horizontal="left"/>
    </xf>
    <xf numFmtId="171" fontId="12" fillId="0" borderId="76" xfId="16" applyNumberFormat="1" applyFont="1" applyBorder="1"/>
    <xf numFmtId="180" fontId="11" fillId="0" borderId="6" xfId="16" applyFont="1" applyBorder="1" applyAlignment="1">
      <alignment wrapText="1"/>
    </xf>
    <xf numFmtId="180" fontId="3" fillId="0" borderId="6" xfId="16" applyFont="1" applyBorder="1" applyAlignment="1">
      <alignment wrapText="1"/>
    </xf>
    <xf numFmtId="180" fontId="11" fillId="0" borderId="67" xfId="16" applyFont="1" applyBorder="1" applyAlignment="1">
      <alignment wrapText="1"/>
    </xf>
    <xf numFmtId="0" fontId="0" fillId="0" borderId="77" xfId="0" applyBorder="1"/>
    <xf numFmtId="180" fontId="5" fillId="0" borderId="78" xfId="16" applyFont="1" applyBorder="1" applyAlignment="1">
      <alignment vertical="center" wrapText="1"/>
    </xf>
    <xf numFmtId="180" fontId="5" fillId="0" borderId="79" xfId="16" applyFont="1" applyBorder="1" applyAlignment="1">
      <alignment horizontal="center" vertical="center" wrapText="1"/>
    </xf>
    <xf numFmtId="172" fontId="5" fillId="0" borderId="79" xfId="16" applyNumberFormat="1" applyFont="1" applyBorder="1" applyAlignment="1">
      <alignment horizontal="center" vertical="center" wrapText="1"/>
    </xf>
    <xf numFmtId="172" fontId="5" fillId="0" borderId="80" xfId="16" applyNumberFormat="1" applyFont="1" applyBorder="1" applyAlignment="1">
      <alignment horizontal="center" vertical="center" wrapText="1"/>
    </xf>
    <xf numFmtId="180" fontId="11" fillId="3" borderId="0" xfId="16" applyFont="1" applyFill="1" applyAlignment="1">
      <alignment horizontal="center"/>
    </xf>
    <xf numFmtId="180" fontId="11" fillId="3" borderId="7" xfId="16" applyFont="1" applyFill="1" applyBorder="1" applyAlignment="1">
      <alignment horizontal="center"/>
    </xf>
    <xf numFmtId="172" fontId="11" fillId="3" borderId="0" xfId="16" applyNumberFormat="1" applyFont="1" applyFill="1" applyAlignment="1">
      <alignment horizontal="center"/>
    </xf>
    <xf numFmtId="172" fontId="11" fillId="0" borderId="2" xfId="16" applyNumberFormat="1" applyFont="1" applyBorder="1" applyAlignment="1">
      <alignment horizontal="center"/>
    </xf>
    <xf numFmtId="180" fontId="11" fillId="0" borderId="2" xfId="16" applyFont="1" applyBorder="1" applyAlignment="1">
      <alignment horizontal="center"/>
    </xf>
    <xf numFmtId="180" fontId="11" fillId="0" borderId="82" xfId="16" applyFont="1" applyBorder="1" applyAlignment="1">
      <alignment horizontal="center"/>
    </xf>
    <xf numFmtId="180" fontId="11" fillId="0" borderId="63" xfId="16" applyFont="1" applyBorder="1" applyAlignment="1">
      <alignment horizontal="right"/>
    </xf>
    <xf numFmtId="180" fontId="11" fillId="0" borderId="63" xfId="16" applyFont="1" applyBorder="1" applyAlignment="1">
      <alignment horizontal="right" wrapText="1"/>
    </xf>
    <xf numFmtId="180" fontId="3" fillId="0" borderId="109" xfId="16" applyFont="1" applyBorder="1"/>
    <xf numFmtId="180" fontId="17" fillId="0" borderId="77" xfId="16" applyFont="1" applyBorder="1" applyAlignment="1">
      <alignment horizontal="left"/>
    </xf>
    <xf numFmtId="172" fontId="3" fillId="0" borderId="7" xfId="16" applyNumberFormat="1" applyFont="1" applyBorder="1"/>
    <xf numFmtId="0" fontId="0" fillId="0" borderId="9"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Border="1" applyAlignment="1">
      <alignment vertical="top" wrapText="1"/>
    </xf>
    <xf numFmtId="0" fontId="5" fillId="0" borderId="107" xfId="0" applyFont="1" applyBorder="1" applyAlignment="1">
      <alignment vertical="top" wrapText="1"/>
    </xf>
    <xf numFmtId="0" fontId="0" fillId="0" borderId="98" xfId="0" applyBorder="1" applyAlignment="1">
      <alignment horizontal="left" vertical="top" wrapText="1"/>
    </xf>
    <xf numFmtId="2" fontId="0" fillId="0" borderId="49" xfId="0" applyNumberFormat="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80" fontId="3" fillId="0" borderId="76" xfId="16" applyFont="1" applyBorder="1" applyAlignment="1">
      <alignment horizontal="center"/>
    </xf>
    <xf numFmtId="0" fontId="3" fillId="0" borderId="76" xfId="0" applyFont="1" applyBorder="1" applyAlignment="1">
      <alignment horizontal="center"/>
    </xf>
    <xf numFmtId="0" fontId="3" fillId="0" borderId="77" xfId="0" applyFont="1" applyBorder="1" applyAlignment="1">
      <alignment horizontal="center"/>
    </xf>
    <xf numFmtId="2" fontId="11" fillId="3" borderId="113" xfId="16" applyNumberFormat="1" applyFont="1" applyFill="1" applyBorder="1" applyAlignment="1">
      <alignment horizontal="center" vertical="center" wrapText="1"/>
    </xf>
    <xf numFmtId="2" fontId="11" fillId="3" borderId="128" xfId="16" applyNumberFormat="1" applyFont="1" applyFill="1" applyBorder="1" applyAlignment="1">
      <alignment horizontal="center" vertical="center" wrapText="1"/>
    </xf>
    <xf numFmtId="3" fontId="11" fillId="3" borderId="98" xfId="16" applyNumberFormat="1" applyFont="1" applyFill="1" applyBorder="1" applyAlignment="1">
      <alignment horizontal="center" vertical="center" wrapText="1"/>
    </xf>
    <xf numFmtId="3" fontId="11" fillId="3" borderId="108" xfId="16" applyNumberFormat="1" applyFont="1" applyFill="1" applyBorder="1" applyAlignment="1">
      <alignment horizontal="center" vertical="center" wrapText="1"/>
    </xf>
    <xf numFmtId="2" fontId="11" fillId="3" borderId="98" xfId="16" applyNumberFormat="1" applyFont="1" applyFill="1" applyBorder="1" applyAlignment="1">
      <alignment horizontal="center" vertical="center" wrapText="1"/>
    </xf>
    <xf numFmtId="2" fontId="11" fillId="3" borderId="108" xfId="16" applyNumberFormat="1" applyFont="1" applyFill="1" applyBorder="1" applyAlignment="1">
      <alignment horizontal="center" vertical="center" wrapText="1"/>
    </xf>
    <xf numFmtId="3" fontId="11" fillId="3" borderId="120" xfId="16" applyNumberFormat="1" applyFont="1" applyFill="1" applyBorder="1" applyAlignment="1">
      <alignment horizontal="center" vertical="center" wrapText="1"/>
    </xf>
    <xf numFmtId="3" fontId="11" fillId="3" borderId="111" xfId="16" applyNumberFormat="1" applyFont="1" applyFill="1" applyBorder="1" applyAlignment="1">
      <alignment horizontal="center" vertical="center" wrapText="1"/>
    </xf>
    <xf numFmtId="180" fontId="3" fillId="0" borderId="127" xfId="16" applyFont="1" applyBorder="1" applyAlignment="1">
      <alignment wrapText="1"/>
    </xf>
    <xf numFmtId="180" fontId="11" fillId="0" borderId="63" xfId="16" applyFont="1" applyBorder="1" applyAlignment="1">
      <alignment wrapText="1"/>
    </xf>
    <xf numFmtId="180" fontId="11" fillId="0" borderId="109" xfId="16" applyFont="1" applyBorder="1" applyAlignment="1">
      <alignment wrapText="1"/>
    </xf>
    <xf numFmtId="172" fontId="3" fillId="0" borderId="113" xfId="16" applyNumberFormat="1" applyFont="1" applyBorder="1" applyAlignment="1">
      <alignment horizontal="center"/>
    </xf>
    <xf numFmtId="172" fontId="3" fillId="0" borderId="128" xfId="16" applyNumberFormat="1" applyFont="1" applyBorder="1" applyAlignment="1">
      <alignment horizontal="center"/>
    </xf>
    <xf numFmtId="172" fontId="11" fillId="3" borderId="98" xfId="16" applyNumberFormat="1" applyFont="1" applyFill="1" applyBorder="1" applyAlignment="1">
      <alignment horizontal="center"/>
    </xf>
    <xf numFmtId="180" fontId="11" fillId="0" borderId="121" xfId="16" applyFont="1" applyBorder="1" applyAlignment="1">
      <alignment wrapText="1"/>
    </xf>
    <xf numFmtId="0" fontId="3" fillId="0" borderId="86" xfId="0" applyFont="1" applyBorder="1"/>
    <xf numFmtId="172" fontId="11" fillId="3" borderId="129" xfId="16" applyNumberFormat="1" applyFont="1" applyFill="1" applyBorder="1" applyAlignment="1">
      <alignment horizontal="center"/>
    </xf>
    <xf numFmtId="172" fontId="0" fillId="3" borderId="47" xfId="0" applyNumberFormat="1" applyFill="1" applyBorder="1" applyAlignment="1">
      <alignment horizontal="center"/>
    </xf>
    <xf numFmtId="11" fontId="11" fillId="3" borderId="98" xfId="16" applyNumberFormat="1" applyFont="1" applyFill="1" applyBorder="1" applyAlignment="1">
      <alignment horizontal="center"/>
    </xf>
    <xf numFmtId="11" fontId="11" fillId="3" borderId="129" xfId="16" applyNumberFormat="1" applyFont="1" applyFill="1" applyBorder="1" applyAlignment="1">
      <alignment horizontal="center"/>
    </xf>
    <xf numFmtId="11" fontId="0" fillId="3" borderId="47" xfId="0" applyNumberFormat="1" applyFill="1" applyBorder="1" applyAlignment="1">
      <alignment horizontal="center"/>
    </xf>
    <xf numFmtId="172" fontId="11" fillId="3" borderId="108" xfId="16" applyNumberFormat="1" applyFont="1" applyFill="1" applyBorder="1" applyAlignment="1">
      <alignment horizontal="center"/>
    </xf>
    <xf numFmtId="172" fontId="11" fillId="3" borderId="130" xfId="16" applyNumberFormat="1" applyFont="1" applyFill="1" applyBorder="1" applyAlignment="1">
      <alignment horizontal="center"/>
    </xf>
    <xf numFmtId="172" fontId="0" fillId="3" borderId="56" xfId="0" applyNumberFormat="1" applyFill="1" applyBorder="1" applyAlignment="1">
      <alignment horizontal="center"/>
    </xf>
    <xf numFmtId="172" fontId="11" fillId="3" borderId="120" xfId="16" applyNumberFormat="1" applyFont="1" applyFill="1" applyBorder="1" applyAlignment="1">
      <alignment horizontal="center"/>
    </xf>
    <xf numFmtId="11" fontId="11" fillId="3" borderId="120" xfId="16" applyNumberFormat="1" applyFont="1" applyFill="1" applyBorder="1" applyAlignment="1">
      <alignment horizontal="center"/>
    </xf>
    <xf numFmtId="172" fontId="11" fillId="3" borderId="111" xfId="16" applyNumberFormat="1" applyFont="1" applyFill="1" applyBorder="1" applyAlignment="1">
      <alignment horizontal="center"/>
    </xf>
    <xf numFmtId="11" fontId="11" fillId="3" borderId="0" xfId="16" applyNumberFormat="1" applyFont="1" applyFill="1"/>
    <xf numFmtId="11" fontId="11" fillId="3" borderId="7" xfId="16" applyNumberFormat="1" applyFont="1" applyFill="1" applyBorder="1"/>
    <xf numFmtId="11" fontId="11" fillId="3" borderId="90" xfId="16" applyNumberFormat="1" applyFont="1" applyFill="1" applyBorder="1"/>
    <xf numFmtId="11" fontId="11" fillId="3" borderId="110" xfId="16" applyNumberFormat="1" applyFont="1" applyFill="1" applyBorder="1"/>
    <xf numFmtId="172" fontId="11" fillId="3" borderId="0" xfId="16" applyNumberFormat="1" applyFont="1" applyFill="1" applyAlignment="1">
      <alignment horizontal="center" wrapText="1"/>
    </xf>
    <xf numFmtId="172" fontId="3" fillId="3" borderId="0" xfId="16" applyNumberFormat="1" applyFont="1" applyFill="1" applyAlignment="1">
      <alignment horizontal="center" wrapText="1"/>
    </xf>
    <xf numFmtId="180" fontId="17" fillId="0" borderId="24" xfId="16" applyFont="1" applyBorder="1"/>
    <xf numFmtId="180" fontId="11" fillId="0" borderId="65" xfId="16" applyFont="1" applyBorder="1"/>
    <xf numFmtId="0" fontId="3" fillId="0" borderId="65" xfId="0" applyFont="1" applyBorder="1"/>
    <xf numFmtId="0" fontId="3" fillId="0" borderId="66" xfId="0" applyFont="1" applyBorder="1"/>
    <xf numFmtId="0" fontId="0" fillId="0" borderId="7" xfId="0" applyBorder="1"/>
    <xf numFmtId="2" fontId="11" fillId="3" borderId="113" xfId="16" applyNumberFormat="1" applyFont="1" applyFill="1" applyBorder="1" applyAlignment="1">
      <alignment vertical="center" wrapText="1"/>
    </xf>
    <xf numFmtId="3" fontId="11" fillId="3" borderId="98" xfId="16" applyNumberFormat="1" applyFont="1" applyFill="1" applyBorder="1" applyAlignment="1">
      <alignment vertical="center" wrapText="1"/>
    </xf>
    <xf numFmtId="2" fontId="11" fillId="3" borderId="98" xfId="16" applyNumberFormat="1" applyFont="1" applyFill="1" applyBorder="1" applyAlignment="1">
      <alignment vertical="center" wrapText="1"/>
    </xf>
    <xf numFmtId="3" fontId="11" fillId="3" borderId="120" xfId="16" applyNumberFormat="1" applyFont="1" applyFill="1" applyBorder="1" applyAlignment="1">
      <alignment vertical="center" wrapText="1"/>
    </xf>
    <xf numFmtId="11" fontId="0" fillId="3" borderId="113" xfId="0" applyNumberFormat="1" applyFill="1" applyBorder="1"/>
    <xf numFmtId="172"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72" fontId="0" fillId="3" borderId="111" xfId="0" applyNumberFormat="1" applyFill="1" applyBorder="1"/>
    <xf numFmtId="180" fontId="3" fillId="0" borderId="75" xfId="16" applyFont="1" applyBorder="1" applyAlignment="1">
      <alignment wrapText="1"/>
    </xf>
    <xf numFmtId="180" fontId="5" fillId="0" borderId="76" xfId="16" applyFont="1" applyBorder="1" applyAlignment="1">
      <alignment horizontal="center" wrapText="1"/>
    </xf>
    <xf numFmtId="180" fontId="5" fillId="0" borderId="76" xfId="16" applyFont="1" applyBorder="1" applyAlignment="1">
      <alignment horizontal="center" vertical="center" wrapText="1"/>
    </xf>
    <xf numFmtId="172" fontId="5" fillId="0" borderId="76" xfId="16" applyNumberFormat="1" applyFont="1" applyBorder="1" applyAlignment="1">
      <alignment horizontal="center" vertical="center" wrapText="1"/>
    </xf>
    <xf numFmtId="172" fontId="5" fillId="0" borderId="77" xfId="16" applyNumberFormat="1" applyFont="1" applyBorder="1" applyAlignment="1">
      <alignment horizontal="center" vertical="center" wrapText="1"/>
    </xf>
    <xf numFmtId="180" fontId="11" fillId="0" borderId="127" xfId="16" applyFont="1" applyBorder="1" applyAlignment="1">
      <alignment wrapText="1"/>
    </xf>
    <xf numFmtId="172" fontId="11" fillId="3" borderId="113" xfId="16" applyNumberFormat="1" applyFont="1" applyFill="1" applyBorder="1" applyAlignment="1">
      <alignment horizontal="center" wrapText="1"/>
    </xf>
    <xf numFmtId="172" fontId="11" fillId="3" borderId="113" xfId="16" applyNumberFormat="1" applyFont="1" applyFill="1" applyBorder="1" applyAlignment="1">
      <alignment horizontal="center"/>
    </xf>
    <xf numFmtId="180" fontId="11" fillId="3" borderId="113" xfId="16" applyFont="1" applyFill="1" applyBorder="1" applyAlignment="1">
      <alignment horizontal="center"/>
    </xf>
    <xf numFmtId="172" fontId="11" fillId="3" borderId="98" xfId="16" applyNumberFormat="1" applyFont="1" applyFill="1" applyBorder="1" applyAlignment="1">
      <alignment horizontal="center" wrapText="1"/>
    </xf>
    <xf numFmtId="180" fontId="11" fillId="3" borderId="98" xfId="16" applyFont="1" applyFill="1" applyBorder="1" applyAlignment="1">
      <alignment horizontal="center"/>
    </xf>
    <xf numFmtId="180" fontId="11" fillId="3" borderId="108" xfId="16" applyFont="1" applyFill="1" applyBorder="1" applyAlignment="1">
      <alignment horizontal="center"/>
    </xf>
    <xf numFmtId="180" fontId="11" fillId="0" borderId="131" xfId="16" applyFont="1" applyBorder="1" applyAlignment="1">
      <alignment wrapText="1"/>
    </xf>
    <xf numFmtId="172" fontId="11" fillId="3" borderId="118" xfId="16" applyNumberFormat="1" applyFont="1" applyFill="1" applyBorder="1" applyAlignment="1">
      <alignment horizontal="center" wrapText="1"/>
    </xf>
    <xf numFmtId="172" fontId="11" fillId="3" borderId="118" xfId="16" applyNumberFormat="1" applyFont="1" applyFill="1" applyBorder="1" applyAlignment="1">
      <alignment horizontal="center"/>
    </xf>
    <xf numFmtId="180" fontId="11" fillId="3" borderId="118" xfId="16" applyFont="1" applyFill="1" applyBorder="1" applyAlignment="1">
      <alignment horizontal="center"/>
    </xf>
    <xf numFmtId="180" fontId="5" fillId="0" borderId="81" xfId="16" applyFont="1" applyBorder="1" applyAlignment="1">
      <alignment wrapText="1"/>
    </xf>
    <xf numFmtId="172" fontId="3" fillId="0" borderId="2" xfId="16" applyNumberFormat="1" applyFont="1" applyBorder="1" applyAlignment="1">
      <alignment horizontal="center" wrapText="1"/>
    </xf>
    <xf numFmtId="172" fontId="11" fillId="3" borderId="120" xfId="16" applyNumberFormat="1" applyFont="1" applyFill="1" applyBorder="1" applyAlignment="1">
      <alignment horizontal="center" wrapText="1"/>
    </xf>
    <xf numFmtId="180" fontId="11" fillId="3" borderId="120" xfId="16" applyFont="1" applyFill="1" applyBorder="1" applyAlignment="1">
      <alignment horizontal="center"/>
    </xf>
    <xf numFmtId="180" fontId="11" fillId="3" borderId="111" xfId="16" applyFont="1" applyFill="1" applyBorder="1" applyAlignment="1">
      <alignment horizontal="center"/>
    </xf>
    <xf numFmtId="11" fontId="11" fillId="0" borderId="0" xfId="16" applyNumberFormat="1" applyFont="1"/>
    <xf numFmtId="11" fontId="11" fillId="0" borderId="7" xfId="16" applyNumberFormat="1" applyFont="1" applyBorder="1"/>
    <xf numFmtId="180" fontId="3" fillId="0" borderId="63" xfId="16" applyFont="1" applyBorder="1" applyAlignment="1">
      <alignment wrapText="1"/>
    </xf>
    <xf numFmtId="172" fontId="11" fillId="0" borderId="98" xfId="16" applyNumberFormat="1" applyFont="1" applyBorder="1" applyAlignment="1">
      <alignment horizontal="center"/>
    </xf>
    <xf numFmtId="11" fontId="11" fillId="0" borderId="98" xfId="16" applyNumberFormat="1" applyFont="1" applyBorder="1" applyAlignment="1">
      <alignment horizontal="center"/>
    </xf>
    <xf numFmtId="172" fontId="11" fillId="0" borderId="108" xfId="16" applyNumberFormat="1" applyFont="1" applyBorder="1" applyAlignment="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167"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167" fontId="11" fillId="3" borderId="135" xfId="0" applyNumberFormat="1" applyFont="1" applyFill="1" applyBorder="1" applyAlignment="1" applyProtection="1">
      <alignment wrapText="1"/>
      <protection locked="0"/>
    </xf>
    <xf numFmtId="167"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167" fontId="11" fillId="3" borderId="8" xfId="0" applyNumberFormat="1" applyFont="1" applyFill="1" applyBorder="1" applyAlignment="1" applyProtection="1">
      <alignment wrapText="1"/>
      <protection locked="0"/>
    </xf>
    <xf numFmtId="167"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167" fontId="11" fillId="3" borderId="136" xfId="0" applyNumberFormat="1" applyFont="1" applyFill="1" applyBorder="1" applyAlignment="1" applyProtection="1">
      <alignment wrapText="1"/>
      <protection locked="0"/>
    </xf>
    <xf numFmtId="167"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168"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Alignment="1">
      <alignment horizontal="right" vertical="center" wrapText="1"/>
    </xf>
    <xf numFmtId="180" fontId="11" fillId="0" borderId="63" xfId="16" applyFont="1" applyBorder="1" applyAlignment="1">
      <alignment horizontal="left" vertical="center" wrapText="1"/>
    </xf>
    <xf numFmtId="180" fontId="11" fillId="0" borderId="98" xfId="16" applyFont="1" applyBorder="1" applyAlignment="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80" fontId="48" fillId="0" borderId="0" xfId="16" applyFont="1" applyAlignment="1">
      <alignment horizontal="left"/>
    </xf>
    <xf numFmtId="0" fontId="3" fillId="0" borderId="0" xfId="0" applyFont="1" applyAlignment="1" applyProtection="1">
      <alignment horizontal="left" vertical="center" wrapText="1"/>
      <protection locked="0"/>
    </xf>
    <xf numFmtId="0" fontId="3" fillId="0" borderId="13" xfId="0" applyFont="1" applyBorder="1" applyAlignment="1" applyProtection="1">
      <alignment horizontal="right"/>
      <protection locked="0"/>
    </xf>
    <xf numFmtId="0" fontId="3" fillId="0" borderId="17" xfId="0" applyFont="1" applyBorder="1" applyAlignment="1" applyProtection="1">
      <alignment horizontal="right"/>
      <protection locked="0"/>
    </xf>
    <xf numFmtId="0" fontId="3" fillId="0" borderId="20" xfId="0" applyFont="1" applyBorder="1" applyAlignment="1" applyProtection="1">
      <alignment horizontal="right"/>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3" fillId="0" borderId="0" xfId="0" applyFont="1" applyAlignment="1" applyProtection="1">
      <alignment horizontal="right"/>
      <protection locked="0"/>
    </xf>
    <xf numFmtId="0" fontId="3" fillId="0" borderId="8" xfId="0" applyFont="1" applyBorder="1" applyProtection="1">
      <protection locked="0"/>
    </xf>
    <xf numFmtId="0" fontId="48" fillId="0" borderId="0" xfId="0" applyFont="1"/>
    <xf numFmtId="0" fontId="3" fillId="0" borderId="0" xfId="0" applyFont="1" applyAlignment="1">
      <alignment horizontal="left" vertical="center"/>
    </xf>
    <xf numFmtId="0" fontId="40" fillId="0" borderId="0" xfId="0" applyFont="1" applyAlignment="1">
      <alignment horizontal="right"/>
    </xf>
    <xf numFmtId="0" fontId="49" fillId="0" borderId="0" xfId="0" applyFont="1"/>
    <xf numFmtId="0" fontId="49" fillId="0" borderId="0" xfId="0" applyFont="1" applyAlignment="1">
      <alignment vertical="top" wrapText="1"/>
    </xf>
    <xf numFmtId="0" fontId="49"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0" fillId="0" borderId="0" xfId="5" applyFont="1" applyAlignment="1" applyProtection="1">
      <alignment horizontal="left" vertical="top" wrapText="1"/>
    </xf>
    <xf numFmtId="4" fontId="11" fillId="3" borderId="98" xfId="16" applyNumberFormat="1" applyFont="1" applyFill="1" applyBorder="1" applyAlignment="1">
      <alignment horizontal="center" vertical="center" wrapText="1"/>
    </xf>
    <xf numFmtId="4" fontId="11" fillId="3" borderId="108" xfId="16" applyNumberFormat="1" applyFont="1" applyFill="1" applyBorder="1" applyAlignment="1">
      <alignment horizontal="center" vertical="center" wrapText="1"/>
    </xf>
    <xf numFmtId="0" fontId="3" fillId="6" borderId="0" xfId="0" applyFont="1" applyFill="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0" fontId="50" fillId="2" borderId="4" xfId="5" applyFont="1" applyFill="1" applyBorder="1" applyAlignment="1" applyProtection="1">
      <alignment horizontal="left" vertical="center" wrapText="1"/>
    </xf>
    <xf numFmtId="164" fontId="0" fillId="3" borderId="57" xfId="0" applyNumberFormat="1" applyFill="1" applyBorder="1"/>
    <xf numFmtId="0" fontId="10" fillId="2" borderId="0" xfId="0" applyFont="1" applyFill="1" applyAlignment="1">
      <alignment vertical="top" wrapText="1"/>
    </xf>
    <xf numFmtId="0" fontId="40" fillId="0" borderId="0" xfId="0" applyFont="1" applyAlignment="1">
      <alignment vertical="top" wrapText="1"/>
    </xf>
    <xf numFmtId="169" fontId="11" fillId="0" borderId="0" xfId="0" applyNumberFormat="1" applyFont="1" applyAlignment="1">
      <alignment vertical="top" wrapText="1"/>
    </xf>
    <xf numFmtId="0" fontId="0" fillId="16" borderId="0" xfId="0" applyFill="1"/>
    <xf numFmtId="0" fontId="3" fillId="0" borderId="4" xfId="0" applyFont="1" applyBorder="1" applyAlignment="1">
      <alignment vertical="center" wrapText="1"/>
    </xf>
    <xf numFmtId="176" fontId="11" fillId="3" borderId="142" xfId="16" applyNumberFormat="1" applyFont="1" applyFill="1" applyBorder="1"/>
    <xf numFmtId="176" fontId="3" fillId="3" borderId="22" xfId="16" applyNumberFormat="1" applyFont="1" applyFill="1" applyBorder="1"/>
    <xf numFmtId="0" fontId="0" fillId="0" borderId="47" xfId="0" quotePrefix="1" applyBorder="1" applyAlignment="1">
      <alignment wrapText="1"/>
    </xf>
    <xf numFmtId="180" fontId="11" fillId="0" borderId="0" xfId="16" quotePrefix="1" applyFont="1"/>
    <xf numFmtId="172" fontId="17" fillId="3" borderId="8" xfId="0" applyNumberFormat="1" applyFont="1" applyFill="1" applyBorder="1" applyAlignment="1">
      <alignment wrapText="1"/>
    </xf>
    <xf numFmtId="172" fontId="17" fillId="3" borderId="19" xfId="0" applyNumberFormat="1" applyFont="1" applyFill="1" applyBorder="1" applyAlignment="1">
      <alignment wrapText="1"/>
    </xf>
    <xf numFmtId="174" fontId="0" fillId="0" borderId="98" xfId="0" applyNumberFormat="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72"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72" fontId="0" fillId="0" borderId="98" xfId="0" applyNumberFormat="1" applyBorder="1"/>
    <xf numFmtId="172" fontId="0" fillId="0" borderId="115" xfId="0" applyNumberFormat="1" applyBorder="1"/>
    <xf numFmtId="172" fontId="0" fillId="0" borderId="116" xfId="0" applyNumberFormat="1" applyBorder="1"/>
    <xf numFmtId="171"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7" fontId="0" fillId="3" borderId="89" xfId="0" applyNumberFormat="1" applyFill="1" applyBorder="1" applyAlignment="1">
      <alignment vertical="top" wrapText="1"/>
    </xf>
    <xf numFmtId="177" fontId="0" fillId="3" borderId="88" xfId="0" quotePrefix="1" applyNumberFormat="1" applyFill="1" applyBorder="1" applyAlignment="1">
      <alignment vertical="top" wrapText="1"/>
    </xf>
    <xf numFmtId="0" fontId="11" fillId="6" borderId="6" xfId="7" applyFill="1" applyBorder="1" applyAlignment="1">
      <alignment horizontal="center"/>
    </xf>
    <xf numFmtId="0" fontId="51" fillId="0" borderId="0" xfId="0" applyFont="1"/>
    <xf numFmtId="0" fontId="11" fillId="6" borderId="67" xfId="7" applyFill="1" applyBorder="1" applyAlignment="1">
      <alignment horizontal="center"/>
    </xf>
    <xf numFmtId="0" fontId="3" fillId="0" borderId="24" xfId="0" applyFont="1" applyBorder="1"/>
    <xf numFmtId="0" fontId="0" fillId="0" borderId="65" xfId="0" applyBorder="1"/>
    <xf numFmtId="0" fontId="0" fillId="0" borderId="78" xfId="0" applyBorder="1"/>
    <xf numFmtId="0" fontId="0" fillId="0" borderId="79" xfId="0" applyBorder="1"/>
    <xf numFmtId="0" fontId="0" fillId="0" borderId="80" xfId="0" applyBorder="1"/>
    <xf numFmtId="0" fontId="0" fillId="0" borderId="6" xfId="0" applyBorder="1"/>
    <xf numFmtId="174" fontId="0" fillId="0" borderId="0" xfId="0" applyNumberFormat="1"/>
    <xf numFmtId="0" fontId="0" fillId="0" borderId="4" xfId="0" applyBorder="1"/>
    <xf numFmtId="0" fontId="11" fillId="0" borderId="6" xfId="0" applyFont="1" applyBorder="1"/>
    <xf numFmtId="174" fontId="0" fillId="0" borderId="4" xfId="0" applyNumberFormat="1" applyBorder="1"/>
    <xf numFmtId="0" fontId="11" fillId="0" borderId="67" xfId="0" applyFont="1" applyBorder="1"/>
    <xf numFmtId="174" fontId="0" fillId="0" borderId="90" xfId="0" applyNumberFormat="1" applyBorder="1"/>
    <xf numFmtId="0" fontId="11" fillId="17" borderId="65" xfId="0" applyFont="1" applyFill="1" applyBorder="1"/>
    <xf numFmtId="0" fontId="0" fillId="17" borderId="65" xfId="0" applyFill="1" applyBorder="1"/>
    <xf numFmtId="0" fontId="0" fillId="17" borderId="66" xfId="0" applyFill="1" applyBorder="1"/>
    <xf numFmtId="0" fontId="0" fillId="0" borderId="144" xfId="0" applyBorder="1"/>
    <xf numFmtId="0" fontId="3" fillId="0" borderId="6" xfId="0" applyFont="1" applyBorder="1"/>
    <xf numFmtId="0" fontId="3" fillId="0" borderId="0" xfId="0" applyFont="1" applyAlignment="1">
      <alignment wrapText="1"/>
    </xf>
    <xf numFmtId="0" fontId="3" fillId="0" borderId="7" xfId="0" applyFont="1" applyBorder="1"/>
    <xf numFmtId="166" fontId="0" fillId="0" borderId="0" xfId="0" applyNumberFormat="1"/>
    <xf numFmtId="166" fontId="0" fillId="0" borderId="143" xfId="0" applyNumberFormat="1" applyBorder="1" applyAlignment="1">
      <alignment vertical="top" wrapText="1"/>
    </xf>
    <xf numFmtId="0" fontId="11" fillId="0" borderId="63" xfId="0" applyFont="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Border="1" applyAlignment="1">
      <alignment horizontal="left" vertical="top" wrapText="1"/>
    </xf>
    <xf numFmtId="179" fontId="11" fillId="3" borderId="69" xfId="0" applyNumberFormat="1" applyFont="1" applyFill="1" applyBorder="1" applyAlignment="1" applyProtection="1">
      <alignment wrapText="1"/>
      <protection locked="0"/>
    </xf>
    <xf numFmtId="179"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85" fontId="0" fillId="3" borderId="88" xfId="3" applyNumberFormat="1" applyFont="1" applyFill="1" applyBorder="1" applyAlignment="1">
      <alignment vertical="top" wrapText="1"/>
    </xf>
    <xf numFmtId="174" fontId="11" fillId="0" borderId="0" xfId="0" applyNumberFormat="1" applyFont="1"/>
    <xf numFmtId="0" fontId="26" fillId="0" borderId="90" xfId="0" applyFont="1" applyBorder="1" applyAlignment="1">
      <alignment horizontal="center" wrapText="1"/>
    </xf>
    <xf numFmtId="3" fontId="11" fillId="2" borderId="8" xfId="0" applyNumberFormat="1" applyFont="1" applyFill="1" applyBorder="1" applyAlignment="1" applyProtection="1">
      <alignment horizontal="left" vertical="center" wrapText="1"/>
      <protection locked="0"/>
    </xf>
    <xf numFmtId="3" fontId="11" fillId="2" borderId="19" xfId="0" applyNumberFormat="1" applyFont="1" applyFill="1" applyBorder="1" applyAlignment="1" applyProtection="1">
      <alignment horizontal="left" vertical="center" wrapText="1"/>
      <protection locked="0"/>
    </xf>
    <xf numFmtId="0" fontId="5" fillId="0" borderId="0" xfId="0" applyFont="1" applyAlignment="1">
      <alignment horizontal="right" vertical="center" wrapText="1"/>
    </xf>
    <xf numFmtId="177" fontId="14" fillId="0" borderId="0" xfId="0" applyNumberFormat="1" applyFont="1" applyAlignment="1">
      <alignment horizontal="center" vertical="center" wrapText="1"/>
    </xf>
    <xf numFmtId="0" fontId="59" fillId="0" borderId="58" xfId="0" applyFont="1" applyBorder="1"/>
    <xf numFmtId="0" fontId="11" fillId="0" borderId="6" xfId="0" applyFont="1" applyBorder="1" applyAlignment="1">
      <alignment horizontal="left"/>
    </xf>
    <xf numFmtId="0" fontId="14" fillId="5" borderId="89" xfId="0" applyFont="1" applyFill="1" applyBorder="1"/>
    <xf numFmtId="0" fontId="0" fillId="0" borderId="0" xfId="0" applyAlignment="1">
      <alignment horizontal="left"/>
    </xf>
    <xf numFmtId="0" fontId="0" fillId="0" borderId="0" xfId="0" applyAlignment="1">
      <alignment horizontal="right"/>
    </xf>
    <xf numFmtId="186" fontId="0" fillId="0" borderId="0" xfId="0" applyNumberFormat="1"/>
    <xf numFmtId="0" fontId="54" fillId="0" borderId="1" xfId="0" applyFont="1" applyBorder="1" applyAlignment="1">
      <alignment wrapText="1"/>
    </xf>
    <xf numFmtId="0" fontId="54" fillId="0" borderId="2" xfId="0" applyFont="1" applyBorder="1" applyAlignment="1">
      <alignment horizontal="center"/>
    </xf>
    <xf numFmtId="0" fontId="54" fillId="0" borderId="2" xfId="0" applyFont="1" applyBorder="1" applyAlignment="1">
      <alignment horizontal="center" wrapText="1"/>
    </xf>
    <xf numFmtId="0" fontId="54" fillId="0" borderId="3" xfId="0" applyFont="1" applyBorder="1" applyAlignment="1">
      <alignment horizontal="center" wrapText="1"/>
    </xf>
    <xf numFmtId="0" fontId="55" fillId="0" borderId="4" xfId="0" applyFont="1" applyBorder="1" applyAlignment="1">
      <alignment wrapText="1"/>
    </xf>
    <xf numFmtId="2" fontId="55" fillId="0" borderId="0" xfId="0" applyNumberFormat="1" applyFont="1" applyAlignment="1">
      <alignment horizontal="center"/>
    </xf>
    <xf numFmtId="2" fontId="56" fillId="0" borderId="0" xfId="0" applyNumberFormat="1" applyFont="1" applyAlignment="1">
      <alignment wrapText="1"/>
    </xf>
    <xf numFmtId="2" fontId="56" fillId="0" borderId="0" xfId="0" applyNumberFormat="1" applyFont="1"/>
    <xf numFmtId="2" fontId="56" fillId="0" borderId="5" xfId="0" applyNumberFormat="1" applyFont="1" applyBorder="1"/>
    <xf numFmtId="0" fontId="55" fillId="0" borderId="4" xfId="0" applyFont="1" applyBorder="1"/>
    <xf numFmtId="0" fontId="54" fillId="0" borderId="4" xfId="0" applyFont="1" applyBorder="1"/>
    <xf numFmtId="2" fontId="55" fillId="0" borderId="5" xfId="0" applyNumberFormat="1" applyFont="1" applyBorder="1" applyAlignment="1">
      <alignment horizontal="center"/>
    </xf>
    <xf numFmtId="2" fontId="56" fillId="0" borderId="5" xfId="0" applyNumberFormat="1" applyFont="1" applyBorder="1" applyAlignment="1">
      <alignment wrapText="1"/>
    </xf>
    <xf numFmtId="0" fontId="55" fillId="0" borderId="58" xfId="0" applyFont="1" applyBorder="1" applyAlignment="1">
      <alignment wrapText="1"/>
    </xf>
    <xf numFmtId="2" fontId="55" fillId="0" borderId="59" xfId="0" applyNumberFormat="1" applyFont="1" applyBorder="1" applyAlignment="1">
      <alignment horizontal="center"/>
    </xf>
    <xf numFmtId="2" fontId="55" fillId="0" borderId="59" xfId="0" applyNumberFormat="1" applyFont="1" applyBorder="1" applyAlignment="1">
      <alignment horizontal="center" wrapText="1"/>
    </xf>
    <xf numFmtId="2" fontId="55" fillId="0" borderId="87" xfId="0" applyNumberFormat="1" applyFont="1" applyBorder="1" applyAlignment="1">
      <alignment horizontal="center" wrapText="1"/>
    </xf>
    <xf numFmtId="0" fontId="57" fillId="0" borderId="0" xfId="0" applyFont="1"/>
    <xf numFmtId="0" fontId="56" fillId="0" borderId="0" xfId="0" applyFont="1"/>
    <xf numFmtId="0" fontId="3" fillId="0" borderId="1" xfId="0" applyFont="1" applyBorder="1" applyAlignment="1">
      <alignment vertical="center"/>
    </xf>
    <xf numFmtId="0" fontId="3" fillId="0" borderId="2" xfId="0" applyFont="1" applyBorder="1" applyAlignment="1">
      <alignment horizontal="center" vertical="center" wrapText="1"/>
    </xf>
    <xf numFmtId="0" fontId="56" fillId="3" borderId="4" xfId="0" applyFont="1" applyFill="1" applyBorder="1"/>
    <xf numFmtId="172" fontId="56" fillId="3" borderId="0" xfId="0" applyNumberFormat="1" applyFont="1" applyFill="1" applyAlignment="1">
      <alignment horizontal="center"/>
    </xf>
    <xf numFmtId="0" fontId="56" fillId="0" borderId="4" xfId="0" applyFont="1" applyBorder="1"/>
    <xf numFmtId="172" fontId="56" fillId="0" borderId="0" xfId="0" applyNumberFormat="1" applyFont="1" applyAlignment="1">
      <alignment horizontal="center"/>
    </xf>
    <xf numFmtId="0" fontId="56" fillId="3" borderId="0" xfId="0" applyFont="1" applyFill="1" applyAlignment="1">
      <alignment horizontal="center"/>
    </xf>
    <xf numFmtId="0" fontId="56" fillId="3" borderId="5" xfId="0" applyFont="1" applyFill="1" applyBorder="1" applyAlignment="1">
      <alignment horizontal="center"/>
    </xf>
    <xf numFmtId="0" fontId="56" fillId="0" borderId="0" xfId="0" applyFont="1" applyAlignment="1">
      <alignment horizontal="center"/>
    </xf>
    <xf numFmtId="0" fontId="56" fillId="0" borderId="5" xfId="0" applyFont="1" applyBorder="1" applyAlignment="1">
      <alignment horizontal="center"/>
    </xf>
    <xf numFmtId="0" fontId="3" fillId="3" borderId="0" xfId="0" applyFont="1" applyFill="1" applyAlignment="1">
      <alignment horizontal="center"/>
    </xf>
    <xf numFmtId="0" fontId="56" fillId="3" borderId="0" xfId="0" applyFont="1" applyFill="1"/>
    <xf numFmtId="0" fontId="18" fillId="0" borderId="5" xfId="0" applyFont="1" applyBorder="1" applyAlignment="1">
      <alignment horizontal="center"/>
    </xf>
    <xf numFmtId="0" fontId="18" fillId="3" borderId="5" xfId="0" applyFont="1" applyFill="1" applyBorder="1" applyAlignment="1">
      <alignment horizontal="center"/>
    </xf>
    <xf numFmtId="0" fontId="56" fillId="0" borderId="4" xfId="0" applyFont="1" applyBorder="1" applyAlignment="1">
      <alignment wrapText="1"/>
    </xf>
    <xf numFmtId="0" fontId="56" fillId="0" borderId="0" xfId="0" applyFont="1" applyAlignment="1">
      <alignment wrapText="1"/>
    </xf>
    <xf numFmtId="0" fontId="56" fillId="0" borderId="5" xfId="0" applyFont="1" applyBorder="1" applyAlignment="1">
      <alignment wrapText="1"/>
    </xf>
    <xf numFmtId="0" fontId="0" fillId="0" borderId="0" xfId="0" applyAlignment="1">
      <alignment wrapText="1"/>
    </xf>
    <xf numFmtId="0" fontId="0" fillId="3" borderId="4" xfId="0" applyFill="1" applyBorder="1" applyAlignment="1">
      <alignment wrapText="1"/>
    </xf>
    <xf numFmtId="0" fontId="0" fillId="0" borderId="81" xfId="0" applyBorder="1"/>
    <xf numFmtId="0" fontId="0" fillId="0" borderId="2" xfId="0" applyBorder="1"/>
    <xf numFmtId="174" fontId="0" fillId="0" borderId="2" xfId="0" applyNumberFormat="1" applyBorder="1"/>
    <xf numFmtId="172" fontId="56" fillId="3" borderId="2" xfId="0" applyNumberFormat="1" applyFont="1" applyFill="1" applyBorder="1" applyAlignment="1">
      <alignment horizontal="center"/>
    </xf>
    <xf numFmtId="172" fontId="56" fillId="3" borderId="82" xfId="0" applyNumberFormat="1" applyFont="1" applyFill="1" applyBorder="1" applyAlignment="1">
      <alignment horizontal="center"/>
    </xf>
    <xf numFmtId="172" fontId="56" fillId="3" borderId="7" xfId="0" applyNumberFormat="1" applyFont="1" applyFill="1" applyBorder="1" applyAlignment="1">
      <alignment horizontal="center"/>
    </xf>
    <xf numFmtId="0" fontId="11" fillId="0" borderId="4" xfId="0" applyFont="1" applyBorder="1"/>
    <xf numFmtId="2" fontId="55" fillId="0" borderId="0" xfId="0" applyNumberFormat="1" applyFont="1" applyAlignment="1">
      <alignment horizontal="center" wrapText="1"/>
    </xf>
    <xf numFmtId="2" fontId="55" fillId="0" borderId="7" xfId="0" applyNumberFormat="1" applyFont="1" applyBorder="1" applyAlignment="1">
      <alignment horizontal="center" wrapText="1"/>
    </xf>
    <xf numFmtId="0" fontId="11" fillId="0" borderId="144" xfId="0" applyFont="1" applyBorder="1"/>
    <xf numFmtId="172" fontId="56" fillId="3" borderId="90" xfId="0" applyNumberFormat="1" applyFont="1" applyFill="1" applyBorder="1" applyAlignment="1">
      <alignment horizontal="center"/>
    </xf>
    <xf numFmtId="172" fontId="56"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Protection="1">
      <protection locked="0"/>
    </xf>
    <xf numFmtId="0" fontId="36" fillId="2" borderId="10" xfId="0" applyFont="1" applyFill="1" applyBorder="1" applyProtection="1">
      <protection locked="0"/>
    </xf>
    <xf numFmtId="0" fontId="36" fillId="2" borderId="11" xfId="0" applyFont="1" applyFill="1" applyBorder="1" applyProtection="1">
      <protection locked="0"/>
    </xf>
    <xf numFmtId="10" fontId="57" fillId="0" borderId="0" xfId="0" applyNumberFormat="1" applyFont="1"/>
    <xf numFmtId="0" fontId="0" fillId="0" borderId="67" xfId="0" applyBorder="1"/>
    <xf numFmtId="0" fontId="11" fillId="0" borderId="1" xfId="0" applyFont="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9" fontId="11" fillId="5" borderId="100" xfId="0" applyNumberFormat="1" applyFont="1" applyFill="1" applyBorder="1" applyAlignment="1" applyProtection="1">
      <alignment wrapText="1"/>
      <protection locked="0"/>
    </xf>
    <xf numFmtId="179" fontId="11" fillId="5" borderId="101" xfId="0" applyNumberFormat="1" applyFont="1" applyFill="1" applyBorder="1" applyAlignment="1" applyProtection="1">
      <alignment wrapText="1"/>
      <protection locked="0"/>
    </xf>
    <xf numFmtId="166" fontId="34" fillId="0" borderId="57" xfId="0" applyNumberFormat="1" applyFont="1" applyBorder="1" applyAlignment="1">
      <alignment vertical="top" wrapText="1"/>
    </xf>
    <xf numFmtId="0" fontId="11" fillId="5" borderId="105" xfId="0" applyFont="1" applyFill="1" applyBorder="1" applyAlignment="1" applyProtection="1">
      <alignment wrapText="1"/>
      <protection locked="0"/>
    </xf>
    <xf numFmtId="9" fontId="0" fillId="4" borderId="0" xfId="0" applyNumberFormat="1" applyFill="1" applyAlignment="1">
      <alignment vertical="top" wrapText="1"/>
    </xf>
    <xf numFmtId="179" fontId="11" fillId="5" borderId="148" xfId="1" applyNumberFormat="1" applyFont="1" applyFill="1" applyBorder="1" applyAlignment="1" applyProtection="1">
      <alignment wrapText="1"/>
      <protection locked="0"/>
    </xf>
    <xf numFmtId="177" fontId="0" fillId="3" borderId="88" xfId="0" applyNumberFormat="1" applyFill="1" applyBorder="1" applyAlignment="1">
      <alignment vertical="top" wrapText="1"/>
    </xf>
    <xf numFmtId="166"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0" fillId="3" borderId="57" xfId="0" applyFill="1" applyBorder="1" applyAlignment="1">
      <alignment vertical="top" wrapText="1"/>
    </xf>
    <xf numFmtId="166" fontId="11" fillId="3" borderId="57" xfId="0" applyNumberFormat="1" applyFont="1" applyFill="1" applyBorder="1" applyAlignment="1">
      <alignment vertical="top" wrapText="1"/>
    </xf>
    <xf numFmtId="9" fontId="1" fillId="5" borderId="89" xfId="17" applyFill="1" applyBorder="1" applyAlignment="1">
      <alignment vertical="top" wrapText="1"/>
    </xf>
    <xf numFmtId="166" fontId="0" fillId="3" borderId="62" xfId="0" applyNumberFormat="1" applyFill="1" applyBorder="1" applyAlignment="1">
      <alignment vertical="top" wrapText="1"/>
    </xf>
    <xf numFmtId="177" fontId="11" fillId="3" borderId="62" xfId="0" applyNumberFormat="1" applyFont="1" applyFill="1" applyBorder="1" applyAlignment="1">
      <alignment vertical="top" wrapText="1"/>
    </xf>
    <xf numFmtId="176" fontId="11" fillId="3" borderId="57" xfId="0" applyNumberFormat="1" applyFont="1" applyFill="1" applyBorder="1" applyAlignment="1">
      <alignment vertical="top" wrapText="1"/>
    </xf>
    <xf numFmtId="0" fontId="0" fillId="6" borderId="0" xfId="0" quotePrefix="1" applyFill="1" applyAlignment="1">
      <alignment horizontal="left" vertical="top" wrapText="1"/>
    </xf>
    <xf numFmtId="0" fontId="11" fillId="6" borderId="0" xfId="0" applyFont="1" applyFill="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7" fontId="0" fillId="6" borderId="0" xfId="0" applyNumberFormat="1" applyFill="1" applyAlignment="1">
      <alignment horizontal="left" vertical="top" wrapText="1"/>
    </xf>
    <xf numFmtId="177" fontId="0" fillId="6" borderId="5" xfId="0" applyNumberFormat="1" applyFill="1" applyBorder="1" applyAlignment="1">
      <alignment horizontal="left" vertical="top" wrapText="1"/>
    </xf>
    <xf numFmtId="0" fontId="11" fillId="6" borderId="0" xfId="0" applyFont="1" applyFill="1" applyAlignment="1">
      <alignment vertical="top" wrapText="1"/>
    </xf>
    <xf numFmtId="172" fontId="11" fillId="3" borderId="138" xfId="0" applyNumberFormat="1" applyFont="1" applyFill="1" applyBorder="1" applyAlignment="1" applyProtection="1">
      <alignment wrapText="1"/>
      <protection locked="0"/>
    </xf>
    <xf numFmtId="172" fontId="11" fillId="3" borderId="145" xfId="0" applyNumberFormat="1" applyFont="1" applyFill="1" applyBorder="1" applyAlignment="1" applyProtection="1">
      <alignment wrapText="1"/>
      <protection locked="0"/>
    </xf>
    <xf numFmtId="0" fontId="11" fillId="3" borderId="138" xfId="0" applyFont="1" applyFill="1" applyBorder="1" applyAlignment="1" applyProtection="1">
      <alignment wrapText="1"/>
      <protection locked="0"/>
    </xf>
    <xf numFmtId="0" fontId="3" fillId="6" borderId="0" xfId="0" applyFont="1" applyFill="1" applyAlignment="1">
      <alignment vertical="top" wrapText="1"/>
    </xf>
    <xf numFmtId="0" fontId="3" fillId="6" borderId="5" xfId="0" applyFont="1" applyFill="1" applyBorder="1" applyAlignment="1">
      <alignment vertical="top" wrapText="1"/>
    </xf>
    <xf numFmtId="177" fontId="0" fillId="5" borderId="137" xfId="0" applyNumberFormat="1" applyFill="1" applyBorder="1" applyAlignment="1">
      <alignment vertical="top" wrapText="1"/>
    </xf>
    <xf numFmtId="0" fontId="0" fillId="3" borderId="135" xfId="0" applyFill="1" applyBorder="1" applyAlignment="1">
      <alignment vertical="top" wrapText="1"/>
    </xf>
    <xf numFmtId="177" fontId="0" fillId="3" borderId="99" xfId="0" applyNumberFormat="1" applyFill="1" applyBorder="1" applyAlignment="1">
      <alignment vertical="top" wrapText="1"/>
    </xf>
    <xf numFmtId="177" fontId="0" fillId="5" borderId="138" xfId="0" applyNumberFormat="1" applyFill="1" applyBorder="1" applyAlignment="1">
      <alignment vertical="top" wrapText="1"/>
    </xf>
    <xf numFmtId="0" fontId="0" fillId="3" borderId="8" xfId="0" applyFill="1" applyBorder="1" applyAlignment="1">
      <alignment vertical="top" wrapText="1"/>
    </xf>
    <xf numFmtId="177" fontId="0" fillId="3" borderId="100" xfId="0" applyNumberFormat="1" applyFill="1" applyBorder="1" applyAlignment="1">
      <alignment vertical="top" wrapText="1"/>
    </xf>
    <xf numFmtId="177" fontId="0" fillId="5" borderId="145" xfId="0" applyNumberFormat="1" applyFill="1" applyBorder="1" applyAlignment="1">
      <alignment vertical="top" wrapText="1"/>
    </xf>
    <xf numFmtId="177" fontId="0" fillId="3" borderId="101" xfId="0" applyNumberFormat="1" applyFill="1" applyBorder="1" applyAlignment="1">
      <alignment vertical="top" wrapText="1"/>
    </xf>
    <xf numFmtId="0" fontId="0" fillId="6" borderId="0" xfId="0" quotePrefix="1" applyFill="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Fill="1" applyBorder="1" applyAlignment="1">
      <alignment vertical="top" wrapText="1"/>
    </xf>
    <xf numFmtId="0" fontId="11" fillId="3" borderId="62" xfId="0"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170" fontId="11" fillId="3" borderId="153" xfId="1" applyFont="1" applyFill="1" applyBorder="1" applyProtection="1"/>
    <xf numFmtId="0" fontId="0" fillId="6" borderId="6" xfId="0" applyFill="1" applyBorder="1" applyAlignment="1">
      <alignment horizontal="center"/>
    </xf>
    <xf numFmtId="187"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2" fillId="6" borderId="7" xfId="9" applyNumberFormat="1" applyFill="1" applyBorder="1"/>
    <xf numFmtId="39" fontId="62" fillId="6" borderId="110" xfId="9" applyNumberFormat="1" applyFill="1" applyBorder="1"/>
    <xf numFmtId="0" fontId="3" fillId="0" borderId="1" xfId="7" applyFont="1" applyBorder="1"/>
    <xf numFmtId="0" fontId="11" fillId="0" borderId="2" xfId="7" applyBorder="1"/>
    <xf numFmtId="174" fontId="11" fillId="0" borderId="2" xfId="7" applyNumberFormat="1" applyBorder="1"/>
    <xf numFmtId="0" fontId="11" fillId="0" borderId="3" xfId="7" applyBorder="1"/>
    <xf numFmtId="0" fontId="11" fillId="0" borderId="0" xfId="7"/>
    <xf numFmtId="0" fontId="18" fillId="0" borderId="4" xfId="7" applyFont="1" applyBorder="1"/>
    <xf numFmtId="174" fontId="11" fillId="0" borderId="0" xfId="7" applyNumberFormat="1"/>
    <xf numFmtId="0" fontId="11" fillId="0" borderId="5" xfId="7" applyBorder="1"/>
    <xf numFmtId="0" fontId="11" fillId="0" borderId="4" xfId="7" applyBorder="1"/>
    <xf numFmtId="0" fontId="63" fillId="0" borderId="0" xfId="7" applyFont="1"/>
    <xf numFmtId="0" fontId="64" fillId="0" borderId="5" xfId="7" applyFont="1" applyBorder="1"/>
    <xf numFmtId="0" fontId="11" fillId="0" borderId="58" xfId="7" applyBorder="1"/>
    <xf numFmtId="0" fontId="11" fillId="0" borderId="59" xfId="7" applyBorder="1"/>
    <xf numFmtId="174" fontId="11" fillId="0" borderId="59" xfId="7" applyNumberFormat="1" applyBorder="1"/>
    <xf numFmtId="0" fontId="63" fillId="0" borderId="59" xfId="7" applyFont="1" applyBorder="1"/>
    <xf numFmtId="0" fontId="11" fillId="0" borderId="87" xfId="7" applyBorder="1"/>
    <xf numFmtId="0" fontId="3" fillId="0" borderId="0" xfId="7" applyFont="1"/>
    <xf numFmtId="0" fontId="18" fillId="0" borderId="2" xfId="0" applyFont="1" applyBorder="1"/>
    <xf numFmtId="0" fontId="18" fillId="0" borderId="0" xfId="0" applyFont="1"/>
    <xf numFmtId="2" fontId="60" fillId="0" borderId="0" xfId="0" applyNumberFormat="1" applyFont="1" applyAlignment="1">
      <alignment horizontal="center" wrapText="1"/>
    </xf>
    <xf numFmtId="0" fontId="18" fillId="0" borderId="90" xfId="0" applyFont="1" applyBorder="1"/>
    <xf numFmtId="174" fontId="65" fillId="0" borderId="0" xfId="7" applyNumberFormat="1" applyFont="1"/>
    <xf numFmtId="0" fontId="11" fillId="0" borderId="6" xfId="7" applyBorder="1" applyAlignment="1">
      <alignment horizontal="left"/>
    </xf>
    <xf numFmtId="172" fontId="11" fillId="3" borderId="0" xfId="0" applyNumberFormat="1" applyFont="1" applyFill="1" applyAlignment="1">
      <alignment horizontal="center"/>
    </xf>
    <xf numFmtId="172" fontId="11" fillId="3" borderId="2" xfId="0" applyNumberFormat="1" applyFont="1" applyFill="1" applyBorder="1" applyAlignment="1">
      <alignment horizontal="center"/>
    </xf>
    <xf numFmtId="172" fontId="11" fillId="3" borderId="82" xfId="0" applyNumberFormat="1" applyFont="1" applyFill="1" applyBorder="1" applyAlignment="1">
      <alignment horizontal="center"/>
    </xf>
    <xf numFmtId="172" fontId="11" fillId="3" borderId="7" xfId="0" applyNumberFormat="1" applyFont="1" applyFill="1" applyBorder="1" applyAlignment="1">
      <alignment horizontal="center"/>
    </xf>
    <xf numFmtId="172" fontId="11" fillId="3" borderId="90" xfId="0" applyNumberFormat="1" applyFont="1" applyFill="1" applyBorder="1" applyAlignment="1">
      <alignment horizontal="center"/>
    </xf>
    <xf numFmtId="172" fontId="11" fillId="3" borderId="110" xfId="0" applyNumberFormat="1" applyFont="1" applyFill="1" applyBorder="1" applyAlignment="1">
      <alignment horizontal="center"/>
    </xf>
    <xf numFmtId="180" fontId="1" fillId="0" borderId="0" xfId="16" applyFont="1"/>
    <xf numFmtId="189" fontId="11" fillId="3" borderId="23" xfId="16" applyNumberFormat="1" applyFont="1" applyFill="1" applyBorder="1" applyAlignment="1">
      <alignment horizontal="center"/>
    </xf>
    <xf numFmtId="188" fontId="11" fillId="3" borderId="19" xfId="16" applyNumberFormat="1" applyFont="1" applyFill="1" applyBorder="1" applyAlignment="1" applyProtection="1">
      <alignment horizontal="center"/>
      <protection locked="0"/>
    </xf>
    <xf numFmtId="180" fontId="3" fillId="0" borderId="0" xfId="16" applyFont="1"/>
    <xf numFmtId="177" fontId="0" fillId="18" borderId="34" xfId="0" applyNumberFormat="1" applyFill="1" applyBorder="1"/>
    <xf numFmtId="177" fontId="0" fillId="18" borderId="32" xfId="0" applyNumberFormat="1" applyFill="1" applyBorder="1"/>
    <xf numFmtId="180" fontId="3" fillId="0" borderId="60" xfId="16" applyFont="1" applyBorder="1" applyAlignment="1">
      <alignment horizontal="center"/>
    </xf>
    <xf numFmtId="180" fontId="1" fillId="3" borderId="17" xfId="16" applyFont="1" applyFill="1" applyBorder="1"/>
    <xf numFmtId="180" fontId="1" fillId="3" borderId="8" xfId="16" applyFont="1" applyFill="1" applyBorder="1"/>
    <xf numFmtId="172" fontId="1" fillId="3" borderId="8" xfId="16" applyNumberFormat="1" applyFont="1" applyFill="1" applyBorder="1"/>
    <xf numFmtId="177" fontId="1" fillId="3" borderId="8" xfId="16" applyNumberFormat="1" applyFont="1" applyFill="1" applyBorder="1"/>
    <xf numFmtId="165" fontId="1" fillId="3" borderId="8" xfId="16" applyNumberFormat="1" applyFont="1" applyFill="1" applyBorder="1"/>
    <xf numFmtId="171"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9" fontId="0" fillId="20" borderId="55" xfId="1" applyNumberFormat="1" applyFont="1" applyFill="1" applyBorder="1"/>
    <xf numFmtId="0" fontId="0" fillId="20" borderId="55" xfId="0" applyFill="1" applyBorder="1"/>
    <xf numFmtId="179"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90" fontId="0" fillId="20" borderId="8" xfId="1" applyNumberFormat="1" applyFont="1" applyFill="1" applyBorder="1"/>
    <xf numFmtId="9" fontId="1" fillId="20" borderId="8" xfId="0" applyNumberFormat="1" applyFont="1" applyFill="1" applyBorder="1"/>
    <xf numFmtId="169" fontId="0" fillId="20" borderId="8" xfId="0" applyNumberFormat="1" applyFill="1" applyBorder="1"/>
    <xf numFmtId="169" fontId="1" fillId="20" borderId="8" xfId="3" applyFont="1" applyFill="1" applyBorder="1"/>
    <xf numFmtId="169"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9"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169" fontId="1" fillId="20" borderId="8" xfId="0" applyNumberFormat="1" applyFont="1" applyFill="1" applyBorder="1"/>
    <xf numFmtId="0" fontId="3" fillId="0" borderId="126" xfId="0" applyFont="1" applyBorder="1"/>
    <xf numFmtId="0" fontId="3" fillId="0" borderId="59" xfId="0" applyFont="1" applyBorder="1" applyAlignment="1">
      <alignment wrapText="1"/>
    </xf>
    <xf numFmtId="0" fontId="3" fillId="0" borderId="154" xfId="0" applyFont="1" applyBorder="1"/>
    <xf numFmtId="169" fontId="3" fillId="21" borderId="0" xfId="3" applyFont="1" applyFill="1"/>
    <xf numFmtId="180" fontId="3" fillId="21" borderId="8" xfId="16" applyFont="1" applyFill="1" applyBorder="1" applyAlignment="1">
      <alignment horizontal="center" wrapText="1"/>
    </xf>
    <xf numFmtId="180" fontId="3" fillId="21" borderId="8" xfId="16" applyFont="1" applyFill="1" applyBorder="1"/>
    <xf numFmtId="3" fontId="11" fillId="3" borderId="8" xfId="16" applyNumberFormat="1" applyFont="1" applyFill="1" applyBorder="1"/>
    <xf numFmtId="2" fontId="11" fillId="3" borderId="8" xfId="16" applyNumberFormat="1" applyFont="1" applyFill="1" applyBorder="1" applyAlignment="1">
      <alignment horizontal="center"/>
    </xf>
    <xf numFmtId="185" fontId="11" fillId="3" borderId="8" xfId="3" applyNumberFormat="1" applyFont="1" applyFill="1" applyBorder="1" applyAlignment="1" applyProtection="1">
      <alignment horizontal="center"/>
      <protection locked="0"/>
    </xf>
    <xf numFmtId="180" fontId="1" fillId="21" borderId="2" xfId="16" applyFont="1" applyFill="1" applyBorder="1"/>
    <xf numFmtId="180" fontId="1" fillId="21" borderId="3" xfId="16" applyFont="1" applyFill="1" applyBorder="1"/>
    <xf numFmtId="180" fontId="1" fillId="21" borderId="4" xfId="16" applyFont="1" applyFill="1" applyBorder="1"/>
    <xf numFmtId="180" fontId="3" fillId="21" borderId="100" xfId="16" applyFont="1" applyFill="1" applyBorder="1"/>
    <xf numFmtId="180" fontId="1" fillId="21" borderId="138" xfId="16" applyFont="1" applyFill="1" applyBorder="1"/>
    <xf numFmtId="3" fontId="11" fillId="3" borderId="100" xfId="16" applyNumberFormat="1" applyFont="1" applyFill="1" applyBorder="1"/>
    <xf numFmtId="2" fontId="11" fillId="3" borderId="100" xfId="16" applyNumberFormat="1" applyFont="1" applyFill="1" applyBorder="1" applyAlignment="1">
      <alignment horizontal="center"/>
    </xf>
    <xf numFmtId="185" fontId="11" fillId="3" borderId="100" xfId="3" applyNumberFormat="1" applyFont="1" applyFill="1" applyBorder="1" applyAlignment="1" applyProtection="1">
      <alignment horizontal="center"/>
      <protection locked="0"/>
    </xf>
    <xf numFmtId="9" fontId="1" fillId="21" borderId="4" xfId="16" applyNumberFormat="1" applyFont="1" applyFill="1" applyBorder="1"/>
    <xf numFmtId="180" fontId="1" fillId="21" borderId="0" xfId="16" applyFont="1" applyFill="1"/>
    <xf numFmtId="180" fontId="1" fillId="21" borderId="5" xfId="16" applyFont="1" applyFill="1" applyBorder="1"/>
    <xf numFmtId="0" fontId="1" fillId="21" borderId="138" xfId="0" applyFont="1" applyFill="1" applyBorder="1"/>
    <xf numFmtId="180" fontId="1" fillId="21" borderId="145" xfId="16" applyFont="1" applyFill="1" applyBorder="1"/>
    <xf numFmtId="188" fontId="11" fillId="3" borderId="134" xfId="16" applyNumberFormat="1" applyFont="1" applyFill="1" applyBorder="1" applyAlignment="1" applyProtection="1">
      <alignment horizontal="center"/>
      <protection locked="0"/>
    </xf>
    <xf numFmtId="180" fontId="1" fillId="21" borderId="59" xfId="16" applyFont="1" applyFill="1" applyBorder="1"/>
    <xf numFmtId="180" fontId="1" fillId="21" borderId="87" xfId="16" applyFont="1" applyFill="1" applyBorder="1"/>
    <xf numFmtId="180" fontId="3" fillId="21" borderId="41" xfId="16" applyFont="1" applyFill="1" applyBorder="1" applyAlignment="1">
      <alignment horizontal="center" wrapText="1"/>
    </xf>
    <xf numFmtId="180" fontId="3" fillId="21" borderId="42" xfId="16" applyFont="1" applyFill="1" applyBorder="1" applyAlignment="1">
      <alignment horizontal="center"/>
    </xf>
    <xf numFmtId="180" fontId="3" fillId="21" borderId="42" xfId="16" applyFont="1" applyFill="1" applyBorder="1" applyAlignment="1">
      <alignment horizontal="center" wrapText="1"/>
    </xf>
    <xf numFmtId="180" fontId="3" fillId="21" borderId="43" xfId="16" applyFont="1" applyFill="1" applyBorder="1" applyAlignment="1">
      <alignment horizontal="center" wrapText="1"/>
    </xf>
    <xf numFmtId="180" fontId="3" fillId="21" borderId="85" xfId="16" applyFont="1" applyFill="1" applyBorder="1" applyAlignment="1">
      <alignment horizontal="center" wrapText="1"/>
    </xf>
    <xf numFmtId="180" fontId="3" fillId="21" borderId="150" xfId="16" applyFont="1" applyFill="1" applyBorder="1" applyAlignment="1">
      <alignment horizontal="center" wrapText="1"/>
    </xf>
    <xf numFmtId="165" fontId="11" fillId="3" borderId="159" xfId="16" applyNumberFormat="1" applyFont="1" applyFill="1" applyBorder="1"/>
    <xf numFmtId="165" fontId="11" fillId="3" borderId="100" xfId="16" applyNumberFormat="1" applyFont="1" applyFill="1" applyBorder="1"/>
    <xf numFmtId="165" fontId="1" fillId="3" borderId="100" xfId="16" applyNumberFormat="1" applyFont="1" applyFill="1" applyBorder="1"/>
    <xf numFmtId="165" fontId="11" fillId="3" borderId="101" xfId="16" applyNumberFormat="1" applyFont="1" applyFill="1" applyBorder="1"/>
    <xf numFmtId="179" fontId="11" fillId="3" borderId="48" xfId="1" applyNumberFormat="1" applyFont="1" applyFill="1" applyBorder="1" applyProtection="1"/>
    <xf numFmtId="179" fontId="11" fillId="3" borderId="49" xfId="1" applyNumberFormat="1" applyFont="1" applyFill="1" applyBorder="1" applyProtection="1"/>
    <xf numFmtId="179" fontId="1" fillId="3" borderId="49" xfId="1" applyNumberFormat="1" applyFont="1" applyFill="1" applyBorder="1" applyProtection="1"/>
    <xf numFmtId="179" fontId="11" fillId="3" borderId="50" xfId="1" applyNumberFormat="1" applyFont="1" applyFill="1" applyBorder="1" applyProtection="1"/>
    <xf numFmtId="172" fontId="11" fillId="3" borderId="37" xfId="16" applyNumberFormat="1" applyFont="1" applyFill="1" applyBorder="1"/>
    <xf numFmtId="177" fontId="11" fillId="3" borderId="37" xfId="16" applyNumberFormat="1" applyFont="1" applyFill="1" applyBorder="1"/>
    <xf numFmtId="165" fontId="11" fillId="3" borderId="37" xfId="16" applyNumberFormat="1" applyFont="1" applyFill="1" applyBorder="1"/>
    <xf numFmtId="171" fontId="1" fillId="3" borderId="37" xfId="17" applyNumberFormat="1" applyFill="1" applyBorder="1" applyProtection="1"/>
    <xf numFmtId="165" fontId="11" fillId="3" borderId="160" xfId="16" applyNumberFormat="1" applyFont="1" applyFill="1" applyBorder="1"/>
    <xf numFmtId="165" fontId="11" fillId="3" borderId="60" xfId="16" applyNumberFormat="1" applyFont="1" applyFill="1" applyBorder="1"/>
    <xf numFmtId="165" fontId="11" fillId="3" borderId="55" xfId="16" applyNumberFormat="1" applyFont="1" applyFill="1" applyBorder="1"/>
    <xf numFmtId="165" fontId="1" fillId="3" borderId="55" xfId="16" applyNumberFormat="1" applyFont="1" applyFill="1" applyBorder="1"/>
    <xf numFmtId="165" fontId="11" fillId="3" borderId="161" xfId="16" applyNumberFormat="1" applyFont="1" applyFill="1" applyBorder="1"/>
    <xf numFmtId="0" fontId="0" fillId="0" borderId="65" xfId="0" applyBorder="1" applyAlignment="1">
      <alignment wrapText="1"/>
    </xf>
    <xf numFmtId="0" fontId="0" fillId="0" borderId="66" xfId="0" applyBorder="1" applyAlignment="1">
      <alignment wrapText="1"/>
    </xf>
    <xf numFmtId="180" fontId="3" fillId="21" borderId="162" xfId="16" applyFont="1" applyFill="1" applyBorder="1" applyAlignment="1">
      <alignment horizontal="center" wrapText="1"/>
    </xf>
    <xf numFmtId="180" fontId="3" fillId="21" borderId="163" xfId="16" applyFont="1" applyFill="1" applyBorder="1" applyAlignment="1">
      <alignment horizontal="center" wrapText="1"/>
    </xf>
    <xf numFmtId="180" fontId="3" fillId="21" borderId="158" xfId="16" applyFont="1" applyFill="1" applyBorder="1" applyAlignment="1">
      <alignment horizontal="center" wrapText="1"/>
    </xf>
    <xf numFmtId="165" fontId="11" fillId="3" borderId="164" xfId="16" applyNumberFormat="1" applyFont="1" applyFill="1" applyBorder="1"/>
    <xf numFmtId="165" fontId="11" fillId="3" borderId="138" xfId="16" applyNumberFormat="1" applyFont="1" applyFill="1" applyBorder="1"/>
    <xf numFmtId="165" fontId="1" fillId="3" borderId="138" xfId="16" applyNumberFormat="1" applyFont="1" applyFill="1" applyBorder="1"/>
    <xf numFmtId="165" fontId="11" fillId="3" borderId="165" xfId="16" applyNumberFormat="1" applyFont="1" applyFill="1" applyBorder="1"/>
    <xf numFmtId="172" fontId="11" fillId="0" borderId="137" xfId="16" applyNumberFormat="1" applyFont="1" applyBorder="1"/>
    <xf numFmtId="177" fontId="11" fillId="3" borderId="135" xfId="16" applyNumberFormat="1" applyFont="1" applyFill="1" applyBorder="1"/>
    <xf numFmtId="177" fontId="11" fillId="3" borderId="99" xfId="16" applyNumberFormat="1" applyFont="1" applyFill="1" applyBorder="1"/>
    <xf numFmtId="180" fontId="11" fillId="0" borderId="165" xfId="16" applyFont="1" applyBorder="1"/>
    <xf numFmtId="180" fontId="11" fillId="0" borderId="148" xfId="16" applyFont="1" applyBorder="1"/>
    <xf numFmtId="165" fontId="11" fillId="3" borderId="149" xfId="16" applyNumberFormat="1" applyFont="1" applyFill="1" applyBorder="1"/>
    <xf numFmtId="165" fontId="11" fillId="3" borderId="153" xfId="16" applyNumberFormat="1" applyFont="1" applyFill="1" applyBorder="1"/>
    <xf numFmtId="180" fontId="11" fillId="0" borderId="123" xfId="16" applyFont="1" applyBorder="1"/>
    <xf numFmtId="170" fontId="11" fillId="3" borderId="149" xfId="1" applyFont="1" applyFill="1" applyBorder="1" applyProtection="1"/>
    <xf numFmtId="191" fontId="11" fillId="3" borderId="149" xfId="16" applyNumberFormat="1" applyFont="1" applyFill="1" applyBorder="1"/>
    <xf numFmtId="180" fontId="11" fillId="0" borderId="64" xfId="16" applyFont="1" applyBorder="1"/>
    <xf numFmtId="180" fontId="1" fillId="0" borderId="166" xfId="16" applyFont="1" applyBorder="1"/>
    <xf numFmtId="180" fontId="1" fillId="0" borderId="145" xfId="16" applyFont="1" applyBorder="1"/>
    <xf numFmtId="0" fontId="3" fillId="21" borderId="169" xfId="0" applyFont="1" applyFill="1" applyBorder="1"/>
    <xf numFmtId="172" fontId="0" fillId="20" borderId="8" xfId="0" applyNumberFormat="1" applyFill="1" applyBorder="1"/>
    <xf numFmtId="0" fontId="69" fillId="21" borderId="8" xfId="0" applyFont="1" applyFill="1" applyBorder="1" applyAlignment="1">
      <alignment vertical="center" wrapText="1"/>
    </xf>
    <xf numFmtId="169" fontId="69" fillId="21" borderId="8" xfId="3" applyFont="1" applyFill="1" applyBorder="1" applyAlignment="1">
      <alignment vertical="center" wrapText="1"/>
    </xf>
    <xf numFmtId="166"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92" fontId="11" fillId="3" borderId="30" xfId="16" applyNumberFormat="1" applyFont="1" applyFill="1" applyBorder="1"/>
    <xf numFmtId="192" fontId="11" fillId="3" borderId="167" xfId="16" applyNumberFormat="1" applyFont="1" applyFill="1" applyBorder="1"/>
    <xf numFmtId="192" fontId="11" fillId="0" borderId="29" xfId="16" applyNumberFormat="1" applyFont="1" applyBorder="1"/>
    <xf numFmtId="192" fontId="11" fillId="0" borderId="30" xfId="16" applyNumberFormat="1" applyFont="1" applyBorder="1"/>
    <xf numFmtId="192" fontId="11" fillId="3" borderId="136" xfId="16" applyNumberFormat="1" applyFont="1" applyFill="1" applyBorder="1"/>
    <xf numFmtId="192" fontId="11" fillId="3" borderId="101" xfId="16" applyNumberFormat="1" applyFont="1" applyFill="1" applyBorder="1"/>
    <xf numFmtId="192" fontId="11" fillId="0" borderId="103" xfId="16" applyNumberFormat="1" applyFont="1" applyBorder="1"/>
    <xf numFmtId="192" fontId="11" fillId="0" borderId="136" xfId="16" applyNumberFormat="1" applyFont="1" applyBorder="1"/>
    <xf numFmtId="181" fontId="3" fillId="3" borderId="19" xfId="16" applyNumberFormat="1" applyFont="1" applyFill="1" applyBorder="1" applyAlignment="1">
      <alignment horizontal="center"/>
    </xf>
    <xf numFmtId="0" fontId="0" fillId="20" borderId="30" xfId="0" applyFill="1" applyBorder="1" applyAlignment="1">
      <alignment horizontal="center"/>
    </xf>
    <xf numFmtId="9" fontId="0" fillId="20" borderId="30" xfId="17" applyFont="1" applyFill="1" applyBorder="1"/>
    <xf numFmtId="169" fontId="1" fillId="20" borderId="30" xfId="3" applyFont="1" applyFill="1" applyBorder="1"/>
    <xf numFmtId="169"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169" fontId="1" fillId="20" borderId="170" xfId="3" applyFont="1" applyFill="1" applyBorder="1"/>
    <xf numFmtId="169" fontId="0" fillId="20" borderId="170" xfId="3" applyFont="1" applyFill="1" applyBorder="1"/>
    <xf numFmtId="0" fontId="1" fillId="21" borderId="8" xfId="0" applyFont="1" applyFill="1" applyBorder="1"/>
    <xf numFmtId="0" fontId="0" fillId="21" borderId="8" xfId="0" applyFill="1" applyBorder="1"/>
    <xf numFmtId="169" fontId="11" fillId="3" borderId="128" xfId="3" applyFont="1" applyFill="1" applyBorder="1" applyAlignment="1" applyProtection="1">
      <alignment horizontal="center"/>
    </xf>
    <xf numFmtId="169" fontId="11" fillId="3" borderId="108" xfId="3" applyFont="1" applyFill="1" applyBorder="1" applyAlignment="1" applyProtection="1">
      <alignment horizontal="center"/>
    </xf>
    <xf numFmtId="169" fontId="11" fillId="3" borderId="132" xfId="3" applyFont="1" applyFill="1" applyBorder="1" applyAlignment="1" applyProtection="1">
      <alignment horizontal="center"/>
    </xf>
    <xf numFmtId="169" fontId="11" fillId="0" borderId="82" xfId="3" applyFont="1" applyFill="1" applyBorder="1" applyAlignment="1" applyProtection="1">
      <alignment horizontal="center"/>
    </xf>
    <xf numFmtId="169" fontId="0" fillId="21" borderId="0" xfId="0" applyNumberFormat="1" applyFill="1"/>
    <xf numFmtId="0" fontId="70" fillId="21" borderId="0" xfId="0" applyFont="1" applyFill="1"/>
    <xf numFmtId="0" fontId="1" fillId="0" borderId="126" xfId="0" applyFont="1" applyBorder="1" applyAlignment="1">
      <alignment horizontal="centerContinuous" vertical="top" wrapText="1"/>
    </xf>
    <xf numFmtId="187" fontId="1" fillId="6" borderId="7" xfId="0" applyNumberFormat="1" applyFont="1" applyFill="1" applyBorder="1" applyAlignment="1">
      <alignment horizontal="center"/>
    </xf>
    <xf numFmtId="187"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73" fontId="1" fillId="6" borderId="7" xfId="12" applyNumberFormat="1" applyFont="1" applyFill="1" applyBorder="1"/>
    <xf numFmtId="173" fontId="1" fillId="6" borderId="7" xfId="0" applyNumberFormat="1" applyFont="1" applyFill="1" applyBorder="1" applyAlignment="1">
      <alignment horizontal="right"/>
    </xf>
    <xf numFmtId="173" fontId="7" fillId="6" borderId="7" xfId="9" applyNumberFormat="1" applyFont="1" applyFill="1" applyBorder="1"/>
    <xf numFmtId="0" fontId="1" fillId="6" borderId="67" xfId="7" applyFont="1" applyFill="1" applyBorder="1" applyAlignment="1">
      <alignment horizontal="center"/>
    </xf>
    <xf numFmtId="173"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74" fontId="11" fillId="21" borderId="0" xfId="0" applyNumberFormat="1" applyFont="1" applyFill="1"/>
    <xf numFmtId="174" fontId="0" fillId="21" borderId="0" xfId="0" applyNumberFormat="1" applyFill="1"/>
    <xf numFmtId="174" fontId="11" fillId="21" borderId="2" xfId="7" applyNumberFormat="1" applyFill="1" applyBorder="1"/>
    <xf numFmtId="174" fontId="11" fillId="21" borderId="0" xfId="7" applyNumberFormat="1" applyFill="1"/>
    <xf numFmtId="174"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99" xfId="0" applyFont="1" applyFill="1" applyBorder="1" applyAlignment="1" applyProtection="1">
      <alignment horizontal="left" wrapText="1"/>
      <protection locked="0"/>
    </xf>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76" fontId="14" fillId="3" borderId="57" xfId="0" applyNumberFormat="1" applyFont="1" applyFill="1" applyBorder="1" applyAlignment="1">
      <alignment vertical="center" wrapText="1"/>
    </xf>
    <xf numFmtId="171"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7" fontId="11" fillId="3" borderId="57" xfId="0" applyNumberFormat="1" applyFont="1" applyFill="1" applyBorder="1" applyAlignment="1">
      <alignment vertical="top" wrapText="1"/>
    </xf>
    <xf numFmtId="180" fontId="5" fillId="2" borderId="63" xfId="16" applyFont="1" applyFill="1" applyBorder="1" applyAlignment="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80" fontId="47" fillId="2" borderId="63" xfId="16" applyFont="1" applyFill="1" applyBorder="1" applyAlignment="1">
      <alignment horizontal="right"/>
    </xf>
    <xf numFmtId="176" fontId="47" fillId="2" borderId="98" xfId="0" applyNumberFormat="1" applyFont="1" applyFill="1" applyBorder="1" applyAlignment="1">
      <alignment vertical="top" wrapText="1"/>
    </xf>
    <xf numFmtId="176" fontId="47" fillId="2" borderId="108" xfId="0" applyNumberFormat="1" applyFont="1" applyFill="1" applyBorder="1" applyAlignment="1">
      <alignment vertical="top" wrapText="1"/>
    </xf>
    <xf numFmtId="180" fontId="5" fillId="2" borderId="109" xfId="16" applyFont="1" applyFill="1" applyBorder="1"/>
    <xf numFmtId="176" fontId="47" fillId="2" borderId="120" xfId="0" applyNumberFormat="1" applyFont="1" applyFill="1" applyBorder="1" applyAlignment="1">
      <alignment vertical="top" wrapText="1"/>
    </xf>
    <xf numFmtId="176" fontId="47" fillId="2" borderId="111" xfId="0" applyNumberFormat="1" applyFont="1" applyFill="1" applyBorder="1" applyAlignment="1">
      <alignment vertical="top" wrapText="1"/>
    </xf>
    <xf numFmtId="0" fontId="38" fillId="0" borderId="6" xfId="0" applyFont="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Alignment="1">
      <alignment horizontal="left" vertical="top" wrapText="1" indent="1"/>
    </xf>
    <xf numFmtId="0" fontId="1" fillId="0" borderId="0" xfId="0" applyFont="1" applyAlignment="1">
      <alignment vertical="top" wrapText="1"/>
    </xf>
    <xf numFmtId="0" fontId="1" fillId="0" borderId="0" xfId="0" applyFont="1" applyAlignment="1">
      <alignment vertical="top"/>
    </xf>
    <xf numFmtId="1" fontId="71" fillId="0" borderId="0" xfId="0" applyNumberFormat="1" applyFont="1" applyAlignment="1">
      <alignment vertical="top" wrapText="1"/>
    </xf>
    <xf numFmtId="0" fontId="0" fillId="0" borderId="130" xfId="0" applyBorder="1" applyAlignment="1">
      <alignment vertical="top" wrapText="1"/>
    </xf>
    <xf numFmtId="0" fontId="1" fillId="0" borderId="67" xfId="0" applyFont="1" applyBorder="1" applyAlignment="1">
      <alignment horizontal="left" vertical="top" wrapText="1" indent="1"/>
    </xf>
    <xf numFmtId="179" fontId="0" fillId="0" borderId="0" xfId="1" applyNumberFormat="1" applyFont="1" applyAlignment="1">
      <alignment vertical="top" wrapText="1"/>
    </xf>
    <xf numFmtId="0" fontId="1" fillId="0" borderId="0" xfId="0" applyFont="1" applyAlignment="1">
      <alignment wrapText="1"/>
    </xf>
    <xf numFmtId="179" fontId="71" fillId="0" borderId="0" xfId="1" applyNumberFormat="1" applyFont="1" applyBorder="1" applyAlignment="1">
      <alignment vertical="top" wrapText="1"/>
    </xf>
    <xf numFmtId="193" fontId="7" fillId="0" borderId="0" xfId="20" applyNumberFormat="1" applyFont="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0" fontId="0" fillId="0" borderId="129" xfId="0" applyBorder="1" applyAlignment="1">
      <alignment vertical="top" wrapText="1"/>
    </xf>
    <xf numFmtId="179" fontId="1" fillId="0" borderId="0" xfId="1" applyNumberFormat="1" applyFont="1" applyBorder="1" applyAlignment="1">
      <alignment vertical="top" wrapText="1"/>
    </xf>
    <xf numFmtId="170" fontId="0" fillId="0" borderId="0" xfId="0" applyNumberFormat="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76" fontId="14" fillId="5" borderId="8" xfId="0" applyNumberFormat="1" applyFont="1" applyFill="1" applyBorder="1" applyAlignment="1">
      <alignment vertical="top" wrapText="1"/>
    </xf>
    <xf numFmtId="172"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72"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Alignment="1">
      <alignment vertical="top"/>
    </xf>
    <xf numFmtId="0" fontId="65" fillId="0" borderId="0" xfId="0" applyFont="1"/>
    <xf numFmtId="177" fontId="75" fillId="0" borderId="0" xfId="0" applyNumberFormat="1" applyFont="1" applyAlignment="1">
      <alignment vertical="top" wrapText="1"/>
    </xf>
    <xf numFmtId="194" fontId="7" fillId="0" borderId="0" xfId="20" applyNumberFormat="1" applyFont="1" applyAlignment="1">
      <alignment horizontal="right"/>
    </xf>
    <xf numFmtId="0" fontId="1" fillId="0" borderId="0" xfId="0" applyFont="1" applyAlignment="1">
      <alignment horizontal="right"/>
    </xf>
    <xf numFmtId="0" fontId="76" fillId="0" borderId="0" xfId="0" applyFont="1"/>
    <xf numFmtId="0" fontId="14" fillId="5" borderId="8" xfId="0" applyFont="1" applyFill="1" applyBorder="1" applyAlignment="1">
      <alignment vertical="top" wrapText="1"/>
    </xf>
    <xf numFmtId="172"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85"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85"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Alignment="1">
      <alignment vertical="top" wrapText="1"/>
    </xf>
    <xf numFmtId="0" fontId="0" fillId="23" borderId="0" xfId="0" applyFill="1" applyAlignment="1">
      <alignment vertical="top" wrapText="1"/>
    </xf>
    <xf numFmtId="179" fontId="1" fillId="23" borderId="0" xfId="1" applyNumberFormat="1" applyFont="1" applyFill="1" applyBorder="1" applyAlignment="1">
      <alignment vertical="top" wrapText="1"/>
    </xf>
    <xf numFmtId="0" fontId="1" fillId="23" borderId="0" xfId="0" applyFont="1" applyFill="1" applyAlignment="1">
      <alignment vertical="top" wrapText="1"/>
    </xf>
    <xf numFmtId="1" fontId="0" fillId="23" borderId="0" xfId="0" applyNumberFormat="1" applyFill="1" applyAlignment="1">
      <alignment vertical="top" wrapText="1"/>
    </xf>
    <xf numFmtId="190" fontId="1" fillId="23" borderId="0" xfId="1" applyNumberFormat="1" applyFont="1" applyFill="1" applyBorder="1" applyAlignment="1">
      <alignment vertical="top" wrapText="1"/>
    </xf>
    <xf numFmtId="0" fontId="1" fillId="23" borderId="0" xfId="0" applyFont="1" applyFill="1" applyAlignment="1">
      <alignment vertical="top"/>
    </xf>
    <xf numFmtId="170" fontId="1" fillId="23" borderId="0" xfId="1" applyFont="1" applyFill="1" applyBorder="1" applyAlignment="1">
      <alignment vertical="top" wrapText="1"/>
    </xf>
    <xf numFmtId="185"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85" fontId="5" fillId="23" borderId="98" xfId="0" applyNumberFormat="1" applyFont="1" applyFill="1" applyBorder="1" applyAlignment="1">
      <alignment vertical="top" wrapText="1"/>
    </xf>
    <xf numFmtId="179" fontId="14" fillId="23" borderId="0" xfId="0" applyNumberFormat="1" applyFont="1" applyFill="1" applyAlignment="1">
      <alignment vertical="top" wrapText="1"/>
    </xf>
    <xf numFmtId="176" fontId="14" fillId="23" borderId="128" xfId="0" applyNumberFormat="1" applyFont="1" applyFill="1" applyBorder="1" applyAlignment="1">
      <alignment vertical="top" wrapText="1"/>
    </xf>
    <xf numFmtId="176"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176" fontId="14" fillId="23" borderId="110" xfId="0" applyNumberFormat="1" applyFont="1" applyFill="1" applyBorder="1" applyAlignment="1">
      <alignment vertical="top" wrapText="1"/>
    </xf>
    <xf numFmtId="176" fontId="14" fillId="23" borderId="176" xfId="0" applyNumberFormat="1" applyFont="1" applyFill="1" applyBorder="1" applyAlignment="1">
      <alignment vertical="top" wrapText="1"/>
    </xf>
    <xf numFmtId="179" fontId="3" fillId="23" borderId="0" xfId="1" applyNumberFormat="1" applyFont="1" applyFill="1" applyBorder="1" applyAlignment="1">
      <alignment vertical="top" wrapText="1"/>
    </xf>
    <xf numFmtId="0" fontId="3" fillId="0" borderId="1" xfId="0" applyFont="1" applyBorder="1"/>
    <xf numFmtId="0" fontId="3" fillId="0" borderId="2" xfId="0" applyFont="1" applyBorder="1"/>
    <xf numFmtId="0" fontId="3" fillId="21" borderId="2" xfId="0" applyFont="1" applyFill="1" applyBorder="1"/>
    <xf numFmtId="0" fontId="1" fillId="17" borderId="2" xfId="0" applyFont="1" applyFill="1" applyBorder="1"/>
    <xf numFmtId="0" fontId="0" fillId="17" borderId="2" xfId="0" applyFill="1" applyBorder="1"/>
    <xf numFmtId="0" fontId="0" fillId="17" borderId="3" xfId="0" applyFill="1" applyBorder="1"/>
    <xf numFmtId="0" fontId="3" fillId="0" borderId="5" xfId="0" applyFont="1" applyBorder="1"/>
    <xf numFmtId="0" fontId="0" fillId="0" borderId="143" xfId="0" applyBorder="1"/>
    <xf numFmtId="0" fontId="0" fillId="0" borderId="3" xfId="0" applyBorder="1"/>
    <xf numFmtId="0" fontId="3" fillId="0" borderId="4" xfId="0" applyFont="1" applyBorder="1"/>
    <xf numFmtId="0" fontId="11" fillId="0" borderId="4" xfId="0" applyFont="1" applyBorder="1" applyAlignment="1">
      <alignment horizontal="left"/>
    </xf>
    <xf numFmtId="0" fontId="11" fillId="0" borderId="58" xfId="0" applyFont="1" applyBorder="1"/>
    <xf numFmtId="174" fontId="0" fillId="0" borderId="59" xfId="0" applyNumberFormat="1" applyBorder="1"/>
    <xf numFmtId="0" fontId="11" fillId="21" borderId="58" xfId="0" applyFont="1" applyFill="1" applyBorder="1"/>
    <xf numFmtId="0" fontId="0" fillId="0" borderId="58" xfId="0" applyBorder="1"/>
    <xf numFmtId="0" fontId="18" fillId="0" borderId="59" xfId="0" applyFont="1" applyBorder="1"/>
    <xf numFmtId="39" fontId="3" fillId="6" borderId="7" xfId="0" applyNumberFormat="1" applyFont="1" applyFill="1" applyBorder="1"/>
    <xf numFmtId="0" fontId="0" fillId="24" borderId="0" xfId="0" applyFill="1"/>
    <xf numFmtId="0" fontId="3" fillId="24" borderId="0" xfId="0" applyFont="1" applyFill="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72"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Border="1"/>
    <xf numFmtId="0" fontId="0" fillId="3" borderId="112" xfId="0" applyFill="1" applyBorder="1"/>
    <xf numFmtId="172" fontId="0" fillId="3" borderId="146" xfId="0" applyNumberFormat="1" applyFill="1" applyBorder="1"/>
    <xf numFmtId="0" fontId="0" fillId="3" borderId="115" xfId="0" applyFill="1" applyBorder="1"/>
    <xf numFmtId="172" fontId="0" fillId="3" borderId="141" xfId="0" applyNumberFormat="1" applyFill="1" applyBorder="1"/>
    <xf numFmtId="0" fontId="1" fillId="3" borderId="115" xfId="0" applyFont="1" applyFill="1" applyBorder="1"/>
    <xf numFmtId="172"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72" fontId="0" fillId="0" borderId="117" xfId="0" applyNumberFormat="1" applyBorder="1"/>
    <xf numFmtId="172" fontId="0" fillId="0" borderId="118" xfId="0" applyNumberFormat="1" applyBorder="1"/>
    <xf numFmtId="172" fontId="0" fillId="0" borderId="119" xfId="0" applyNumberFormat="1" applyBorder="1"/>
    <xf numFmtId="172"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1" fillId="6" borderId="8" xfId="0" applyFont="1" applyFill="1" applyBorder="1" applyProtection="1">
      <protection locked="0"/>
    </xf>
    <xf numFmtId="15" fontId="1" fillId="6" borderId="138" xfId="0" applyNumberFormat="1" applyFont="1" applyFill="1" applyBorder="1" applyAlignment="1" applyProtection="1">
      <alignment horizontal="right" wrapText="1"/>
      <protection locked="0"/>
    </xf>
    <xf numFmtId="15" fontId="1" fillId="6" borderId="138" xfId="0" applyNumberFormat="1" applyFont="1" applyFill="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9" fontId="0" fillId="21" borderId="0" xfId="0" applyNumberFormat="1" applyFill="1"/>
    <xf numFmtId="179" fontId="0" fillId="21" borderId="0" xfId="1" applyNumberFormat="1" applyFont="1" applyFill="1"/>
    <xf numFmtId="10" fontId="0" fillId="21" borderId="0" xfId="0" applyNumberFormat="1" applyFill="1"/>
    <xf numFmtId="9" fontId="1" fillId="26" borderId="8" xfId="17" applyFont="1" applyFill="1" applyBorder="1"/>
    <xf numFmtId="190" fontId="1" fillId="26" borderId="8" xfId="1" applyNumberFormat="1" applyFont="1" applyFill="1" applyBorder="1"/>
    <xf numFmtId="0" fontId="80" fillId="21" borderId="0" xfId="0" applyFont="1" applyFill="1"/>
    <xf numFmtId="165" fontId="1" fillId="5" borderId="99" xfId="0" applyNumberFormat="1" applyFont="1" applyFill="1" applyBorder="1" applyAlignment="1" applyProtection="1">
      <alignment wrapText="1"/>
      <protection locked="0"/>
    </xf>
    <xf numFmtId="165" fontId="1" fillId="5" borderId="100" xfId="0" applyNumberFormat="1" applyFont="1" applyFill="1" applyBorder="1" applyAlignment="1" applyProtection="1">
      <alignment wrapText="1"/>
      <protection locked="0"/>
    </xf>
    <xf numFmtId="167" fontId="1" fillId="5" borderId="100" xfId="0" applyNumberFormat="1" applyFont="1" applyFill="1" applyBorder="1" applyAlignment="1" applyProtection="1">
      <alignment wrapText="1"/>
      <protection locked="0"/>
    </xf>
    <xf numFmtId="0" fontId="0" fillId="6" borderId="8" xfId="0" applyFill="1" applyBorder="1"/>
    <xf numFmtId="14" fontId="1" fillId="6" borderId="138" xfId="0" applyNumberFormat="1" applyFont="1" applyFill="1" applyBorder="1" applyProtection="1">
      <protection locked="0"/>
    </xf>
    <xf numFmtId="14" fontId="0" fillId="6" borderId="138" xfId="0" applyNumberFormat="1" applyFill="1" applyBorder="1"/>
    <xf numFmtId="15" fontId="1" fillId="6" borderId="138" xfId="0" applyNumberFormat="1" applyFont="1" applyFill="1" applyBorder="1" applyProtection="1">
      <protection locked="0"/>
    </xf>
    <xf numFmtId="0" fontId="3" fillId="6" borderId="138" xfId="0" applyFont="1" applyFill="1" applyBorder="1" applyAlignment="1" applyProtection="1">
      <alignment wrapText="1"/>
      <protection locked="0"/>
    </xf>
    <xf numFmtId="0" fontId="1" fillId="6" borderId="138" xfId="0" applyFont="1" applyFill="1" applyBorder="1" applyProtection="1">
      <protection locked="0"/>
    </xf>
    <xf numFmtId="0" fontId="3" fillId="6" borderId="138" xfId="0" applyFont="1" applyFill="1" applyBorder="1"/>
    <xf numFmtId="15" fontId="1" fillId="6" borderId="145" xfId="0" applyNumberFormat="1" applyFont="1" applyFill="1" applyBorder="1" applyAlignment="1" applyProtection="1">
      <alignment horizontal="right" wrapText="1"/>
      <protection locked="0"/>
    </xf>
    <xf numFmtId="14" fontId="1" fillId="6" borderId="136" xfId="0" applyNumberFormat="1" applyFont="1" applyFill="1" applyBorder="1" applyAlignment="1" applyProtection="1">
      <alignment wrapText="1"/>
      <protection locked="0"/>
    </xf>
    <xf numFmtId="0" fontId="1" fillId="6" borderId="101" xfId="0" applyFont="1" applyFill="1" applyBorder="1" applyAlignment="1" applyProtection="1">
      <alignment wrapText="1"/>
      <protection locked="0"/>
    </xf>
    <xf numFmtId="0" fontId="1" fillId="6" borderId="37" xfId="0" applyFont="1" applyFill="1" applyBorder="1" applyAlignment="1" applyProtection="1">
      <alignment vertical="top" wrapText="1"/>
      <protection locked="0"/>
    </xf>
    <xf numFmtId="0" fontId="0" fillId="6" borderId="84" xfId="0" applyFill="1" applyBorder="1" applyAlignment="1" applyProtection="1">
      <alignment vertical="top" wrapText="1"/>
      <protection locked="0"/>
    </xf>
    <xf numFmtId="0" fontId="0" fillId="6" borderId="30" xfId="0" applyFill="1" applyBorder="1" applyAlignment="1" applyProtection="1">
      <alignment vertical="top" wrapText="1"/>
      <protection locked="0"/>
    </xf>
    <xf numFmtId="180" fontId="17" fillId="0" borderId="12" xfId="16" applyFont="1" applyBorder="1"/>
    <xf numFmtId="195" fontId="1" fillId="5" borderId="62" xfId="0" applyNumberFormat="1" applyFont="1" applyFill="1" applyBorder="1" applyAlignment="1">
      <alignment vertical="top" wrapText="1"/>
    </xf>
    <xf numFmtId="180" fontId="1" fillId="3" borderId="18" xfId="16" applyFont="1" applyFill="1" applyBorder="1"/>
    <xf numFmtId="177" fontId="1" fillId="3" borderId="19" xfId="16" applyNumberFormat="1" applyFont="1" applyFill="1" applyBorder="1"/>
    <xf numFmtId="180" fontId="1" fillId="3" borderId="20" xfId="16" applyFont="1" applyFill="1" applyBorder="1"/>
    <xf numFmtId="180" fontId="1" fillId="3" borderId="21" xfId="16" applyFont="1" applyFill="1" applyBorder="1"/>
    <xf numFmtId="177" fontId="1" fillId="3" borderId="22" xfId="16" applyNumberFormat="1" applyFont="1" applyFill="1" applyBorder="1"/>
    <xf numFmtId="177" fontId="1" fillId="3" borderId="23" xfId="16" applyNumberFormat="1" applyFont="1" applyFill="1" applyBorder="1"/>
    <xf numFmtId="0" fontId="0" fillId="18" borderId="0" xfId="0" applyFill="1"/>
    <xf numFmtId="0" fontId="18" fillId="4" borderId="0" xfId="0" applyFont="1" applyFill="1" applyAlignment="1">
      <alignment horizontal="center" vertical="top" wrapText="1"/>
    </xf>
    <xf numFmtId="0" fontId="0" fillId="5" borderId="62" xfId="0" applyFill="1" applyBorder="1" applyAlignment="1">
      <alignment horizontal="right" vertical="top" wrapText="1"/>
    </xf>
    <xf numFmtId="177" fontId="82" fillId="3" borderId="62" xfId="0" applyNumberFormat="1" applyFont="1" applyFill="1" applyBorder="1" applyAlignment="1">
      <alignment vertical="top" wrapText="1"/>
    </xf>
    <xf numFmtId="164" fontId="82" fillId="3" borderId="57" xfId="0" applyNumberFormat="1" applyFont="1" applyFill="1" applyBorder="1" applyAlignment="1">
      <alignment vertical="top" wrapText="1"/>
    </xf>
    <xf numFmtId="177" fontId="82" fillId="5" borderId="137" xfId="0" applyNumberFormat="1" applyFont="1" applyFill="1" applyBorder="1" applyAlignment="1">
      <alignment vertical="top" wrapText="1"/>
    </xf>
    <xf numFmtId="2" fontId="82" fillId="3" borderId="135" xfId="0" applyNumberFormat="1" applyFont="1" applyFill="1" applyBorder="1" applyAlignment="1">
      <alignment vertical="top" wrapText="1"/>
    </xf>
    <xf numFmtId="0" fontId="82" fillId="2" borderId="4" xfId="0" applyFont="1" applyFill="1" applyBorder="1" applyAlignment="1">
      <alignment vertical="top" wrapText="1"/>
    </xf>
    <xf numFmtId="0" fontId="1" fillId="0" borderId="0" xfId="0" applyFont="1" applyAlignment="1" applyProtection="1">
      <alignment wrapText="1"/>
      <protection locked="0"/>
    </xf>
    <xf numFmtId="0" fontId="4" fillId="0" borderId="0" xfId="5" applyFill="1" applyBorder="1" applyAlignment="1" applyProtection="1">
      <alignment wrapText="1"/>
      <protection locked="0"/>
    </xf>
    <xf numFmtId="15" fontId="1" fillId="0" borderId="0" xfId="0" applyNumberFormat="1" applyFont="1" applyAlignment="1" applyProtection="1">
      <alignment horizontal="left" wrapText="1"/>
      <protection locked="0"/>
    </xf>
    <xf numFmtId="0" fontId="3" fillId="0" borderId="17" xfId="0" applyFont="1" applyBorder="1" applyProtection="1">
      <protection locked="0"/>
    </xf>
    <xf numFmtId="0" fontId="3" fillId="0" borderId="19" xfId="0" applyFont="1" applyBorder="1" applyAlignment="1" applyProtection="1">
      <alignment wrapText="1"/>
      <protection locked="0"/>
    </xf>
    <xf numFmtId="15" fontId="1" fillId="6" borderId="17" xfId="0" applyNumberFormat="1" applyFont="1" applyFill="1" applyBorder="1" applyAlignment="1" applyProtection="1">
      <alignment wrapText="1"/>
      <protection locked="0"/>
    </xf>
    <xf numFmtId="0" fontId="1" fillId="0" borderId="0" xfId="0" applyFont="1" applyAlignment="1">
      <alignment horizontal="center"/>
    </xf>
    <xf numFmtId="3" fontId="0" fillId="0" borderId="0" xfId="0" applyNumberFormat="1"/>
    <xf numFmtId="1" fontId="0" fillId="0" borderId="0" xfId="0" applyNumberFormat="1"/>
    <xf numFmtId="176" fontId="0" fillId="0" borderId="0" xfId="0" applyNumberFormat="1"/>
    <xf numFmtId="169" fontId="0" fillId="0" borderId="0" xfId="3" applyFont="1"/>
    <xf numFmtId="0" fontId="1" fillId="0" borderId="0" xfId="0" applyFont="1" applyAlignment="1">
      <alignment horizontal="left" indent="1"/>
    </xf>
    <xf numFmtId="0" fontId="1" fillId="6" borderId="102" xfId="0" applyFont="1" applyFill="1" applyBorder="1" applyAlignment="1" applyProtection="1">
      <alignment wrapText="1"/>
      <protection locked="0"/>
    </xf>
    <xf numFmtId="0" fontId="1" fillId="6" borderId="18" xfId="0" applyFont="1" applyFill="1" applyBorder="1" applyAlignment="1" applyProtection="1">
      <alignment wrapText="1"/>
      <protection locked="0"/>
    </xf>
    <xf numFmtId="3" fontId="1" fillId="2" borderId="8" xfId="0" applyNumberFormat="1" applyFont="1" applyFill="1" applyBorder="1" applyAlignment="1" applyProtection="1">
      <alignment horizontal="right" vertical="center" wrapText="1"/>
      <protection locked="0"/>
    </xf>
    <xf numFmtId="0" fontId="13" fillId="0" borderId="13" xfId="0" applyFont="1" applyBorder="1" applyAlignment="1" applyProtection="1">
      <alignment horizontal="left"/>
      <protection locked="0"/>
    </xf>
    <xf numFmtId="0" fontId="0" fillId="0" borderId="15" xfId="0" applyBorder="1" applyProtection="1">
      <protection locked="0"/>
    </xf>
    <xf numFmtId="0" fontId="0" fillId="0" borderId="16" xfId="0" applyBorder="1" applyProtection="1">
      <protection locked="0"/>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166"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3" fillId="6" borderId="0" xfId="0" applyFont="1" applyFill="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Alignment="1">
      <alignment horizontal="left" vertical="top" wrapText="1"/>
    </xf>
    <xf numFmtId="0" fontId="3" fillId="6" borderId="0" xfId="0" applyFont="1" applyFill="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Alignment="1">
      <alignment horizontal="right" vertical="center" wrapText="1"/>
    </xf>
    <xf numFmtId="0" fontId="11" fillId="6" borderId="0" xfId="0" applyFont="1" applyFill="1" applyAlignment="1">
      <alignment horizontal="left" vertical="top" wrapText="1"/>
    </xf>
    <xf numFmtId="0" fontId="11" fillId="4" borderId="4"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0" fillId="6" borderId="0" xfId="0" applyFill="1" applyAlignment="1">
      <alignment horizontal="left" vertical="top" wrapText="1"/>
    </xf>
    <xf numFmtId="0" fontId="0" fillId="6" borderId="5" xfId="0" applyFill="1" applyBorder="1" applyAlignment="1">
      <alignment horizontal="left" vertical="top" wrapText="1"/>
    </xf>
    <xf numFmtId="0" fontId="35" fillId="6" borderId="0" xfId="0" applyFont="1" applyFill="1" applyAlignment="1">
      <alignment horizontal="left" vertical="top" wrapText="1"/>
    </xf>
    <xf numFmtId="0" fontId="35" fillId="6" borderId="5" xfId="0" applyFont="1" applyFill="1" applyBorder="1" applyAlignment="1">
      <alignment horizontal="left" vertical="top" wrapText="1"/>
    </xf>
    <xf numFmtId="0" fontId="11" fillId="0" borderId="0" xfId="0" applyFont="1" applyAlignment="1">
      <alignment horizontal="left" vertical="center" wrapText="1"/>
    </xf>
    <xf numFmtId="0" fontId="11" fillId="6" borderId="0" xfId="0" quotePrefix="1" applyFont="1" applyFill="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xf numFmtId="0" fontId="0" fillId="0" borderId="5" xfId="0" applyBorder="1"/>
    <xf numFmtId="0" fontId="11" fillId="6" borderId="157" xfId="0" applyFont="1" applyFill="1" applyBorder="1" applyAlignment="1" applyProtection="1">
      <alignment wrapText="1"/>
      <protection locked="0"/>
    </xf>
    <xf numFmtId="0" fontId="0" fillId="0" borderId="59" xfId="0" applyBorder="1"/>
    <xf numFmtId="0" fontId="0" fillId="0" borderId="87" xfId="0" applyBorder="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xf numFmtId="0" fontId="0" fillId="0" borderId="153" xfId="0" applyBorder="1"/>
    <xf numFmtId="0" fontId="11" fillId="6" borderId="158" xfId="0" applyFont="1" applyFill="1" applyBorder="1" applyAlignment="1" applyProtection="1">
      <alignment wrapText="1"/>
      <protection locked="0"/>
    </xf>
    <xf numFmtId="0" fontId="0" fillId="0" borderId="2" xfId="0" applyBorder="1"/>
    <xf numFmtId="0" fontId="0" fillId="0" borderId="3" xfId="0" applyBorder="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Alignment="1" applyProtection="1">
      <alignment horizontal="left" vertical="top" wrapText="1"/>
      <protection locked="0"/>
    </xf>
    <xf numFmtId="2" fontId="11" fillId="2" borderId="0" xfId="0" applyNumberFormat="1" applyFont="1" applyFill="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Alignment="1" applyProtection="1">
      <alignment horizontal="left" vertical="top" wrapText="1"/>
      <protection locked="0"/>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 fillId="6" borderId="55" xfId="0" applyFont="1" applyFill="1" applyBorder="1" applyAlignment="1">
      <alignment horizontal="left" vertical="top" wrapText="1"/>
    </xf>
    <xf numFmtId="0" fontId="0" fillId="6" borderId="108" xfId="0" applyFill="1" applyBorder="1" applyAlignment="1">
      <alignment horizontal="left" vertical="top" wrapText="1"/>
    </xf>
    <xf numFmtId="0" fontId="1" fillId="6" borderId="108" xfId="0" applyFont="1"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180" fontId="17" fillId="2" borderId="40" xfId="16" applyFont="1" applyFill="1" applyBorder="1" applyAlignment="1">
      <alignment horizontal="left"/>
    </xf>
    <xf numFmtId="180" fontId="17" fillId="2" borderId="106" xfId="16" applyFont="1" applyFill="1" applyBorder="1" applyAlignment="1">
      <alignment horizontal="left"/>
    </xf>
    <xf numFmtId="180" fontId="17" fillId="2" borderId="107" xfId="16" applyFont="1" applyFill="1" applyBorder="1" applyAlignment="1">
      <alignment horizontal="left"/>
    </xf>
    <xf numFmtId="0" fontId="0" fillId="0" borderId="65" xfId="0" applyBorder="1" applyAlignment="1">
      <alignment horizontal="left" wrapText="1"/>
    </xf>
    <xf numFmtId="180" fontId="17" fillId="0" borderId="75" xfId="16" applyFont="1" applyBorder="1" applyAlignment="1">
      <alignment horizontal="left"/>
    </xf>
    <xf numFmtId="180" fontId="17" fillId="0" borderId="76" xfId="16" applyFont="1" applyBorder="1" applyAlignment="1">
      <alignment horizontal="left"/>
    </xf>
    <xf numFmtId="180" fontId="17" fillId="0" borderId="143" xfId="16" applyFont="1" applyBorder="1" applyAlignment="1">
      <alignment horizontal="left"/>
    </xf>
    <xf numFmtId="180" fontId="17" fillId="0" borderId="79" xfId="16" applyFont="1" applyBorder="1" applyAlignment="1">
      <alignment horizontal="left"/>
    </xf>
    <xf numFmtId="180" fontId="11" fillId="0" borderId="63" xfId="16" applyFont="1" applyBorder="1" applyAlignment="1">
      <alignment horizontal="left" vertical="center" wrapText="1"/>
    </xf>
    <xf numFmtId="180" fontId="11" fillId="0" borderId="98" xfId="16" applyFont="1" applyBorder="1" applyAlignment="1">
      <alignment horizontal="left" vertical="center" wrapText="1"/>
    </xf>
    <xf numFmtId="180" fontId="11" fillId="0" borderId="127" xfId="16" applyFont="1" applyBorder="1" applyAlignment="1">
      <alignment horizontal="left" vertical="center" wrapText="1"/>
    </xf>
    <xf numFmtId="180" fontId="11" fillId="0" borderId="113" xfId="16" applyFont="1" applyBorder="1" applyAlignment="1">
      <alignment horizontal="left" vertical="center" wrapText="1"/>
    </xf>
    <xf numFmtId="180" fontId="11" fillId="0" borderId="109" xfId="16" applyFont="1" applyBorder="1" applyAlignment="1">
      <alignment horizontal="left" vertical="center" wrapText="1"/>
    </xf>
    <xf numFmtId="180" fontId="11" fillId="0" borderId="120" xfId="16" applyFont="1" applyBorder="1" applyAlignment="1">
      <alignment horizontal="left" vertical="center" wrapText="1"/>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80" fontId="17" fillId="0" borderId="9" xfId="16" applyFont="1" applyBorder="1" applyAlignment="1">
      <alignment wrapText="1"/>
    </xf>
    <xf numFmtId="180" fontId="17" fillId="0" borderId="168" xfId="16" applyFont="1" applyBorder="1" applyAlignment="1">
      <alignment wrapText="1"/>
    </xf>
    <xf numFmtId="180" fontId="17" fillId="21" borderId="46" xfId="16" applyFont="1" applyFill="1" applyBorder="1" applyAlignment="1">
      <alignment wrapText="1"/>
    </xf>
    <xf numFmtId="0" fontId="0" fillId="21" borderId="47" xfId="0" applyFill="1" applyBorder="1" applyAlignment="1">
      <alignment wrapText="1"/>
    </xf>
    <xf numFmtId="0" fontId="3" fillId="0" borderId="2" xfId="0" applyFont="1" applyBorder="1" applyAlignment="1">
      <alignment horizontal="left" vertical="center" wrapText="1"/>
    </xf>
    <xf numFmtId="0" fontId="3" fillId="0" borderId="3" xfId="0" applyFont="1" applyBorder="1" applyAlignment="1">
      <alignment horizontal="left" vertical="center" wrapText="1"/>
    </xf>
    <xf numFmtId="0" fontId="3" fillId="0" borderId="0" xfId="0" applyFont="1" applyAlignment="1">
      <alignment horizontal="center"/>
    </xf>
    <xf numFmtId="0" fontId="3" fillId="0" borderId="5" xfId="0" applyFont="1" applyBorder="1" applyAlignment="1">
      <alignment horizontal="center"/>
    </xf>
    <xf numFmtId="0" fontId="56" fillId="0" borderId="4" xfId="0" applyFont="1" applyBorder="1" applyAlignment="1">
      <alignment horizontal="center"/>
    </xf>
    <xf numFmtId="0" fontId="56" fillId="0" borderId="0" xfId="0" applyFont="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Alignment="1">
      <alignment horizontal="center"/>
    </xf>
    <xf numFmtId="0" fontId="3" fillId="0" borderId="0" xfId="0" applyFont="1" applyAlignment="1">
      <alignment horizontal="center" vertical="center" wrapText="1"/>
    </xf>
    <xf numFmtId="0" fontId="3" fillId="0" borderId="5" xfId="0" applyFont="1" applyBorder="1" applyAlignment="1">
      <alignment horizontal="center" vertical="center" wrapText="1"/>
    </xf>
    <xf numFmtId="0" fontId="56" fillId="0" borderId="4" xfId="0" applyFont="1" applyBorder="1" applyAlignment="1">
      <alignment horizontal="left" wrapText="1"/>
    </xf>
    <xf numFmtId="0" fontId="56" fillId="0" borderId="0" xfId="0" applyFont="1" applyAlignment="1">
      <alignment horizontal="left" wrapText="1"/>
    </xf>
    <xf numFmtId="0" fontId="56" fillId="0" borderId="5" xfId="0" applyFont="1" applyBorder="1" applyAlignment="1">
      <alignment horizontal="left" wrapText="1"/>
    </xf>
    <xf numFmtId="0" fontId="56" fillId="0" borderId="4" xfId="0" applyFont="1" applyBorder="1" applyAlignment="1">
      <alignment horizontal="left"/>
    </xf>
    <xf numFmtId="0" fontId="56" fillId="0" borderId="0" xfId="0" applyFont="1" applyAlignment="1">
      <alignment horizontal="left"/>
    </xf>
    <xf numFmtId="0" fontId="56" fillId="0" borderId="5" xfId="0" applyFont="1" applyBorder="1" applyAlignment="1">
      <alignment horizontal="left"/>
    </xf>
    <xf numFmtId="0" fontId="53" fillId="13" borderId="0" xfId="0" applyFont="1" applyFill="1" applyAlignment="1">
      <alignment horizontal="left"/>
    </xf>
    <xf numFmtId="0" fontId="54" fillId="0" borderId="0" xfId="0" applyFont="1" applyAlignment="1">
      <alignment horizontal="left"/>
    </xf>
    <xf numFmtId="0" fontId="54" fillId="0" borderId="59" xfId="0" applyFont="1" applyBorder="1" applyAlignment="1">
      <alignment horizontal="left"/>
    </xf>
    <xf numFmtId="0" fontId="54" fillId="3" borderId="4" xfId="0" applyFont="1" applyFill="1" applyBorder="1" applyAlignment="1">
      <alignment horizontal="left"/>
    </xf>
    <xf numFmtId="0" fontId="54" fillId="3" borderId="0" xfId="0" applyFont="1" applyFill="1" applyAlignment="1">
      <alignment horizontal="left"/>
    </xf>
    <xf numFmtId="0" fontId="54"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Fill="1" applyAlignment="1">
      <alignment horizontal="left" wrapText="1"/>
    </xf>
    <xf numFmtId="0" fontId="11" fillId="0" borderId="2" xfId="0" applyFont="1" applyBorder="1" applyAlignment="1">
      <alignment horizontal="left" wrapText="1"/>
    </xf>
    <xf numFmtId="0" fontId="56" fillId="0" borderId="2" xfId="0" applyFont="1" applyBorder="1" applyAlignment="1">
      <alignment horizontal="left" wrapText="1"/>
    </xf>
    <xf numFmtId="0" fontId="53" fillId="13" borderId="0" xfId="0" applyFont="1" applyFill="1" applyAlignment="1">
      <alignment horizontal="left" wrapText="1"/>
    </xf>
    <xf numFmtId="0" fontId="0" fillId="0" borderId="59" xfId="0" applyBorder="1" applyAlignment="1">
      <alignment horizontal="left"/>
    </xf>
    <xf numFmtId="0" fontId="3" fillId="0" borderId="2" xfId="0" applyFont="1" applyBorder="1" applyAlignment="1">
      <alignment horizontal="center"/>
    </xf>
    <xf numFmtId="0" fontId="7" fillId="0" borderId="4" xfId="0" applyFont="1" applyBorder="1" applyAlignment="1">
      <alignment wrapText="1"/>
    </xf>
    <xf numFmtId="0" fontId="7" fillId="0" borderId="0" xfId="0" applyFont="1" applyAlignment="1">
      <alignment wrapText="1"/>
    </xf>
    <xf numFmtId="0" fontId="7" fillId="0" borderId="5" xfId="0" applyFont="1" applyBorder="1" applyAlignment="1">
      <alignment wrapText="1"/>
    </xf>
    <xf numFmtId="0" fontId="8" fillId="3" borderId="4" xfId="0" applyFont="1" applyFill="1" applyBorder="1" applyAlignment="1">
      <alignment horizontal="left" vertical="center" wrapText="1"/>
    </xf>
    <xf numFmtId="0" fontId="8" fillId="3" borderId="0" xfId="0" applyFont="1" applyFill="1" applyAlignment="1">
      <alignment horizontal="left" vertical="center" wrapText="1"/>
    </xf>
    <xf numFmtId="0" fontId="8" fillId="3" borderId="5" xfId="0" applyFont="1" applyFill="1" applyBorder="1" applyAlignment="1">
      <alignment horizontal="left" vertical="center"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Alignment="1">
      <alignment horizontal="left" wrapText="1"/>
    </xf>
    <xf numFmtId="0" fontId="7" fillId="2" borderId="5" xfId="0" applyFont="1" applyFill="1" applyBorder="1" applyAlignment="1">
      <alignment horizontal="left" wrapText="1"/>
    </xf>
    <xf numFmtId="0" fontId="6" fillId="13" borderId="0" xfId="0" applyFont="1" applyFill="1" applyAlignment="1">
      <alignment wrapText="1"/>
    </xf>
    <xf numFmtId="0" fontId="7" fillId="0" borderId="59" xfId="0" applyFont="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Alignment="1">
      <alignment wrapText="1"/>
    </xf>
    <xf numFmtId="0" fontId="7" fillId="2" borderId="5" xfId="0" applyFont="1" applyFill="1" applyBorder="1" applyAlignment="1">
      <alignment wrapText="1"/>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180" fontId="17" fillId="0" borderId="12" xfId="16" applyFont="1" applyBorder="1"/>
    <xf numFmtId="0" fontId="0" fillId="0" borderId="12" xfId="0" applyBorder="1"/>
    <xf numFmtId="0" fontId="0" fillId="3" borderId="26" xfId="0" applyFill="1" applyBorder="1" applyAlignment="1">
      <alignment horizontal="center"/>
    </xf>
    <xf numFmtId="0" fontId="0" fillId="3" borderId="27" xfId="0" applyFill="1" applyBorder="1" applyAlignment="1">
      <alignment horizontal="center"/>
    </xf>
    <xf numFmtId="0" fontId="17" fillId="3" borderId="13" xfId="0" applyFont="1" applyFill="1" applyBorder="1" applyAlignment="1">
      <alignment wrapText="1"/>
    </xf>
    <xf numFmtId="0" fontId="18" fillId="3" borderId="16" xfId="0" applyFont="1" applyFill="1" applyBorder="1" applyAlignment="1">
      <alignment wrapText="1"/>
    </xf>
  </cellXfs>
  <cellStyles count="21">
    <cellStyle name="Comma 2" xfId="2" xr:uid="{00000000-0005-0000-0000-000001000000}"/>
    <cellStyle name="Currency 2" xfId="4" xr:uid="{00000000-0005-0000-0000-000003000000}"/>
    <cellStyle name="Hiperlink" xfId="5" builtinId="8"/>
    <cellStyle name="Hyperlink 2" xfId="6" xr:uid="{00000000-0005-0000-0000-000005000000}"/>
    <cellStyle name="Moeda" xfId="3" builtinId="4"/>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2" xfId="18" xr:uid="{00000000-0005-0000-0000-000013000000}"/>
    <cellStyle name="Percent 3" xfId="19" xr:uid="{00000000-0005-0000-0000-000014000000}"/>
    <cellStyle name="Porcentagem" xfId="17" builtinId="5"/>
    <cellStyle name="Vírgula" xfId="1" builtinId="3"/>
  </cellStyles>
  <dxfs count="4">
    <dxf>
      <font>
        <strike val="0"/>
        <condense val="0"/>
        <extend val="0"/>
        <color indexed="22"/>
      </font>
    </dxf>
    <dxf>
      <font>
        <b/>
        <i val="0"/>
        <strike val="0"/>
        <condense val="0"/>
        <extend val="0"/>
        <color auto="1"/>
      </font>
    </dxf>
    <dxf>
      <font>
        <b val="0"/>
        <i val="0"/>
        <color auto="1"/>
      </font>
      <numFmt numFmtId="0" formatCode="General"/>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pt-BR"/>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pt-BR"/>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pt-BR"/>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pt-BR"/>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pt-BR"/>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pt-BR"/>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pt-BR"/>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pt-BR"/>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pt-BR"/>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Other Variable Operating Costs</c:v>
                </c:pt>
                <c:pt idx="5">
                  <c:v>Fixed Operating Cost</c:v>
                </c:pt>
                <c:pt idx="6">
                  <c:v>Initial Equity Depreciable Capital</c:v>
                </c:pt>
                <c:pt idx="7">
                  <c:v>Debt Interest</c:v>
                </c:pt>
                <c:pt idx="8">
                  <c:v>Yearly Replacement Costs</c:v>
                </c:pt>
                <c:pt idx="9">
                  <c:v>Cash for Working Capital Reserve</c:v>
                </c:pt>
                <c:pt idx="10">
                  <c:v>Taxes</c:v>
                </c:pt>
                <c:pt idx="11">
                  <c:v>Principal Payment</c:v>
                </c:pt>
                <c:pt idx="12">
                  <c:v>Decommissioning Costs</c:v>
                </c:pt>
                <c:pt idx="13">
                  <c:v>Other Non-Depreciable Capital Costs</c:v>
                </c:pt>
                <c:pt idx="14">
                  <c:v>Other Raw Material Cost</c:v>
                </c:pt>
                <c:pt idx="15">
                  <c:v>Feedstock Cost</c:v>
                </c:pt>
              </c:strCache>
            </c:strRef>
          </c:cat>
          <c:val>
            <c:numRef>
              <c:f>'Tornado Charts &amp; Risk Analysis'!$I$155:$I$170</c:f>
              <c:numCache>
                <c:formatCode>_("$"* #,##0.00_);_("$"* \(#,##0.00\);_("$"* "-"??_);_(@_)</c:formatCode>
                <c:ptCount val="16"/>
                <c:pt idx="0">
                  <c:v>4.8303421688568458</c:v>
                </c:pt>
                <c:pt idx="1">
                  <c:v>1.7348223459559334E-3</c:v>
                </c:pt>
                <c:pt idx="2">
                  <c:v>0</c:v>
                </c:pt>
                <c:pt idx="4">
                  <c:v>4.1792908461197591</c:v>
                </c:pt>
                <c:pt idx="5">
                  <c:v>0.2446214243091962</c:v>
                </c:pt>
                <c:pt idx="6">
                  <c:v>0.15031658745447091</c:v>
                </c:pt>
                <c:pt idx="7">
                  <c:v>8.9537298367945398E-2</c:v>
                </c:pt>
                <c:pt idx="8">
                  <c:v>7.0414649835320128E-2</c:v>
                </c:pt>
                <c:pt idx="9">
                  <c:v>6.0353425128152526E-2</c:v>
                </c:pt>
                <c:pt idx="10">
                  <c:v>2.983401602765693E-2</c:v>
                </c:pt>
                <c:pt idx="11">
                  <c:v>4.8885559152300768E-3</c:v>
                </c:pt>
                <c:pt idx="12">
                  <c:v>1.7298032027611462E-3</c:v>
                </c:pt>
                <c:pt idx="13">
                  <c:v>1.0903848423065672E-3</c:v>
                </c:pt>
                <c:pt idx="14">
                  <c:v>0</c:v>
                </c:pt>
                <c:pt idx="15">
                  <c:v>0</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4.8303421688568458</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1.7348223459559334E-3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Other Variable Operating Costs</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4.1792908461197591</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0.2446214243091962</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0.15031658745447091</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Debt Interest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8.9537298367945398E-2</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Yearly Replacement Costs</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7.0414649835320128E-2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Cash for Working Capital Reserve</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6.0353425128152526E-2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Taxes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2.983401602765693E-2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Principal Payment</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4.8885559152300768E-3</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Decommissioning Costs</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1.7298032027611462E-3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Other Non-Depreciable Capital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1.0903848423065672E-3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Raw Material Cost</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0</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Feedstock Cost</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0</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pt-BR"/>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4.8320769912028014</c:v>
                </c:pt>
                <c:pt idx="1">
                  <c:v>4.8320769912027997</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pt-BR"/>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pt-BR"/>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(102%, 97%, 92%)</c:v>
                </c:pt>
                <c:pt idx="2">
                  <c:v>Total Capital Investment
($82089,769K, $86410,284K, $90730,798K) </c:v>
                </c:pt>
                <c:pt idx="3">
                  <c:v>Total Fixed Operating Cost
($4556,669K, $4796,493K, $5036,318K) </c:v>
                </c:pt>
                <c:pt idx="4">
                  <c:v>After-tax Real IRR
(8%, 8%, 8%)</c:v>
                </c:pt>
                <c:pt idx="5">
                  <c:v>Plant Design Capacity (kg of H2/day)
(59325,000, 56500,000, 53675,000) </c:v>
                </c:pt>
                <c:pt idx="6">
                  <c:v>Utilities Consumption (% of baseline)
(95%, 100%, 105%)</c:v>
                </c:pt>
              </c:strCache>
            </c:strRef>
          </c:cat>
          <c:val>
            <c:numRef>
              <c:f>'Tornado Charts &amp; Risk Analysis'!$H$101:$H$107</c:f>
              <c:numCache>
                <c:formatCode>General</c:formatCode>
                <c:ptCount val="7"/>
                <c:pt idx="0">
                  <c:v>2.3412960583840761</c:v>
                </c:pt>
                <c:pt idx="1">
                  <c:v>2.3717195249913128</c:v>
                </c:pt>
                <c:pt idx="2">
                  <c:v>2.3939870404855514</c:v>
                </c:pt>
                <c:pt idx="3">
                  <c:v>2.3979695764844378</c:v>
                </c:pt>
                <c:pt idx="4">
                  <c:v>2.3981518107823239</c:v>
                </c:pt>
                <c:pt idx="5">
                  <c:v>2.4017774627996471</c:v>
                </c:pt>
                <c:pt idx="6">
                  <c:v>2.4024428512494405</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($82089,769K, $86410,284K, $90730,798K) </c:v>
                </c:pt>
                <c:pt idx="3">
                  <c:v>Total Fixed Operating Cost
($4556,669K, $4796,493K, $5036,318K) </c:v>
                </c:pt>
                <c:pt idx="4">
                  <c:v>After-tax Real IRR
(8%, 8%, 8%)</c:v>
                </c:pt>
                <c:pt idx="5">
                  <c:v>Plant Design Capacity (kg of H2/day)
(59325,000, 56500,000, 53675,000) </c:v>
                </c:pt>
                <c:pt idx="6">
                  <c:v>Utilities Consumption (% of baseline)
(95%, 100%, 105%)</c:v>
                </c:pt>
              </c:strCache>
            </c:strRef>
          </c:cat>
          <c:val>
            <c:numRef>
              <c:f>'Tornado Charts &amp; Risk Analysis'!$I$101:$I$107</c:f>
              <c:numCache>
                <c:formatCode>General</c:formatCode>
                <c:ptCount val="7"/>
                <c:pt idx="0">
                  <c:v>6.984218709208001E-2</c:v>
                </c:pt>
                <c:pt idx="1">
                  <c:v>3.9418720484843295E-2</c:v>
                </c:pt>
                <c:pt idx="2">
                  <c:v>1.7151204990604629E-2</c:v>
                </c:pt>
                <c:pt idx="3">
                  <c:v>1.3168668991718313E-2</c:v>
                </c:pt>
                <c:pt idx="4">
                  <c:v>1.2986434693832205E-2</c:v>
                </c:pt>
                <c:pt idx="5">
                  <c:v>9.3607826765089719E-3</c:v>
                </c:pt>
                <c:pt idx="6">
                  <c:v>8.6953942267156137E-3</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($82089,769K, $86410,284K, $90730,798K) </c:v>
                </c:pt>
                <c:pt idx="3">
                  <c:v>Total Fixed Operating Cost
($4556,669K, $4796,493K, $5036,318K) </c:v>
                </c:pt>
                <c:pt idx="4">
                  <c:v>After-tax Real IRR
(8%, 8%, 8%)</c:v>
                </c:pt>
                <c:pt idx="5">
                  <c:v>Plant Design Capacity (kg of H2/day)
(59325,000, 56500,000, 53675,000) </c:v>
                </c:pt>
                <c:pt idx="6">
                  <c:v>Utilities Consumption (% of baseline)
(95%, 100%, 105%)</c:v>
                </c:pt>
              </c:strCache>
            </c:strRef>
          </c:cat>
          <c:val>
            <c:numRef>
              <c:f>'Tornado Charts &amp; Risk Analysis'!$J$101:$J$107</c:f>
              <c:numCache>
                <c:formatCode>General</c:formatCode>
                <c:ptCount val="7"/>
                <c:pt idx="0">
                  <c:v>6.9842187092077346E-2</c:v>
                </c:pt>
                <c:pt idx="1">
                  <c:v>4.3568059483244159E-2</c:v>
                </c:pt>
                <c:pt idx="2">
                  <c:v>1.7151204990604629E-2</c:v>
                </c:pt>
                <c:pt idx="3">
                  <c:v>1.3168668991716537E-2</c:v>
                </c:pt>
                <c:pt idx="4">
                  <c:v>1.3286633993849328E-2</c:v>
                </c:pt>
                <c:pt idx="5">
                  <c:v>1.0132949626183052E-2</c:v>
                </c:pt>
                <c:pt idx="6">
                  <c:v>8.6953942267151696E-3</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pt-BR"/>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2.3412960583840761</c:v>
                </c:pt>
                <c:pt idx="1">
                  <c:v>2.3717195249913128</c:v>
                </c:pt>
                <c:pt idx="2">
                  <c:v>2.3939870404855514</c:v>
                </c:pt>
                <c:pt idx="3">
                  <c:v>2.3979695764844378</c:v>
                </c:pt>
                <c:pt idx="4">
                  <c:v>2.3981518107823239</c:v>
                </c:pt>
                <c:pt idx="5">
                  <c:v>2.4017774627996471</c:v>
                </c:pt>
                <c:pt idx="6">
                  <c:v>2.4024428512494405</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pt-BR"/>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2.4809804325682334</c:v>
                </c:pt>
                <c:pt idx="1">
                  <c:v>2.4547063049594002</c:v>
                </c:pt>
                <c:pt idx="2">
                  <c:v>2.4282894504667607</c:v>
                </c:pt>
                <c:pt idx="3">
                  <c:v>2.4243069144678726</c:v>
                </c:pt>
                <c:pt idx="4">
                  <c:v>2.4244248794700054</c:v>
                </c:pt>
                <c:pt idx="5">
                  <c:v>2.4212711951023391</c:v>
                </c:pt>
                <c:pt idx="6">
                  <c:v>2.4198336397028712</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pt-BR"/>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2.4111382454761561</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2.4111382454761561</c:v>
                </c:pt>
                <c:pt idx="1">
                  <c:v>2.3412960583840761</c:v>
                </c:pt>
                <c:pt idx="2">
                  <c:v>2.3018773378992341</c:v>
                </c:pt>
                <c:pt idx="3">
                  <c:v>2.2855428569558001</c:v>
                </c:pt>
                <c:pt idx="4">
                  <c:v>2.2732075260076887</c:v>
                </c:pt>
                <c:pt idx="5">
                  <c:v>2.264512131780974</c:v>
                </c:pt>
                <c:pt idx="6">
                  <c:v>2.264512131780974</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6.984218709208001E-2</c:v>
                </c:pt>
                <c:pt idx="2">
                  <c:v>3.9418720484841963E-2</c:v>
                </c:pt>
                <c:pt idx="3">
                  <c:v>1.6334480943434038E-2</c:v>
                </c:pt>
                <c:pt idx="4">
                  <c:v>1.2335330948111345E-2</c:v>
                </c:pt>
                <c:pt idx="5">
                  <c:v>8.6953942267147255E-3</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pt-BR"/>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2.3008881057210431</c:v>
                </c:pt>
                <c:pt idx="1">
                  <c:v>2.3124090517602829</c:v>
                </c:pt>
                <c:pt idx="2">
                  <c:v>2.3239299977995227</c:v>
                </c:pt>
                <c:pt idx="3">
                  <c:v>2.3354509438387625</c:v>
                </c:pt>
                <c:pt idx="4">
                  <c:v>2.3469718898780023</c:v>
                </c:pt>
                <c:pt idx="5">
                  <c:v>2.3584928359172421</c:v>
                </c:pt>
                <c:pt idx="6">
                  <c:v>2.3700137819564819</c:v>
                </c:pt>
                <c:pt idx="7">
                  <c:v>2.3815347279957217</c:v>
                </c:pt>
                <c:pt idx="8">
                  <c:v>2.3930556740349616</c:v>
                </c:pt>
                <c:pt idx="9">
                  <c:v>2.4045766200742014</c:v>
                </c:pt>
                <c:pt idx="10">
                  <c:v>2.4160975661134412</c:v>
                </c:pt>
                <c:pt idx="11">
                  <c:v>2.427618512152681</c:v>
                </c:pt>
                <c:pt idx="12">
                  <c:v>2.4391394581919208</c:v>
                </c:pt>
                <c:pt idx="13">
                  <c:v>2.4506604042311606</c:v>
                </c:pt>
                <c:pt idx="14">
                  <c:v>2.4621813502704004</c:v>
                </c:pt>
                <c:pt idx="15">
                  <c:v>2.4737022963096402</c:v>
                </c:pt>
                <c:pt idx="16">
                  <c:v>2.48522324234888</c:v>
                </c:pt>
                <c:pt idx="17">
                  <c:v>2.4967441883881198</c:v>
                </c:pt>
                <c:pt idx="18">
                  <c:v>2.5082651344273597</c:v>
                </c:pt>
                <c:pt idx="19">
                  <c:v>2.5197865804665995</c:v>
                </c:pt>
              </c:numCache>
            </c:numRef>
          </c:xVal>
          <c:yVal>
            <c:numRef>
              <c:f>'Tornado Charts &amp; Risk Analysis'!$I$202:$I$221</c:f>
              <c:numCache>
                <c:formatCode>General</c:formatCode>
                <c:ptCount val="20"/>
                <c:pt idx="0">
                  <c:v>5.0000000000000001E-4</c:v>
                </c:pt>
                <c:pt idx="1">
                  <c:v>2E-3</c:v>
                </c:pt>
                <c:pt idx="2">
                  <c:v>7.0000000000000001E-3</c:v>
                </c:pt>
                <c:pt idx="3">
                  <c:v>2.1000000000000001E-2</c:v>
                </c:pt>
                <c:pt idx="4">
                  <c:v>4.5499999999999999E-2</c:v>
                </c:pt>
                <c:pt idx="5">
                  <c:v>8.5999999999999993E-2</c:v>
                </c:pt>
                <c:pt idx="6">
                  <c:v>0.1545</c:v>
                </c:pt>
                <c:pt idx="7">
                  <c:v>0.23299999999999998</c:v>
                </c:pt>
                <c:pt idx="8">
                  <c:v>0.34499999999999997</c:v>
                </c:pt>
                <c:pt idx="9">
                  <c:v>0.48749999999999993</c:v>
                </c:pt>
                <c:pt idx="10">
                  <c:v>0.60699999999999998</c:v>
                </c:pt>
                <c:pt idx="11">
                  <c:v>0.72350000000000003</c:v>
                </c:pt>
                <c:pt idx="12">
                  <c:v>0.81700000000000006</c:v>
                </c:pt>
                <c:pt idx="13">
                  <c:v>0.90100000000000002</c:v>
                </c:pt>
                <c:pt idx="14">
                  <c:v>0.94950000000000001</c:v>
                </c:pt>
                <c:pt idx="15">
                  <c:v>0.97550000000000003</c:v>
                </c:pt>
                <c:pt idx="16">
                  <c:v>0.99</c:v>
                </c:pt>
                <c:pt idx="17">
                  <c:v>0.995</c:v>
                </c:pt>
                <c:pt idx="18">
                  <c:v>0.99849999999999994</c:v>
                </c:pt>
                <c:pt idx="19">
                  <c:v>0.99999999999999989</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2.3008881057210431</c:v>
                </c:pt>
                <c:pt idx="1">
                  <c:v>2.3124090517602829</c:v>
                </c:pt>
                <c:pt idx="2">
                  <c:v>2.3239299977995227</c:v>
                </c:pt>
                <c:pt idx="3">
                  <c:v>2.3354509438387625</c:v>
                </c:pt>
                <c:pt idx="4">
                  <c:v>2.3469718898780023</c:v>
                </c:pt>
                <c:pt idx="5">
                  <c:v>2.3584928359172421</c:v>
                </c:pt>
                <c:pt idx="6">
                  <c:v>2.3700137819564819</c:v>
                </c:pt>
                <c:pt idx="7">
                  <c:v>2.3815347279957217</c:v>
                </c:pt>
                <c:pt idx="8">
                  <c:v>2.3930556740349616</c:v>
                </c:pt>
                <c:pt idx="9">
                  <c:v>2.4045766200742014</c:v>
                </c:pt>
                <c:pt idx="10">
                  <c:v>2.4160975661134412</c:v>
                </c:pt>
                <c:pt idx="11">
                  <c:v>2.427618512152681</c:v>
                </c:pt>
                <c:pt idx="12">
                  <c:v>2.4391394581919208</c:v>
                </c:pt>
                <c:pt idx="13">
                  <c:v>2.4506604042311606</c:v>
                </c:pt>
                <c:pt idx="14">
                  <c:v>2.4621813502704004</c:v>
                </c:pt>
                <c:pt idx="15">
                  <c:v>2.4737022963096402</c:v>
                </c:pt>
                <c:pt idx="16">
                  <c:v>2.48522324234888</c:v>
                </c:pt>
                <c:pt idx="17">
                  <c:v>2.4967441883881198</c:v>
                </c:pt>
                <c:pt idx="18">
                  <c:v>2.5082651344273597</c:v>
                </c:pt>
                <c:pt idx="19">
                  <c:v>2.5197865804665995</c:v>
                </c:pt>
              </c:numCache>
            </c:numRef>
          </c:xVal>
          <c:yVal>
            <c:numRef>
              <c:f>'Tornado Charts &amp; Risk Analysis'!$H$202:$H$221</c:f>
              <c:numCache>
                <c:formatCode>General</c:formatCode>
                <c:ptCount val="20"/>
                <c:pt idx="0">
                  <c:v>5.0000000000000001E-4</c:v>
                </c:pt>
                <c:pt idx="1">
                  <c:v>1.5E-3</c:v>
                </c:pt>
                <c:pt idx="2">
                  <c:v>5.0000000000000001E-3</c:v>
                </c:pt>
                <c:pt idx="3">
                  <c:v>1.4E-2</c:v>
                </c:pt>
                <c:pt idx="4">
                  <c:v>2.4500000000000001E-2</c:v>
                </c:pt>
                <c:pt idx="5">
                  <c:v>4.0500000000000001E-2</c:v>
                </c:pt>
                <c:pt idx="6">
                  <c:v>6.8500000000000005E-2</c:v>
                </c:pt>
                <c:pt idx="7">
                  <c:v>7.85E-2</c:v>
                </c:pt>
                <c:pt idx="8">
                  <c:v>0.112</c:v>
                </c:pt>
                <c:pt idx="9">
                  <c:v>0.14249999999999999</c:v>
                </c:pt>
                <c:pt idx="10">
                  <c:v>0.1195</c:v>
                </c:pt>
                <c:pt idx="11">
                  <c:v>0.11650000000000001</c:v>
                </c:pt>
                <c:pt idx="12">
                  <c:v>9.35E-2</c:v>
                </c:pt>
                <c:pt idx="13">
                  <c:v>8.4000000000000005E-2</c:v>
                </c:pt>
                <c:pt idx="14">
                  <c:v>4.8500000000000001E-2</c:v>
                </c:pt>
                <c:pt idx="15">
                  <c:v>2.5999999999999999E-2</c:v>
                </c:pt>
                <c:pt idx="16">
                  <c:v>1.4500000000000001E-2</c:v>
                </c:pt>
                <c:pt idx="17">
                  <c:v>5.0000000000000001E-3</c:v>
                </c:pt>
                <c:pt idx="18">
                  <c:v>3.5000000000000001E-3</c:v>
                </c:pt>
                <c:pt idx="19">
                  <c:v>1.5E-3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ists!$Q$4" lockText="1"/>
</file>

<file path=xl/ctrlProps/ctrlProp2.xml><?xml version="1.0" encoding="utf-8"?>
<formControlPr xmlns="http://schemas.microsoft.com/office/spreadsheetml/2009/9/main" objectType="CheckBox" checked="Checked" fmlaLink="Lists!$Q$5" lockText="1"/>
</file>

<file path=xl/ctrlProps/ctrlProp3.xml><?xml version="1.0" encoding="utf-8"?>
<formControlPr xmlns="http://schemas.microsoft.com/office/spreadsheetml/2009/9/main" objectType="CheckBox" checked="Checked" fmlaLink="Lists!$Q$6" lockText="1"/>
</file>

<file path=xl/ctrlProps/ctrlProp4.xml><?xml version="1.0" encoding="utf-8"?>
<formControlPr xmlns="http://schemas.microsoft.com/office/spreadsheetml/2009/9/main" objectType="CheckBox" checked="Checked" fmlaLink="Lists!$Q$7" lockText="1"/>
</file>

<file path=xl/ctrlProps/ctrlProp5.xml><?xml version="1.0" encoding="utf-8"?>
<formControlPr xmlns="http://schemas.microsoft.com/office/spreadsheetml/2009/9/main" objectType="CheckBox" checked="Checked" fmlaLink="Lists!$Q$8" lockText="1"/>
</file>

<file path=xl/ctrlProps/ctrlProp6.xml><?xml version="1.0" encoding="utf-8"?>
<formControlPr xmlns="http://schemas.microsoft.com/office/spreadsheetml/2009/9/main" objectType="CheckBox" checked="Checked" fmlaLink="Lists!$Q$9" lockText="1"/>
</file>

<file path=xl/ctrlProps/ctrlProp7.xml><?xml version="1.0" encoding="utf-8"?>
<formControlPr xmlns="http://schemas.microsoft.com/office/spreadsheetml/2009/9/main" objectType="CheckBox" checked="Checked" fmlaLink="Lists!$Q$10" lockText="1"/>
</file>

<file path=xl/ctrlProps/ctrlProp8.xml><?xml version="1.0" encoding="utf-8"?>
<formControlPr xmlns="http://schemas.microsoft.com/office/spreadsheetml/2009/9/main" objectType="CheckBox" checked="Checked" fmlaLink="Lists!$Q$11" lockText="1"/>
</file>

<file path=xl/ctrlProps/ctrlProp9.xml><?xml version="1.0" encoding="utf-8"?>
<formControlPr xmlns="http://schemas.microsoft.com/office/spreadsheetml/2009/9/main" objectType="CheckBox" checked="Checked" fmlaLink="Lists!$Q$12" lockText="1"/>
</file>

<file path=xl/ctrlProps/ctrlProp10.xml><?xml version="1.0" encoding="utf-8"?>
<formControlPr xmlns="http://schemas.microsoft.com/office/spreadsheetml/2009/9/main" objectType="CheckBox" checked="Checked" fmlaLink="Lists!$Q$13" lockText="1"/>
</file>

<file path=xl/ctrlProps/ctrlProp11.xml><?xml version="1.0" encoding="utf-8"?>
<formControlPr xmlns="http://schemas.microsoft.com/office/spreadsheetml/2009/9/main" objectType="CheckBox" checked="Checked" fmlaLink="Lists!$Q$14" lockText="1"/>
</file>

<file path=xl/ctrlProps/ctrlProp12.xml><?xml version="1.0" encoding="utf-8"?>
<formControlPr xmlns="http://schemas.microsoft.com/office/spreadsheetml/2009/9/main" objectType="CheckBox" checked="Checked" fmlaLink="Lists!$Q$15" lockText="1"/>
</file>

<file path=xl/ctrlProps/ctrlProp13.xml><?xml version="1.0" encoding="utf-8"?>
<formControlPr xmlns="http://schemas.microsoft.com/office/spreadsheetml/2009/9/main" objectType="CheckBox" fmlaLink="Lists!$AA$4" lockText="1"/>
</file>

<file path=xl/ctrlProps/ctrlProp14.xml><?xml version="1.0" encoding="utf-8"?>
<formControlPr xmlns="http://schemas.microsoft.com/office/spreadsheetml/2009/9/main" objectType="CheckBox" checked="Checked" fmlaLink="Lists!$AA$6" lockText="1"/>
</file>

<file path=xl/ctrlProps/ctrlProp15.xml><?xml version="1.0" encoding="utf-8"?>
<formControlPr xmlns="http://schemas.microsoft.com/office/spreadsheetml/2009/9/main" objectType="CheckBox" checked="Checked" fmlaLink="Lists!$AA$8" lockText="1"/>
</file>

<file path=xl/ctrlProps/ctrlProp16.xml><?xml version="1.0" encoding="utf-8"?>
<formControlPr xmlns="http://schemas.microsoft.com/office/spreadsheetml/2009/9/main" objectType="CheckBox" checked="Checked" fmlaLink="Lists!$AA$10" lockText="1"/>
</file>

<file path=xl/ctrlProps/ctrlProp17.xml><?xml version="1.0" encoding="utf-8"?>
<formControlPr xmlns="http://schemas.microsoft.com/office/spreadsheetml/2009/9/main" objectType="CheckBox" checked="Checked" fmlaLink="Lists!$AA$11" lockText="1"/>
</file>

<file path=xl/ctrlProps/ctrlProp18.xml><?xml version="1.0" encoding="utf-8"?>
<formControlPr xmlns="http://schemas.microsoft.com/office/spreadsheetml/2009/9/main" objectType="CheckBox" checked="Checked" fmlaLink="Lists!$AA$12" lockText="1"/>
</file>

<file path=xl/ctrlProps/ctrlProp19.xml><?xml version="1.0" encoding="utf-8"?>
<formControlPr xmlns="http://schemas.microsoft.com/office/spreadsheetml/2009/9/main" objectType="CheckBox" checked="Checked" fmlaLink="Lists!$AA$9" lockText="1"/>
</file>

<file path=xl/ctrlProps/ctrlProp20.xml><?xml version="1.0" encoding="utf-8"?>
<formControlPr xmlns="http://schemas.microsoft.com/office/spreadsheetml/2009/9/main" objectType="CheckBox" checked="Checked" fmlaLink="Lists!$AA$13" lockText="1"/>
</file>

<file path=xl/ctrlProps/ctrlProp21.xml><?xml version="1.0" encoding="utf-8"?>
<formControlPr xmlns="http://schemas.microsoft.com/office/spreadsheetml/2009/9/main" objectType="CheckBox" checked="Checked" fmlaLink="Lists!$AA$14" lockText="1"/>
</file>

<file path=xl/ctrlProps/ctrlProp22.xml><?xml version="1.0" encoding="utf-8"?>
<formControlPr xmlns="http://schemas.microsoft.com/office/spreadsheetml/2009/9/main" objectType="CheckBox" checked="Checked" fmlaLink="Lists!$AA$7" lockText="1"/>
</file>

<file path=xl/ctrlProps/ctrlProp23.xml><?xml version="1.0" encoding="utf-8"?>
<formControlPr xmlns="http://schemas.microsoft.com/office/spreadsheetml/2009/9/main" objectType="CheckBox" checked="Checked" fmlaLink="Lists!$AA$5"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530677</xdr:colOff>
      <xdr:row>2</xdr:row>
      <xdr:rowOff>20090</xdr:rowOff>
    </xdr:from>
    <xdr:to>
      <xdr:col>9</xdr:col>
      <xdr:colOff>449877</xdr:colOff>
      <xdr:row>4</xdr:row>
      <xdr:rowOff>82436</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7059632" y="470363"/>
          <a:ext cx="1131472" cy="37407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221</xdr:row>
      <xdr:rowOff>0</xdr:rowOff>
    </xdr:from>
    <xdr:to>
      <xdr:col>2</xdr:col>
      <xdr:colOff>76200</xdr:colOff>
      <xdr:row>222</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128</xdr:row>
      <xdr:rowOff>289433</xdr:rowOff>
    </xdr:from>
    <xdr:to>
      <xdr:col>5</xdr:col>
      <xdr:colOff>681318</xdr:colOff>
      <xdr:row>130</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131</xdr:row>
      <xdr:rowOff>143435</xdr:rowOff>
    </xdr:from>
    <xdr:to>
      <xdr:col>4</xdr:col>
      <xdr:colOff>645460</xdr:colOff>
      <xdr:row>132</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131</xdr:row>
      <xdr:rowOff>152400</xdr:rowOff>
    </xdr:from>
    <xdr:to>
      <xdr:col>5</xdr:col>
      <xdr:colOff>1156447</xdr:colOff>
      <xdr:row>133</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149</xdr:row>
      <xdr:rowOff>17930</xdr:rowOff>
    </xdr:from>
    <xdr:to>
      <xdr:col>4</xdr:col>
      <xdr:colOff>762001</xdr:colOff>
      <xdr:row>149</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84</xdr:row>
      <xdr:rowOff>205408</xdr:rowOff>
    </xdr:from>
    <xdr:to>
      <xdr:col>3</xdr:col>
      <xdr:colOff>1351721</xdr:colOff>
      <xdr:row>86</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86</xdr:row>
      <xdr:rowOff>20351</xdr:rowOff>
    </xdr:from>
    <xdr:to>
      <xdr:col>3</xdr:col>
      <xdr:colOff>1364974</xdr:colOff>
      <xdr:row>88</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29</xdr:row>
          <xdr:rowOff>0</xdr:rowOff>
        </xdr:from>
        <xdr:to>
          <xdr:col>3</xdr:col>
          <xdr:colOff>1066800</xdr:colOff>
          <xdr:row>30</xdr:row>
          <xdr:rowOff>0</xdr:rowOff>
        </xdr:to>
        <xdr:sp macro="" textlink="">
          <xdr:nvSpPr>
            <xdr:cNvPr id="1225" name="Check Box 201" descr="H2A default" hidden="1">
              <a:extLst>
                <a:ext uri="{63B3BB69-23CF-44E3-9099-C40C66FF867C}">
                  <a14:compatExt spid="_x0000_s1225"/>
                </a:ext>
                <a:ext uri="{FF2B5EF4-FFF2-40B4-BE49-F238E27FC236}">
                  <a16:creationId xmlns:a16="http://schemas.microsoft.com/office/drawing/2014/main" id="{00000000-0008-0000-0300-0000C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200025</xdr:rowOff>
        </xdr:from>
        <xdr:to>
          <xdr:col>3</xdr:col>
          <xdr:colOff>1066800</xdr:colOff>
          <xdr:row>41</xdr:row>
          <xdr:rowOff>200025</xdr:rowOff>
        </xdr:to>
        <xdr:sp macro="" textlink="">
          <xdr:nvSpPr>
            <xdr:cNvPr id="1226" name="Check Box 202" descr="H2A default" hidden="1">
              <a:extLst>
                <a:ext uri="{63B3BB69-23CF-44E3-9099-C40C66FF867C}">
                  <a14:compatExt spid="_x0000_s1226"/>
                </a:ext>
                <a:ext uri="{FF2B5EF4-FFF2-40B4-BE49-F238E27FC236}">
                  <a16:creationId xmlns:a16="http://schemas.microsoft.com/office/drawing/2014/main" id="{00000000-0008-0000-0300-0000C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1066800</xdr:colOff>
          <xdr:row>43</xdr:row>
          <xdr:rowOff>0</xdr:rowOff>
        </xdr:to>
        <xdr:sp macro="" textlink="">
          <xdr:nvSpPr>
            <xdr:cNvPr id="1231" name="Check Box 203" descr="H2A default" hidden="1">
              <a:extLst>
                <a:ext uri="{63B3BB69-23CF-44E3-9099-C40C66FF867C}">
                  <a14:compatExt spid="_x0000_s1231"/>
                </a:ext>
                <a:ext uri="{FF2B5EF4-FFF2-40B4-BE49-F238E27FC236}">
                  <a16:creationId xmlns:a16="http://schemas.microsoft.com/office/drawing/2014/main" id="{00000000-0008-0000-0300-0000C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209550</xdr:rowOff>
        </xdr:from>
        <xdr:to>
          <xdr:col>3</xdr:col>
          <xdr:colOff>1066800</xdr:colOff>
          <xdr:row>48</xdr:row>
          <xdr:rowOff>209550</xdr:rowOff>
        </xdr:to>
        <xdr:sp macro="" textlink="">
          <xdr:nvSpPr>
            <xdr:cNvPr id="1233" name="Check Box 204" descr="H2A default" hidden="1">
              <a:extLst>
                <a:ext uri="{63B3BB69-23CF-44E3-9099-C40C66FF867C}">
                  <a14:compatExt spid="_x0000_s1233"/>
                </a:ext>
                <a:ext uri="{FF2B5EF4-FFF2-40B4-BE49-F238E27FC236}">
                  <a16:creationId xmlns:a16="http://schemas.microsoft.com/office/drawing/2014/main" id="{00000000-0008-0000-03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1066800</xdr:colOff>
          <xdr:row>50</xdr:row>
          <xdr:rowOff>0</xdr:rowOff>
        </xdr:to>
        <xdr:sp macro="" textlink="">
          <xdr:nvSpPr>
            <xdr:cNvPr id="1234" name="Check Box 205" descr="H2A default" hidden="1">
              <a:extLst>
                <a:ext uri="{63B3BB69-23CF-44E3-9099-C40C66FF867C}">
                  <a14:compatExt spid="_x0000_s1234"/>
                </a:ext>
                <a:ext uri="{FF2B5EF4-FFF2-40B4-BE49-F238E27FC236}">
                  <a16:creationId xmlns:a16="http://schemas.microsoft.com/office/drawing/2014/main" id="{00000000-0008-0000-03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1066800</xdr:colOff>
          <xdr:row>51</xdr:row>
          <xdr:rowOff>0</xdr:rowOff>
        </xdr:to>
        <xdr:sp macro="" textlink="">
          <xdr:nvSpPr>
            <xdr:cNvPr id="1235" name="Check Box 206" descr="H2A default" hidden="1">
              <a:extLst>
                <a:ext uri="{63B3BB69-23CF-44E3-9099-C40C66FF867C}">
                  <a14:compatExt spid="_x0000_s1235"/>
                </a:ext>
                <a:ext uri="{FF2B5EF4-FFF2-40B4-BE49-F238E27FC236}">
                  <a16:creationId xmlns:a16="http://schemas.microsoft.com/office/drawing/2014/main" id="{00000000-0008-0000-03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1066800</xdr:colOff>
          <xdr:row>52</xdr:row>
          <xdr:rowOff>0</xdr:rowOff>
        </xdr:to>
        <xdr:sp macro="" textlink="">
          <xdr:nvSpPr>
            <xdr:cNvPr id="1236" name="Check Box 207" descr="H2A default" hidden="1">
              <a:extLst>
                <a:ext uri="{63B3BB69-23CF-44E3-9099-C40C66FF867C}">
                  <a14:compatExt spid="_x0000_s1236"/>
                </a:ext>
                <a:ext uri="{FF2B5EF4-FFF2-40B4-BE49-F238E27FC236}">
                  <a16:creationId xmlns:a16="http://schemas.microsoft.com/office/drawing/2014/main" id="{00000000-0008-0000-03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1066800</xdr:colOff>
          <xdr:row>53</xdr:row>
          <xdr:rowOff>0</xdr:rowOff>
        </xdr:to>
        <xdr:sp macro="" textlink="">
          <xdr:nvSpPr>
            <xdr:cNvPr id="1237" name="Check Box 208" descr="H2A default" hidden="1">
              <a:extLst>
                <a:ext uri="{63B3BB69-23CF-44E3-9099-C40C66FF867C}">
                  <a14:compatExt spid="_x0000_s1237"/>
                </a:ext>
                <a:ext uri="{FF2B5EF4-FFF2-40B4-BE49-F238E27FC236}">
                  <a16:creationId xmlns:a16="http://schemas.microsoft.com/office/drawing/2014/main" id="{00000000-0008-0000-03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1066800</xdr:colOff>
          <xdr:row>54</xdr:row>
          <xdr:rowOff>0</xdr:rowOff>
        </xdr:to>
        <xdr:sp macro="" textlink="">
          <xdr:nvSpPr>
            <xdr:cNvPr id="1238" name="Check Box 209" descr="H2A default" hidden="1">
              <a:extLst>
                <a:ext uri="{63B3BB69-23CF-44E3-9099-C40C66FF867C}">
                  <a14:compatExt spid="_x0000_s1238"/>
                </a:ext>
                <a:ext uri="{FF2B5EF4-FFF2-40B4-BE49-F238E27FC236}">
                  <a16:creationId xmlns:a16="http://schemas.microsoft.com/office/drawing/2014/main" id="{00000000-0008-0000-03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190500</xdr:rowOff>
        </xdr:from>
        <xdr:to>
          <xdr:col>3</xdr:col>
          <xdr:colOff>1066800</xdr:colOff>
          <xdr:row>55</xdr:row>
          <xdr:rowOff>190500</xdr:rowOff>
        </xdr:to>
        <xdr:sp macro="" textlink="">
          <xdr:nvSpPr>
            <xdr:cNvPr id="1239" name="Check Box 210" descr="H2A default" hidden="1">
              <a:extLst>
                <a:ext uri="{63B3BB69-23CF-44E3-9099-C40C66FF867C}">
                  <a14:compatExt spid="_x0000_s1239"/>
                </a:ext>
                <a:ext uri="{FF2B5EF4-FFF2-40B4-BE49-F238E27FC236}">
                  <a16:creationId xmlns:a16="http://schemas.microsoft.com/office/drawing/2014/main" id="{00000000-0008-0000-03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65</xdr:row>
      <xdr:rowOff>228600</xdr:rowOff>
    </xdr:from>
    <xdr:ext cx="415498" cy="269369"/>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924550" y="14973300"/>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65</xdr:row>
      <xdr:rowOff>228600</xdr:rowOff>
    </xdr:from>
    <xdr:ext cx="1450397" cy="269369"/>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00375" y="14973300"/>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111</xdr:row>
          <xdr:rowOff>0</xdr:rowOff>
        </xdr:from>
        <xdr:to>
          <xdr:col>3</xdr:col>
          <xdr:colOff>1066800</xdr:colOff>
          <xdr:row>112</xdr:row>
          <xdr:rowOff>0</xdr:rowOff>
        </xdr:to>
        <xdr:sp macro="" textlink="">
          <xdr:nvSpPr>
            <xdr:cNvPr id="1242" name="Check Box 211" descr="H2A default"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114</xdr:row>
          <xdr:rowOff>9525</xdr:rowOff>
        </xdr:from>
        <xdr:to>
          <xdr:col>3</xdr:col>
          <xdr:colOff>1066800</xdr:colOff>
          <xdr:row>114</xdr:row>
          <xdr:rowOff>228600</xdr:rowOff>
        </xdr:to>
        <xdr:sp macro="" textlink="">
          <xdr:nvSpPr>
            <xdr:cNvPr id="1243" name="Check Box 212" descr="H2A default" hidden="1">
              <a:extLst>
                <a:ext uri="{63B3BB69-23CF-44E3-9099-C40C66FF867C}">
                  <a14:compatExt spid="_x0000_s1243"/>
                </a:ext>
                <a:ext uri="{FF2B5EF4-FFF2-40B4-BE49-F238E27FC236}">
                  <a16:creationId xmlns:a16="http://schemas.microsoft.com/office/drawing/2014/main" id="{00000000-0008-0000-03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128</xdr:row>
      <xdr:rowOff>301869</xdr:rowOff>
    </xdr:from>
    <xdr:ext cx="415498" cy="269369"/>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5919421" y="34152254"/>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128</xdr:row>
      <xdr:rowOff>301869</xdr:rowOff>
    </xdr:from>
    <xdr:ext cx="1450397" cy="269369"/>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998177" y="34152254"/>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0.19736</cdr:x>
      <cdr:y>0.17185</cdr:y>
    </cdr:to>
    <cdr:sp macro="" textlink="'Tornado Charts &amp; Risk Analysis'!$H$155">
      <cdr:nvSpPr>
        <cdr:cNvPr id="3" name="TextBox 2"/>
        <cdr:cNvSpPr txBox="1"/>
      </cdr:nvSpPr>
      <cdr:spPr>
        <a:xfrm xmlns:a="http://schemas.openxmlformats.org/drawingml/2006/main">
          <a:off x="0" y="503112"/>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0.16883</cdr:x>
      <cdr:y>0.22408</cdr:y>
    </cdr:to>
    <cdr:sp macro="" textlink="'Tornado Charts &amp; Risk Analysis'!$H$156">
      <cdr:nvSpPr>
        <cdr:cNvPr id="4" name="TextBox 1"/>
        <cdr:cNvSpPr txBox="1"/>
      </cdr:nvSpPr>
      <cdr:spPr>
        <a:xfrm xmlns:a="http://schemas.openxmlformats.org/drawingml/2006/main">
          <a:off x="0" y="728903"/>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0.18666</cdr:x>
      <cdr:y>0.2751</cdr:y>
    </cdr:to>
    <cdr:sp macro="" textlink="'Tornado Charts &amp; Risk Analysis'!$H$157">
      <cdr:nvSpPr>
        <cdr:cNvPr id="5" name="TextBox 1"/>
        <cdr:cNvSpPr txBox="1"/>
      </cdr:nvSpPr>
      <cdr:spPr>
        <a:xfrm xmlns:a="http://schemas.openxmlformats.org/drawingml/2006/main">
          <a:off x="0" y="949463"/>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0.3294</cdr:x>
      <cdr:y>0.37914</cdr:y>
    </cdr:to>
    <cdr:sp macro="" textlink="'Tornado Charts &amp; Risk Analysis'!$H$159">
      <cdr:nvSpPr>
        <cdr:cNvPr id="6" name="TextBox 1"/>
        <cdr:cNvSpPr txBox="1"/>
      </cdr:nvSpPr>
      <cdr:spPr>
        <a:xfrm xmlns:a="http://schemas.openxmlformats.org/drawingml/2006/main">
          <a:off x="0" y="1399229"/>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0.23304</cdr:x>
      <cdr:y>0.43031</cdr:y>
    </cdr:to>
    <cdr:sp macro="" textlink="'Tornado Charts &amp; Risk Analysis'!$H$160">
      <cdr:nvSpPr>
        <cdr:cNvPr id="7" name="TextBox 1"/>
        <cdr:cNvSpPr txBox="1"/>
      </cdr:nvSpPr>
      <cdr:spPr>
        <a:xfrm xmlns:a="http://schemas.openxmlformats.org/drawingml/2006/main">
          <a:off x="0" y="1620437"/>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0.3389</cdr:x>
      <cdr:y>0.48227</cdr:y>
    </cdr:to>
    <cdr:sp macro="" textlink="'Tornado Charts &amp; Risk Analysis'!$H$161">
      <cdr:nvSpPr>
        <cdr:cNvPr id="8" name="TextBox 1"/>
        <cdr:cNvSpPr txBox="1"/>
      </cdr:nvSpPr>
      <cdr:spPr>
        <a:xfrm xmlns:a="http://schemas.openxmlformats.org/drawingml/2006/main">
          <a:off x="0" y="1845061"/>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0.15336</cdr:x>
      <cdr:y>0.5339</cdr:y>
    </cdr:to>
    <cdr:sp macro="" textlink="'Tornado Charts &amp; Risk Analysis'!$H$162">
      <cdr:nvSpPr>
        <cdr:cNvPr id="9" name="TextBox 1"/>
        <cdr:cNvSpPr txBox="1"/>
      </cdr:nvSpPr>
      <cdr:spPr>
        <a:xfrm xmlns:a="http://schemas.openxmlformats.org/drawingml/2006/main">
          <a:off x="0" y="2068258"/>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0.28417</cdr:x>
      <cdr:y>0.58569</cdr:y>
    </cdr:to>
    <cdr:sp macro="" textlink="'Tornado Charts &amp; Risk Analysis'!$H$163">
      <cdr:nvSpPr>
        <cdr:cNvPr id="10" name="TextBox 1"/>
        <cdr:cNvSpPr txBox="1"/>
      </cdr:nvSpPr>
      <cdr:spPr>
        <a:xfrm xmlns:a="http://schemas.openxmlformats.org/drawingml/2006/main">
          <a:off x="0" y="2292147"/>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0.35433</cdr:x>
      <cdr:y>0.63793</cdr:y>
    </cdr:to>
    <cdr:sp macro="" textlink="'Tornado Charts &amp; Risk Analysis'!$H$164">
      <cdr:nvSpPr>
        <cdr:cNvPr id="11" name="TextBox 1"/>
        <cdr:cNvSpPr txBox="1"/>
      </cdr:nvSpPr>
      <cdr:spPr>
        <a:xfrm xmlns:a="http://schemas.openxmlformats.org/drawingml/2006/main">
          <a:off x="0" y="2517981"/>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0.0891</cdr:x>
      <cdr:y>0.68878</cdr:y>
    </cdr:to>
    <cdr:sp macro="" textlink="'Tornado Charts &amp; Risk Analysis'!$H$165">
      <cdr:nvSpPr>
        <cdr:cNvPr id="12" name="TextBox 1"/>
        <cdr:cNvSpPr txBox="1"/>
      </cdr:nvSpPr>
      <cdr:spPr>
        <a:xfrm xmlns:a="http://schemas.openxmlformats.org/drawingml/2006/main">
          <a:off x="0" y="2737806"/>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0.20329</cdr:x>
      <cdr:y>0.74102</cdr:y>
    </cdr:to>
    <cdr:sp macro="" textlink="'Tornado Charts &amp; Risk Analysis'!$H$166">
      <cdr:nvSpPr>
        <cdr:cNvPr id="13" name="TextBox 1"/>
        <cdr:cNvSpPr txBox="1"/>
      </cdr:nvSpPr>
      <cdr:spPr>
        <a:xfrm xmlns:a="http://schemas.openxmlformats.org/drawingml/2006/main">
          <a:off x="0" y="2963640"/>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0.26035</cdr:x>
      <cdr:y>0.79265</cdr:y>
    </cdr:to>
    <cdr:sp macro="" textlink="'Tornado Charts &amp; Risk Analysis'!$H$167">
      <cdr:nvSpPr>
        <cdr:cNvPr id="14" name="TextBox 1"/>
        <cdr:cNvSpPr txBox="1"/>
      </cdr:nvSpPr>
      <cdr:spPr>
        <a:xfrm xmlns:a="http://schemas.openxmlformats.org/drawingml/2006/main">
          <a:off x="0" y="3186837"/>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0.38408</cdr:x>
      <cdr:y>0.84433</cdr:y>
    </cdr:to>
    <cdr:sp macro="" textlink="'Tornado Charts &amp; Risk Analysis'!$H$168">
      <cdr:nvSpPr>
        <cdr:cNvPr id="15" name="TextBox 1"/>
        <cdr:cNvSpPr txBox="1"/>
      </cdr:nvSpPr>
      <cdr:spPr>
        <a:xfrm xmlns:a="http://schemas.openxmlformats.org/drawingml/2006/main">
          <a:off x="0" y="3410250"/>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0.26512</cdr:x>
      <cdr:y>0.89607</cdr:y>
    </cdr:to>
    <cdr:sp macro="" textlink="'Tornado Charts &amp; Risk Analysis'!$H$169">
      <cdr:nvSpPr>
        <cdr:cNvPr id="16" name="TextBox 1"/>
        <cdr:cNvSpPr txBox="1"/>
      </cdr:nvSpPr>
      <cdr:spPr>
        <a:xfrm xmlns:a="http://schemas.openxmlformats.org/drawingml/2006/main">
          <a:off x="0" y="3633923"/>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0.17951</cdr:x>
      <cdr:y>0.94803</cdr:y>
    </cdr:to>
    <cdr:sp macro="" textlink="'Tornado Charts &amp; Risk Analysis'!$H$170">
      <cdr:nvSpPr>
        <cdr:cNvPr id="17" name="TextBox 1"/>
        <cdr:cNvSpPr txBox="1"/>
      </cdr:nvSpPr>
      <cdr:spPr>
        <a:xfrm xmlns:a="http://schemas.openxmlformats.org/drawingml/2006/main">
          <a:off x="0" y="3858547"/>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180975</xdr:colOff>
          <xdr:row>28</xdr:row>
          <xdr:rowOff>180975</xdr:rowOff>
        </xdr:from>
        <xdr:to>
          <xdr:col>3</xdr:col>
          <xdr:colOff>1095375</xdr:colOff>
          <xdr:row>30</xdr:row>
          <xdr:rowOff>9525</xdr:rowOff>
        </xdr:to>
        <xdr:sp macro="" textlink="">
          <xdr:nvSpPr>
            <xdr:cNvPr id="17596" name="Check Box 301" descr="H2A default" hidden="1">
              <a:extLst>
                <a:ext uri="{63B3BB69-23CF-44E3-9099-C40C66FF867C}">
                  <a14:compatExt spid="_x0000_s17596"/>
                </a:ext>
                <a:ext uri="{FF2B5EF4-FFF2-40B4-BE49-F238E27FC236}">
                  <a16:creationId xmlns:a16="http://schemas.microsoft.com/office/drawing/2014/main" id="{00000000-0008-0000-0700-0000BC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30</xdr:row>
          <xdr:rowOff>47625</xdr:rowOff>
        </xdr:from>
        <xdr:to>
          <xdr:col>3</xdr:col>
          <xdr:colOff>1095375</xdr:colOff>
          <xdr:row>30</xdr:row>
          <xdr:rowOff>257175</xdr:rowOff>
        </xdr:to>
        <xdr:sp macro="" textlink="">
          <xdr:nvSpPr>
            <xdr:cNvPr id="17597" name="Check Box 302" descr="H2A default" hidden="1">
              <a:extLst>
                <a:ext uri="{63B3BB69-23CF-44E3-9099-C40C66FF867C}">
                  <a14:compatExt spid="_x0000_s17597"/>
                </a:ext>
                <a:ext uri="{FF2B5EF4-FFF2-40B4-BE49-F238E27FC236}">
                  <a16:creationId xmlns:a16="http://schemas.microsoft.com/office/drawing/2014/main" id="{00000000-0008-0000-0700-0000BD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31</xdr:row>
          <xdr:rowOff>47625</xdr:rowOff>
        </xdr:from>
        <xdr:to>
          <xdr:col>3</xdr:col>
          <xdr:colOff>1095375</xdr:colOff>
          <xdr:row>31</xdr:row>
          <xdr:rowOff>257175</xdr:rowOff>
        </xdr:to>
        <xdr:sp macro="" textlink="">
          <xdr:nvSpPr>
            <xdr:cNvPr id="17598" name="Check Box 303" descr="H2A default" hidden="1">
              <a:extLst>
                <a:ext uri="{63B3BB69-23CF-44E3-9099-C40C66FF867C}">
                  <a14:compatExt spid="_x0000_s17598"/>
                </a:ext>
                <a:ext uri="{FF2B5EF4-FFF2-40B4-BE49-F238E27FC236}">
                  <a16:creationId xmlns:a16="http://schemas.microsoft.com/office/drawing/2014/main" id="{00000000-0008-0000-0700-0000BE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31</xdr:row>
          <xdr:rowOff>342900</xdr:rowOff>
        </xdr:from>
        <xdr:to>
          <xdr:col>3</xdr:col>
          <xdr:colOff>1095375</xdr:colOff>
          <xdr:row>33</xdr:row>
          <xdr:rowOff>9525</xdr:rowOff>
        </xdr:to>
        <xdr:sp macro="" textlink="">
          <xdr:nvSpPr>
            <xdr:cNvPr id="17599" name="Check Box 304" descr="H2A default" hidden="1">
              <a:extLst>
                <a:ext uri="{63B3BB69-23CF-44E3-9099-C40C66FF867C}">
                  <a14:compatExt spid="_x0000_s17599"/>
                </a:ext>
                <a:ext uri="{FF2B5EF4-FFF2-40B4-BE49-F238E27FC236}">
                  <a16:creationId xmlns:a16="http://schemas.microsoft.com/office/drawing/2014/main" id="{00000000-0008-0000-0700-0000BF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32</xdr:row>
          <xdr:rowOff>171450</xdr:rowOff>
        </xdr:from>
        <xdr:to>
          <xdr:col>3</xdr:col>
          <xdr:colOff>1095375</xdr:colOff>
          <xdr:row>34</xdr:row>
          <xdr:rowOff>9525</xdr:rowOff>
        </xdr:to>
        <xdr:sp macro="" textlink="">
          <xdr:nvSpPr>
            <xdr:cNvPr id="17600" name="Check Box 305" descr="H2A default" hidden="1">
              <a:extLst>
                <a:ext uri="{63B3BB69-23CF-44E3-9099-C40C66FF867C}">
                  <a14:compatExt spid="_x0000_s17600"/>
                </a:ext>
                <a:ext uri="{FF2B5EF4-FFF2-40B4-BE49-F238E27FC236}">
                  <a16:creationId xmlns:a16="http://schemas.microsoft.com/office/drawing/2014/main" id="{00000000-0008-0000-0700-0000C0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33</xdr:row>
          <xdr:rowOff>180975</xdr:rowOff>
        </xdr:from>
        <xdr:to>
          <xdr:col>3</xdr:col>
          <xdr:colOff>1095375</xdr:colOff>
          <xdr:row>35</xdr:row>
          <xdr:rowOff>9525</xdr:rowOff>
        </xdr:to>
        <xdr:sp macro="" textlink="">
          <xdr:nvSpPr>
            <xdr:cNvPr id="17601" name="Check Box 306" descr="H2A default" hidden="1">
              <a:extLst>
                <a:ext uri="{63B3BB69-23CF-44E3-9099-C40C66FF867C}">
                  <a14:compatExt spid="_x0000_s17601"/>
                </a:ext>
                <a:ext uri="{FF2B5EF4-FFF2-40B4-BE49-F238E27FC236}">
                  <a16:creationId xmlns:a16="http://schemas.microsoft.com/office/drawing/2014/main" id="{00000000-0008-0000-0700-0000C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34</xdr:row>
          <xdr:rowOff>171450</xdr:rowOff>
        </xdr:from>
        <xdr:to>
          <xdr:col>3</xdr:col>
          <xdr:colOff>1095375</xdr:colOff>
          <xdr:row>36</xdr:row>
          <xdr:rowOff>9525</xdr:rowOff>
        </xdr:to>
        <xdr:sp macro="" textlink="">
          <xdr:nvSpPr>
            <xdr:cNvPr id="17602" name="Check Box 307" descr="H2A default" hidden="1">
              <a:extLst>
                <a:ext uri="{63B3BB69-23CF-44E3-9099-C40C66FF867C}">
                  <a14:compatExt spid="_x0000_s17602"/>
                </a:ext>
                <a:ext uri="{FF2B5EF4-FFF2-40B4-BE49-F238E27FC236}">
                  <a16:creationId xmlns:a16="http://schemas.microsoft.com/office/drawing/2014/main" id="{00000000-0008-0000-0700-0000C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35</xdr:row>
          <xdr:rowOff>152400</xdr:rowOff>
        </xdr:from>
        <xdr:to>
          <xdr:col>3</xdr:col>
          <xdr:colOff>1095375</xdr:colOff>
          <xdr:row>37</xdr:row>
          <xdr:rowOff>9525</xdr:rowOff>
        </xdr:to>
        <xdr:sp macro="" textlink="">
          <xdr:nvSpPr>
            <xdr:cNvPr id="17603" name="Check Box 308" descr="H2A default" hidden="1">
              <a:extLst>
                <a:ext uri="{63B3BB69-23CF-44E3-9099-C40C66FF867C}">
                  <a14:compatExt spid="_x0000_s17603"/>
                </a:ext>
                <a:ext uri="{FF2B5EF4-FFF2-40B4-BE49-F238E27FC236}">
                  <a16:creationId xmlns:a16="http://schemas.microsoft.com/office/drawing/2014/main" id="{00000000-0008-0000-0700-0000C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38</xdr:row>
          <xdr:rowOff>171450</xdr:rowOff>
        </xdr:from>
        <xdr:to>
          <xdr:col>3</xdr:col>
          <xdr:colOff>1095375</xdr:colOff>
          <xdr:row>40</xdr:row>
          <xdr:rowOff>9525</xdr:rowOff>
        </xdr:to>
        <xdr:sp macro="" textlink="">
          <xdr:nvSpPr>
            <xdr:cNvPr id="17604" name="Check Box 309" descr="H2A default" hidden="1">
              <a:extLst>
                <a:ext uri="{63B3BB69-23CF-44E3-9099-C40C66FF867C}">
                  <a14:compatExt spid="_x0000_s17604"/>
                </a:ext>
                <a:ext uri="{FF2B5EF4-FFF2-40B4-BE49-F238E27FC236}">
                  <a16:creationId xmlns:a16="http://schemas.microsoft.com/office/drawing/2014/main" id="{00000000-0008-0000-0700-0000C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41</xdr:row>
          <xdr:rowOff>171450</xdr:rowOff>
        </xdr:from>
        <xdr:to>
          <xdr:col>3</xdr:col>
          <xdr:colOff>1095375</xdr:colOff>
          <xdr:row>43</xdr:row>
          <xdr:rowOff>9525</xdr:rowOff>
        </xdr:to>
        <xdr:sp macro="" textlink="">
          <xdr:nvSpPr>
            <xdr:cNvPr id="17605" name="Check Box 310" descr="H2A default" hidden="1">
              <a:extLst>
                <a:ext uri="{63B3BB69-23CF-44E3-9099-C40C66FF867C}">
                  <a14:compatExt spid="_x0000_s17605"/>
                </a:ext>
                <a:ext uri="{FF2B5EF4-FFF2-40B4-BE49-F238E27FC236}">
                  <a16:creationId xmlns:a16="http://schemas.microsoft.com/office/drawing/2014/main" id="{00000000-0008-0000-0700-0000C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42</xdr:row>
          <xdr:rowOff>161925</xdr:rowOff>
        </xdr:from>
        <xdr:to>
          <xdr:col>3</xdr:col>
          <xdr:colOff>1095375</xdr:colOff>
          <xdr:row>44</xdr:row>
          <xdr:rowOff>0</xdr:rowOff>
        </xdr:to>
        <xdr:sp macro="" textlink="">
          <xdr:nvSpPr>
            <xdr:cNvPr id="17606" name="Check Box 311" descr="H2A default" hidden="1">
              <a:extLst>
                <a:ext uri="{63B3BB69-23CF-44E3-9099-C40C66FF867C}">
                  <a14:compatExt spid="_x0000_s17606"/>
                </a:ext>
                <a:ext uri="{FF2B5EF4-FFF2-40B4-BE49-F238E27FC236}">
                  <a16:creationId xmlns:a16="http://schemas.microsoft.com/office/drawing/2014/main" id="{00000000-0008-0000-0700-0000C6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Other Variable Operating Costs</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Debt Interest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Yearly Replacement Costs</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Cash for Working Capital Reserve</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Taxes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Principal Payment</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Decommissioning Costs</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Other Non-Depreciable Capital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 </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463318</xdr:colOff>
      <xdr:row>15</xdr:row>
      <xdr:rowOff>105215</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90309</xdr:rowOff>
    </xdr:from>
    <xdr:to>
      <xdr:col>4</xdr:col>
      <xdr:colOff>708466</xdr:colOff>
      <xdr:row>35</xdr:row>
      <xdr:rowOff>11313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783965</xdr:colOff>
      <xdr:row>11</xdr:row>
      <xdr:rowOff>65060</xdr:rowOff>
    </xdr:from>
    <xdr:to>
      <xdr:col>13</xdr:col>
      <xdr:colOff>113406</xdr:colOff>
      <xdr:row>39</xdr:row>
      <xdr:rowOff>148538</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(102%, 97%, 92%)</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($82089,769K, $86410,284K, $90730,798K)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($4556,669K, $4796,493K, $5036,318K)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Plant Design Capacity (kg of H2/day)
(59325,000, 56500,000, 53675,000) </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Arial"/>
                  <a:cs typeface="Arial"/>
                </a:rPr>
                <a:t>Done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ddesantis@sainc.co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omments" Target="../comments2.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2"/>
  <sheetViews>
    <sheetView workbookViewId="0">
      <selection activeCell="B2" sqref="B2"/>
    </sheetView>
  </sheetViews>
  <sheetFormatPr defaultRowHeight="12.75"/>
  <cols>
    <col min="2" max="2" width="36.85546875" customWidth="1"/>
    <col min="3" max="3" width="44.7109375" customWidth="1"/>
    <col min="4" max="4" width="53.85546875" customWidth="1"/>
    <col min="5" max="5" width="126.42578125" customWidth="1"/>
  </cols>
  <sheetData>
    <row r="2" spans="2:4" ht="39" customHeight="1">
      <c r="B2" s="746" t="s">
        <v>406</v>
      </c>
    </row>
    <row r="4" spans="2:4" ht="13.5" thickBot="1"/>
    <row r="5" spans="2:4" ht="26.25" thickTop="1">
      <c r="B5" s="748" t="s">
        <v>211</v>
      </c>
      <c r="C5" s="1173" t="s">
        <v>1358</v>
      </c>
      <c r="D5" s="1390"/>
    </row>
    <row r="6" spans="2:4">
      <c r="B6" s="749" t="s">
        <v>212</v>
      </c>
      <c r="C6" s="1174" t="s">
        <v>1359</v>
      </c>
      <c r="D6" s="1390"/>
    </row>
    <row r="7" spans="2:4">
      <c r="B7" s="749" t="s">
        <v>213</v>
      </c>
      <c r="C7" s="1174" t="s">
        <v>1360</v>
      </c>
      <c r="D7" s="1390"/>
    </row>
    <row r="8" spans="2:4">
      <c r="B8" s="749" t="s">
        <v>214</v>
      </c>
      <c r="C8" s="1174" t="s">
        <v>1361</v>
      </c>
      <c r="D8" s="1390"/>
    </row>
    <row r="9" spans="2:4">
      <c r="B9" s="749" t="s">
        <v>215</v>
      </c>
      <c r="C9" s="915" t="s">
        <v>1362</v>
      </c>
      <c r="D9" s="1391"/>
    </row>
    <row r="10" spans="2:4">
      <c r="B10" s="749" t="s">
        <v>216</v>
      </c>
      <c r="C10" s="1174" t="s">
        <v>1363</v>
      </c>
      <c r="D10" s="1390"/>
    </row>
    <row r="11" spans="2:4">
      <c r="B11" s="749" t="s">
        <v>217</v>
      </c>
      <c r="C11" s="1175">
        <v>43738</v>
      </c>
      <c r="D11" s="1392"/>
    </row>
    <row r="12" spans="2:4" ht="13.5" thickBot="1">
      <c r="B12" s="750" t="s">
        <v>218</v>
      </c>
      <c r="C12" s="1370"/>
      <c r="D12" s="1390"/>
    </row>
    <row r="13" spans="2:4" ht="14.25" thickTop="1" thickBot="1">
      <c r="B13" s="753"/>
      <c r="C13" s="1390"/>
      <c r="D13" s="1341"/>
    </row>
    <row r="14" spans="2:4" ht="13.5" thickTop="1">
      <c r="B14" s="748" t="s">
        <v>219</v>
      </c>
      <c r="C14" s="1340">
        <v>50000</v>
      </c>
      <c r="D14" s="1341"/>
    </row>
    <row r="15" spans="2:4">
      <c r="B15" s="749" t="s">
        <v>220</v>
      </c>
      <c r="C15" s="1176">
        <v>2015</v>
      </c>
      <c r="D15" s="751"/>
    </row>
    <row r="16" spans="2:4">
      <c r="B16" s="749" t="s">
        <v>221</v>
      </c>
      <c r="C16" s="1116"/>
      <c r="D16" s="1341"/>
    </row>
    <row r="17" spans="2:4">
      <c r="B17" s="749" t="s">
        <v>222</v>
      </c>
      <c r="C17" s="1116"/>
      <c r="D17" s="1341"/>
    </row>
    <row r="18" spans="2:4">
      <c r="B18" s="749" t="s">
        <v>223</v>
      </c>
      <c r="C18" s="1116" t="s">
        <v>1364</v>
      </c>
      <c r="D18" s="751"/>
    </row>
    <row r="19" spans="2:4">
      <c r="B19" s="749" t="s">
        <v>224</v>
      </c>
      <c r="C19" s="1116" t="s">
        <v>1365</v>
      </c>
      <c r="D19" s="1341"/>
    </row>
    <row r="20" spans="2:4">
      <c r="B20" s="749" t="s">
        <v>225</v>
      </c>
      <c r="C20" s="1116" t="s">
        <v>1346</v>
      </c>
      <c r="D20" s="1341"/>
    </row>
    <row r="21" spans="2:4">
      <c r="B21" s="749" t="s">
        <v>226</v>
      </c>
      <c r="C21" s="1116" t="s">
        <v>1346</v>
      </c>
      <c r="D21" s="1341"/>
    </row>
    <row r="22" spans="2:4" ht="25.5">
      <c r="B22" s="752" t="s">
        <v>227</v>
      </c>
      <c r="C22" s="1176"/>
      <c r="D22" s="1341"/>
    </row>
    <row r="23" spans="2:4" ht="14.25">
      <c r="B23" s="752" t="s">
        <v>1366</v>
      </c>
      <c r="C23" s="1116" t="s">
        <v>1346</v>
      </c>
      <c r="D23" s="1341"/>
    </row>
    <row r="24" spans="2:4" ht="13.5" thickBot="1">
      <c r="B24" s="750" t="s">
        <v>228</v>
      </c>
      <c r="C24" s="1177" t="s">
        <v>1367</v>
      </c>
      <c r="D24" s="1341"/>
    </row>
    <row r="25" spans="2:4" ht="14.25" thickTop="1" thickBot="1">
      <c r="B25" s="753"/>
      <c r="C25" s="1341"/>
      <c r="D25" s="1341"/>
    </row>
    <row r="26" spans="2:4" ht="13.5" thickTop="1">
      <c r="B26" s="1405" t="s">
        <v>229</v>
      </c>
      <c r="C26" s="1406"/>
      <c r="D26" s="1407"/>
    </row>
    <row r="27" spans="2:4">
      <c r="B27" s="1393" t="s">
        <v>230</v>
      </c>
      <c r="C27" s="754" t="s">
        <v>231</v>
      </c>
      <c r="D27" s="1394" t="s">
        <v>1026</v>
      </c>
    </row>
    <row r="28" spans="2:4">
      <c r="B28" s="1395">
        <v>43738</v>
      </c>
      <c r="C28" s="1115" t="s">
        <v>1368</v>
      </c>
      <c r="D28" s="1116" t="s">
        <v>1369</v>
      </c>
    </row>
    <row r="29" spans="2:4">
      <c r="B29" s="1343">
        <v>43137</v>
      </c>
      <c r="C29" s="1342" t="s">
        <v>1296</v>
      </c>
      <c r="D29" s="1174" t="s">
        <v>1297</v>
      </c>
    </row>
    <row r="30" spans="2:4">
      <c r="B30" s="1365" t="s">
        <v>1295</v>
      </c>
      <c r="C30" s="1342"/>
      <c r="D30" s="1174"/>
    </row>
    <row r="31" spans="2:4">
      <c r="B31" s="1366"/>
      <c r="C31" s="1342"/>
      <c r="D31" s="1174"/>
    </row>
    <row r="32" spans="2:4">
      <c r="B32" s="1362">
        <v>39713</v>
      </c>
      <c r="C32" s="1342" t="s">
        <v>1340</v>
      </c>
      <c r="D32" s="1174" t="s">
        <v>829</v>
      </c>
    </row>
    <row r="33" spans="2:4">
      <c r="B33" s="1363">
        <v>39591</v>
      </c>
      <c r="C33" s="1361" t="s">
        <v>1347</v>
      </c>
      <c r="D33" s="1174"/>
    </row>
    <row r="34" spans="2:4">
      <c r="B34" s="1363">
        <v>39520</v>
      </c>
      <c r="C34" s="1361" t="s">
        <v>1341</v>
      </c>
      <c r="D34" s="1174"/>
    </row>
    <row r="35" spans="2:4">
      <c r="B35" s="1367" t="s">
        <v>1348</v>
      </c>
      <c r="C35" s="1361"/>
      <c r="D35" s="1174"/>
    </row>
    <row r="36" spans="2:4">
      <c r="B36" s="1363">
        <v>38875</v>
      </c>
      <c r="C36" s="1361" t="s">
        <v>1342</v>
      </c>
      <c r="D36" s="1174" t="s">
        <v>1343</v>
      </c>
    </row>
    <row r="37" spans="2:4">
      <c r="B37" s="1364">
        <v>38609</v>
      </c>
      <c r="C37" s="1115" t="s">
        <v>830</v>
      </c>
      <c r="D37" s="1174"/>
    </row>
    <row r="38" spans="2:4">
      <c r="B38" s="1344">
        <v>38586</v>
      </c>
      <c r="C38" s="1115" t="s">
        <v>830</v>
      </c>
      <c r="D38" s="1174"/>
    </row>
    <row r="39" spans="2:4">
      <c r="B39" s="1344">
        <v>38530</v>
      </c>
      <c r="C39" s="1115" t="s">
        <v>1344</v>
      </c>
      <c r="D39" s="1174"/>
    </row>
    <row r="40" spans="2:4">
      <c r="B40" s="1344">
        <v>38520</v>
      </c>
      <c r="C40" s="1115" t="s">
        <v>830</v>
      </c>
      <c r="D40" s="1174"/>
    </row>
    <row r="41" spans="2:4">
      <c r="B41" s="1344">
        <v>38406</v>
      </c>
      <c r="C41" s="1115" t="s">
        <v>1345</v>
      </c>
      <c r="D41" s="1174"/>
    </row>
    <row r="42" spans="2:4" ht="13.5" thickBot="1">
      <c r="B42" s="1368">
        <v>38273</v>
      </c>
      <c r="C42" s="1369" t="s">
        <v>830</v>
      </c>
      <c r="D42" s="1370"/>
    </row>
  </sheetData>
  <mergeCells count="1">
    <mergeCell ref="B26:D26"/>
  </mergeCells>
  <phoneticPr fontId="0" type="noConversion"/>
  <hyperlinks>
    <hyperlink ref="C9" r:id="rId1" xr:uid="{A0E4D7A1-D58F-41CB-9A2A-B66A521B7DBD}"/>
  </hyperlinks>
  <pageMargins left="0.75" right="0.75" top="1" bottom="1" header="0.5" footer="0.5"/>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6"/>
  <sheetViews>
    <sheetView workbookViewId="0">
      <selection activeCell="B11" sqref="B11"/>
    </sheetView>
  </sheetViews>
  <sheetFormatPr defaultRowHeight="12.75"/>
  <cols>
    <col min="2" max="2" width="122" customWidth="1"/>
    <col min="3" max="3" width="12" customWidth="1"/>
    <col min="4" max="4" width="47.42578125" customWidth="1"/>
    <col min="5" max="5" width="17.28515625" customWidth="1"/>
  </cols>
  <sheetData>
    <row r="2" spans="2:2" ht="22.5">
      <c r="B2" s="746" t="s">
        <v>407</v>
      </c>
    </row>
    <row r="6" spans="2:2">
      <c r="B6" s="200" t="s">
        <v>206</v>
      </c>
    </row>
    <row r="7" spans="2:2" ht="25.5">
      <c r="B7" s="1178" t="s">
        <v>1370</v>
      </c>
    </row>
    <row r="8" spans="2:2">
      <c r="B8" s="198"/>
    </row>
    <row r="9" spans="2:2">
      <c r="B9" s="198"/>
    </row>
    <row r="10" spans="2:2">
      <c r="B10" s="200" t="s">
        <v>207</v>
      </c>
    </row>
    <row r="11" spans="2:2" ht="51">
      <c r="B11" s="1178" t="s">
        <v>1371</v>
      </c>
    </row>
    <row r="12" spans="2:2">
      <c r="B12" s="197"/>
    </row>
    <row r="13" spans="2:2">
      <c r="B13" s="198"/>
    </row>
    <row r="14" spans="2:2">
      <c r="B14" s="200" t="s">
        <v>208</v>
      </c>
    </row>
    <row r="15" spans="2:2" ht="89.25">
      <c r="B15" s="1178" t="s">
        <v>1372</v>
      </c>
    </row>
    <row r="16" spans="2:2">
      <c r="B16" s="198" t="s">
        <v>1373</v>
      </c>
    </row>
    <row r="17" spans="2:2">
      <c r="B17" s="198"/>
    </row>
    <row r="18" spans="2:2">
      <c r="B18" s="200" t="s">
        <v>209</v>
      </c>
    </row>
    <row r="19" spans="2:2">
      <c r="B19" s="1178" t="s">
        <v>1374</v>
      </c>
    </row>
    <row r="20" spans="2:2">
      <c r="B20" s="198"/>
    </row>
    <row r="21" spans="2:2">
      <c r="B21" s="747" t="s">
        <v>210</v>
      </c>
    </row>
    <row r="22" spans="2:2" ht="127.5">
      <c r="B22" s="916" t="s">
        <v>1349</v>
      </c>
    </row>
    <row r="23" spans="2:2">
      <c r="B23" s="1178"/>
    </row>
    <row r="24" spans="2:2" ht="38.25">
      <c r="B24" s="1178" t="s">
        <v>1350</v>
      </c>
    </row>
    <row r="25" spans="2:2">
      <c r="B25" s="1178"/>
    </row>
    <row r="26" spans="2:2" ht="38.25">
      <c r="B26" s="916" t="s">
        <v>1351</v>
      </c>
    </row>
    <row r="76" ht="81" customHeight="1"/>
    <row r="78" ht="97.5" customHeight="1"/>
    <row r="80" ht="68.25" customHeight="1"/>
    <row r="82" ht="63" customHeight="1"/>
    <row r="84" ht="63.75" customHeight="1"/>
    <row r="86" ht="37.5" customHeight="1"/>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F36"/>
  <sheetViews>
    <sheetView topLeftCell="B1" zoomScale="81" zoomScaleNormal="130" workbookViewId="0">
      <selection activeCell="F33" sqref="F33"/>
    </sheetView>
  </sheetViews>
  <sheetFormatPr defaultRowHeight="12.75"/>
  <cols>
    <col min="2" max="2" width="125.28515625" customWidth="1"/>
    <col min="3" max="3" width="12" customWidth="1"/>
    <col min="4" max="4" width="13.85546875" customWidth="1"/>
    <col min="5" max="5" width="17.28515625" customWidth="1"/>
    <col min="6" max="6" width="16.7109375" customWidth="1"/>
    <col min="7" max="7" width="14.28515625" customWidth="1"/>
    <col min="13" max="13" width="38.85546875" customWidth="1"/>
    <col min="14" max="15" width="22.5703125" customWidth="1"/>
    <col min="16" max="16" width="44.42578125" customWidth="1"/>
    <col min="254" max="254" width="10.140625" customWidth="1"/>
    <col min="255" max="255" width="12" customWidth="1"/>
    <col min="256" max="256" width="17.85546875" customWidth="1"/>
    <col min="257" max="257" width="17.28515625" customWidth="1"/>
    <col min="258" max="259" width="31" customWidth="1"/>
    <col min="260" max="263" width="25.140625" customWidth="1"/>
    <col min="510" max="510" width="10.140625" customWidth="1"/>
    <col min="511" max="511" width="12" customWidth="1"/>
    <col min="512" max="512" width="17.85546875" customWidth="1"/>
    <col min="513" max="513" width="17.28515625" customWidth="1"/>
    <col min="514" max="515" width="31" customWidth="1"/>
    <col min="516" max="519" width="25.140625" customWidth="1"/>
    <col min="766" max="766" width="10.140625" customWidth="1"/>
    <col min="767" max="767" width="12" customWidth="1"/>
    <col min="768" max="768" width="17.85546875" customWidth="1"/>
    <col min="769" max="769" width="17.28515625" customWidth="1"/>
    <col min="770" max="771" width="31" customWidth="1"/>
    <col min="772" max="775" width="25.140625" customWidth="1"/>
    <col min="1022" max="1022" width="10.140625" customWidth="1"/>
    <col min="1023" max="1023" width="12" customWidth="1"/>
    <col min="1024" max="1024" width="17.85546875" customWidth="1"/>
    <col min="1025" max="1025" width="17.28515625" customWidth="1"/>
    <col min="1026" max="1027" width="31" customWidth="1"/>
    <col min="1028" max="1031" width="25.140625" customWidth="1"/>
    <col min="1278" max="1278" width="10.140625" customWidth="1"/>
    <col min="1279" max="1279" width="12" customWidth="1"/>
    <col min="1280" max="1280" width="17.85546875" customWidth="1"/>
    <col min="1281" max="1281" width="17.28515625" customWidth="1"/>
    <col min="1282" max="1283" width="31" customWidth="1"/>
    <col min="1284" max="1287" width="25.140625" customWidth="1"/>
    <col min="1534" max="1534" width="10.140625" customWidth="1"/>
    <col min="1535" max="1535" width="12" customWidth="1"/>
    <col min="1536" max="1536" width="17.85546875" customWidth="1"/>
    <col min="1537" max="1537" width="17.28515625" customWidth="1"/>
    <col min="1538" max="1539" width="31" customWidth="1"/>
    <col min="1540" max="1543" width="25.140625" customWidth="1"/>
    <col min="1790" max="1790" width="10.140625" customWidth="1"/>
    <col min="1791" max="1791" width="12" customWidth="1"/>
    <col min="1792" max="1792" width="17.85546875" customWidth="1"/>
    <col min="1793" max="1793" width="17.28515625" customWidth="1"/>
    <col min="1794" max="1795" width="31" customWidth="1"/>
    <col min="1796" max="1799" width="25.140625" customWidth="1"/>
    <col min="2046" max="2046" width="10.140625" customWidth="1"/>
    <col min="2047" max="2047" width="12" customWidth="1"/>
    <col min="2048" max="2048" width="17.85546875" customWidth="1"/>
    <col min="2049" max="2049" width="17.28515625" customWidth="1"/>
    <col min="2050" max="2051" width="31" customWidth="1"/>
    <col min="2052" max="2055" width="25.140625" customWidth="1"/>
    <col min="2302" max="2302" width="10.140625" customWidth="1"/>
    <col min="2303" max="2303" width="12" customWidth="1"/>
    <col min="2304" max="2304" width="17.85546875" customWidth="1"/>
    <col min="2305" max="2305" width="17.28515625" customWidth="1"/>
    <col min="2306" max="2307" width="31" customWidth="1"/>
    <col min="2308" max="2311" width="25.140625" customWidth="1"/>
    <col min="2558" max="2558" width="10.140625" customWidth="1"/>
    <col min="2559" max="2559" width="12" customWidth="1"/>
    <col min="2560" max="2560" width="17.85546875" customWidth="1"/>
    <col min="2561" max="2561" width="17.28515625" customWidth="1"/>
    <col min="2562" max="2563" width="31" customWidth="1"/>
    <col min="2564" max="2567" width="25.140625" customWidth="1"/>
    <col min="2814" max="2814" width="10.140625" customWidth="1"/>
    <col min="2815" max="2815" width="12" customWidth="1"/>
    <col min="2816" max="2816" width="17.85546875" customWidth="1"/>
    <col min="2817" max="2817" width="17.28515625" customWidth="1"/>
    <col min="2818" max="2819" width="31" customWidth="1"/>
    <col min="2820" max="2823" width="25.140625" customWidth="1"/>
    <col min="3070" max="3070" width="10.140625" customWidth="1"/>
    <col min="3071" max="3071" width="12" customWidth="1"/>
    <col min="3072" max="3072" width="17.85546875" customWidth="1"/>
    <col min="3073" max="3073" width="17.28515625" customWidth="1"/>
    <col min="3074" max="3075" width="31" customWidth="1"/>
    <col min="3076" max="3079" width="25.140625" customWidth="1"/>
    <col min="3326" max="3326" width="10.140625" customWidth="1"/>
    <col min="3327" max="3327" width="12" customWidth="1"/>
    <col min="3328" max="3328" width="17.85546875" customWidth="1"/>
    <col min="3329" max="3329" width="17.28515625" customWidth="1"/>
    <col min="3330" max="3331" width="31" customWidth="1"/>
    <col min="3332" max="3335" width="25.140625" customWidth="1"/>
    <col min="3582" max="3582" width="10.140625" customWidth="1"/>
    <col min="3583" max="3583" width="12" customWidth="1"/>
    <col min="3584" max="3584" width="17.85546875" customWidth="1"/>
    <col min="3585" max="3585" width="17.28515625" customWidth="1"/>
    <col min="3586" max="3587" width="31" customWidth="1"/>
    <col min="3588" max="3591" width="25.140625" customWidth="1"/>
    <col min="3838" max="3838" width="10.140625" customWidth="1"/>
    <col min="3839" max="3839" width="12" customWidth="1"/>
    <col min="3840" max="3840" width="17.85546875" customWidth="1"/>
    <col min="3841" max="3841" width="17.28515625" customWidth="1"/>
    <col min="3842" max="3843" width="31" customWidth="1"/>
    <col min="3844" max="3847" width="25.140625" customWidth="1"/>
    <col min="4094" max="4094" width="10.140625" customWidth="1"/>
    <col min="4095" max="4095" width="12" customWidth="1"/>
    <col min="4096" max="4096" width="17.85546875" customWidth="1"/>
    <col min="4097" max="4097" width="17.28515625" customWidth="1"/>
    <col min="4098" max="4099" width="31" customWidth="1"/>
    <col min="4100" max="4103" width="25.140625" customWidth="1"/>
    <col min="4350" max="4350" width="10.140625" customWidth="1"/>
    <col min="4351" max="4351" width="12" customWidth="1"/>
    <col min="4352" max="4352" width="17.85546875" customWidth="1"/>
    <col min="4353" max="4353" width="17.28515625" customWidth="1"/>
    <col min="4354" max="4355" width="31" customWidth="1"/>
    <col min="4356" max="4359" width="25.140625" customWidth="1"/>
    <col min="4606" max="4606" width="10.140625" customWidth="1"/>
    <col min="4607" max="4607" width="12" customWidth="1"/>
    <col min="4608" max="4608" width="17.85546875" customWidth="1"/>
    <col min="4609" max="4609" width="17.28515625" customWidth="1"/>
    <col min="4610" max="4611" width="31" customWidth="1"/>
    <col min="4612" max="4615" width="25.140625" customWidth="1"/>
    <col min="4862" max="4862" width="10.140625" customWidth="1"/>
    <col min="4863" max="4863" width="12" customWidth="1"/>
    <col min="4864" max="4864" width="17.85546875" customWidth="1"/>
    <col min="4865" max="4865" width="17.28515625" customWidth="1"/>
    <col min="4866" max="4867" width="31" customWidth="1"/>
    <col min="4868" max="4871" width="25.140625" customWidth="1"/>
    <col min="5118" max="5118" width="10.140625" customWidth="1"/>
    <col min="5119" max="5119" width="12" customWidth="1"/>
    <col min="5120" max="5120" width="17.85546875" customWidth="1"/>
    <col min="5121" max="5121" width="17.28515625" customWidth="1"/>
    <col min="5122" max="5123" width="31" customWidth="1"/>
    <col min="5124" max="5127" width="25.140625" customWidth="1"/>
    <col min="5374" max="5374" width="10.140625" customWidth="1"/>
    <col min="5375" max="5375" width="12" customWidth="1"/>
    <col min="5376" max="5376" width="17.85546875" customWidth="1"/>
    <col min="5377" max="5377" width="17.28515625" customWidth="1"/>
    <col min="5378" max="5379" width="31" customWidth="1"/>
    <col min="5380" max="5383" width="25.140625" customWidth="1"/>
    <col min="5630" max="5630" width="10.140625" customWidth="1"/>
    <col min="5631" max="5631" width="12" customWidth="1"/>
    <col min="5632" max="5632" width="17.85546875" customWidth="1"/>
    <col min="5633" max="5633" width="17.28515625" customWidth="1"/>
    <col min="5634" max="5635" width="31" customWidth="1"/>
    <col min="5636" max="5639" width="25.140625" customWidth="1"/>
    <col min="5886" max="5886" width="10.140625" customWidth="1"/>
    <col min="5887" max="5887" width="12" customWidth="1"/>
    <col min="5888" max="5888" width="17.85546875" customWidth="1"/>
    <col min="5889" max="5889" width="17.28515625" customWidth="1"/>
    <col min="5890" max="5891" width="31" customWidth="1"/>
    <col min="5892" max="5895" width="25.140625" customWidth="1"/>
    <col min="6142" max="6142" width="10.140625" customWidth="1"/>
    <col min="6143" max="6143" width="12" customWidth="1"/>
    <col min="6144" max="6144" width="17.85546875" customWidth="1"/>
    <col min="6145" max="6145" width="17.28515625" customWidth="1"/>
    <col min="6146" max="6147" width="31" customWidth="1"/>
    <col min="6148" max="6151" width="25.140625" customWidth="1"/>
    <col min="6398" max="6398" width="10.140625" customWidth="1"/>
    <col min="6399" max="6399" width="12" customWidth="1"/>
    <col min="6400" max="6400" width="17.85546875" customWidth="1"/>
    <col min="6401" max="6401" width="17.28515625" customWidth="1"/>
    <col min="6402" max="6403" width="31" customWidth="1"/>
    <col min="6404" max="6407" width="25.140625" customWidth="1"/>
    <col min="6654" max="6654" width="10.140625" customWidth="1"/>
    <col min="6655" max="6655" width="12" customWidth="1"/>
    <col min="6656" max="6656" width="17.85546875" customWidth="1"/>
    <col min="6657" max="6657" width="17.28515625" customWidth="1"/>
    <col min="6658" max="6659" width="31" customWidth="1"/>
    <col min="6660" max="6663" width="25.140625" customWidth="1"/>
    <col min="6910" max="6910" width="10.140625" customWidth="1"/>
    <col min="6911" max="6911" width="12" customWidth="1"/>
    <col min="6912" max="6912" width="17.85546875" customWidth="1"/>
    <col min="6913" max="6913" width="17.28515625" customWidth="1"/>
    <col min="6914" max="6915" width="31" customWidth="1"/>
    <col min="6916" max="6919" width="25.140625" customWidth="1"/>
    <col min="7166" max="7166" width="10.140625" customWidth="1"/>
    <col min="7167" max="7167" width="12" customWidth="1"/>
    <col min="7168" max="7168" width="17.85546875" customWidth="1"/>
    <col min="7169" max="7169" width="17.28515625" customWidth="1"/>
    <col min="7170" max="7171" width="31" customWidth="1"/>
    <col min="7172" max="7175" width="25.140625" customWidth="1"/>
    <col min="7422" max="7422" width="10.140625" customWidth="1"/>
    <col min="7423" max="7423" width="12" customWidth="1"/>
    <col min="7424" max="7424" width="17.85546875" customWidth="1"/>
    <col min="7425" max="7425" width="17.28515625" customWidth="1"/>
    <col min="7426" max="7427" width="31" customWidth="1"/>
    <col min="7428" max="7431" width="25.140625" customWidth="1"/>
    <col min="7678" max="7678" width="10.140625" customWidth="1"/>
    <col min="7679" max="7679" width="12" customWidth="1"/>
    <col min="7680" max="7680" width="17.85546875" customWidth="1"/>
    <col min="7681" max="7681" width="17.28515625" customWidth="1"/>
    <col min="7682" max="7683" width="31" customWidth="1"/>
    <col min="7684" max="7687" width="25.140625" customWidth="1"/>
    <col min="7934" max="7934" width="10.140625" customWidth="1"/>
    <col min="7935" max="7935" width="12" customWidth="1"/>
    <col min="7936" max="7936" width="17.85546875" customWidth="1"/>
    <col min="7937" max="7937" width="17.28515625" customWidth="1"/>
    <col min="7938" max="7939" width="31" customWidth="1"/>
    <col min="7940" max="7943" width="25.140625" customWidth="1"/>
    <col min="8190" max="8190" width="10.140625" customWidth="1"/>
    <col min="8191" max="8191" width="12" customWidth="1"/>
    <col min="8192" max="8192" width="17.85546875" customWidth="1"/>
    <col min="8193" max="8193" width="17.28515625" customWidth="1"/>
    <col min="8194" max="8195" width="31" customWidth="1"/>
    <col min="8196" max="8199" width="25.140625" customWidth="1"/>
    <col min="8446" max="8446" width="10.140625" customWidth="1"/>
    <col min="8447" max="8447" width="12" customWidth="1"/>
    <col min="8448" max="8448" width="17.85546875" customWidth="1"/>
    <col min="8449" max="8449" width="17.28515625" customWidth="1"/>
    <col min="8450" max="8451" width="31" customWidth="1"/>
    <col min="8452" max="8455" width="25.140625" customWidth="1"/>
    <col min="8702" max="8702" width="10.140625" customWidth="1"/>
    <col min="8703" max="8703" width="12" customWidth="1"/>
    <col min="8704" max="8704" width="17.85546875" customWidth="1"/>
    <col min="8705" max="8705" width="17.28515625" customWidth="1"/>
    <col min="8706" max="8707" width="31" customWidth="1"/>
    <col min="8708" max="8711" width="25.140625" customWidth="1"/>
    <col min="8958" max="8958" width="10.140625" customWidth="1"/>
    <col min="8959" max="8959" width="12" customWidth="1"/>
    <col min="8960" max="8960" width="17.85546875" customWidth="1"/>
    <col min="8961" max="8961" width="17.28515625" customWidth="1"/>
    <col min="8962" max="8963" width="31" customWidth="1"/>
    <col min="8964" max="8967" width="25.140625" customWidth="1"/>
    <col min="9214" max="9214" width="10.140625" customWidth="1"/>
    <col min="9215" max="9215" width="12" customWidth="1"/>
    <col min="9216" max="9216" width="17.85546875" customWidth="1"/>
    <col min="9217" max="9217" width="17.28515625" customWidth="1"/>
    <col min="9218" max="9219" width="31" customWidth="1"/>
    <col min="9220" max="9223" width="25.140625" customWidth="1"/>
    <col min="9470" max="9470" width="10.140625" customWidth="1"/>
    <col min="9471" max="9471" width="12" customWidth="1"/>
    <col min="9472" max="9472" width="17.85546875" customWidth="1"/>
    <col min="9473" max="9473" width="17.28515625" customWidth="1"/>
    <col min="9474" max="9475" width="31" customWidth="1"/>
    <col min="9476" max="9479" width="25.140625" customWidth="1"/>
    <col min="9726" max="9726" width="10.140625" customWidth="1"/>
    <col min="9727" max="9727" width="12" customWidth="1"/>
    <col min="9728" max="9728" width="17.85546875" customWidth="1"/>
    <col min="9729" max="9729" width="17.28515625" customWidth="1"/>
    <col min="9730" max="9731" width="31" customWidth="1"/>
    <col min="9732" max="9735" width="25.140625" customWidth="1"/>
    <col min="9982" max="9982" width="10.140625" customWidth="1"/>
    <col min="9983" max="9983" width="12" customWidth="1"/>
    <col min="9984" max="9984" width="17.85546875" customWidth="1"/>
    <col min="9985" max="9985" width="17.28515625" customWidth="1"/>
    <col min="9986" max="9987" width="31" customWidth="1"/>
    <col min="9988" max="9991" width="25.140625" customWidth="1"/>
    <col min="10238" max="10238" width="10.140625" customWidth="1"/>
    <col min="10239" max="10239" width="12" customWidth="1"/>
    <col min="10240" max="10240" width="17.85546875" customWidth="1"/>
    <col min="10241" max="10241" width="17.28515625" customWidth="1"/>
    <col min="10242" max="10243" width="31" customWidth="1"/>
    <col min="10244" max="10247" width="25.140625" customWidth="1"/>
    <col min="10494" max="10494" width="10.140625" customWidth="1"/>
    <col min="10495" max="10495" width="12" customWidth="1"/>
    <col min="10496" max="10496" width="17.85546875" customWidth="1"/>
    <col min="10497" max="10497" width="17.28515625" customWidth="1"/>
    <col min="10498" max="10499" width="31" customWidth="1"/>
    <col min="10500" max="10503" width="25.140625" customWidth="1"/>
    <col min="10750" max="10750" width="10.140625" customWidth="1"/>
    <col min="10751" max="10751" width="12" customWidth="1"/>
    <col min="10752" max="10752" width="17.85546875" customWidth="1"/>
    <col min="10753" max="10753" width="17.28515625" customWidth="1"/>
    <col min="10754" max="10755" width="31" customWidth="1"/>
    <col min="10756" max="10759" width="25.140625" customWidth="1"/>
    <col min="11006" max="11006" width="10.140625" customWidth="1"/>
    <col min="11007" max="11007" width="12" customWidth="1"/>
    <col min="11008" max="11008" width="17.85546875" customWidth="1"/>
    <col min="11009" max="11009" width="17.28515625" customWidth="1"/>
    <col min="11010" max="11011" width="31" customWidth="1"/>
    <col min="11012" max="11015" width="25.140625" customWidth="1"/>
    <col min="11262" max="11262" width="10.140625" customWidth="1"/>
    <col min="11263" max="11263" width="12" customWidth="1"/>
    <col min="11264" max="11264" width="17.85546875" customWidth="1"/>
    <col min="11265" max="11265" width="17.28515625" customWidth="1"/>
    <col min="11266" max="11267" width="31" customWidth="1"/>
    <col min="11268" max="11271" width="25.140625" customWidth="1"/>
    <col min="11518" max="11518" width="10.140625" customWidth="1"/>
    <col min="11519" max="11519" width="12" customWidth="1"/>
    <col min="11520" max="11520" width="17.85546875" customWidth="1"/>
    <col min="11521" max="11521" width="17.28515625" customWidth="1"/>
    <col min="11522" max="11523" width="31" customWidth="1"/>
    <col min="11524" max="11527" width="25.140625" customWidth="1"/>
    <col min="11774" max="11774" width="10.140625" customWidth="1"/>
    <col min="11775" max="11775" width="12" customWidth="1"/>
    <col min="11776" max="11776" width="17.85546875" customWidth="1"/>
    <col min="11777" max="11777" width="17.28515625" customWidth="1"/>
    <col min="11778" max="11779" width="31" customWidth="1"/>
    <col min="11780" max="11783" width="25.140625" customWidth="1"/>
    <col min="12030" max="12030" width="10.140625" customWidth="1"/>
    <col min="12031" max="12031" width="12" customWidth="1"/>
    <col min="12032" max="12032" width="17.85546875" customWidth="1"/>
    <col min="12033" max="12033" width="17.28515625" customWidth="1"/>
    <col min="12034" max="12035" width="31" customWidth="1"/>
    <col min="12036" max="12039" width="25.140625" customWidth="1"/>
    <col min="12286" max="12286" width="10.140625" customWidth="1"/>
    <col min="12287" max="12287" width="12" customWidth="1"/>
    <col min="12288" max="12288" width="17.85546875" customWidth="1"/>
    <col min="12289" max="12289" width="17.28515625" customWidth="1"/>
    <col min="12290" max="12291" width="31" customWidth="1"/>
    <col min="12292" max="12295" width="25.140625" customWidth="1"/>
    <col min="12542" max="12542" width="10.140625" customWidth="1"/>
    <col min="12543" max="12543" width="12" customWidth="1"/>
    <col min="12544" max="12544" width="17.85546875" customWidth="1"/>
    <col min="12545" max="12545" width="17.28515625" customWidth="1"/>
    <col min="12546" max="12547" width="31" customWidth="1"/>
    <col min="12548" max="12551" width="25.140625" customWidth="1"/>
    <col min="12798" max="12798" width="10.140625" customWidth="1"/>
    <col min="12799" max="12799" width="12" customWidth="1"/>
    <col min="12800" max="12800" width="17.85546875" customWidth="1"/>
    <col min="12801" max="12801" width="17.28515625" customWidth="1"/>
    <col min="12802" max="12803" width="31" customWidth="1"/>
    <col min="12804" max="12807" width="25.140625" customWidth="1"/>
    <col min="13054" max="13054" width="10.140625" customWidth="1"/>
    <col min="13055" max="13055" width="12" customWidth="1"/>
    <col min="13056" max="13056" width="17.85546875" customWidth="1"/>
    <col min="13057" max="13057" width="17.28515625" customWidth="1"/>
    <col min="13058" max="13059" width="31" customWidth="1"/>
    <col min="13060" max="13063" width="25.140625" customWidth="1"/>
    <col min="13310" max="13310" width="10.140625" customWidth="1"/>
    <col min="13311" max="13311" width="12" customWidth="1"/>
    <col min="13312" max="13312" width="17.85546875" customWidth="1"/>
    <col min="13313" max="13313" width="17.28515625" customWidth="1"/>
    <col min="13314" max="13315" width="31" customWidth="1"/>
    <col min="13316" max="13319" width="25.140625" customWidth="1"/>
    <col min="13566" max="13566" width="10.140625" customWidth="1"/>
    <col min="13567" max="13567" width="12" customWidth="1"/>
    <col min="13568" max="13568" width="17.85546875" customWidth="1"/>
    <col min="13569" max="13569" width="17.28515625" customWidth="1"/>
    <col min="13570" max="13571" width="31" customWidth="1"/>
    <col min="13572" max="13575" width="25.140625" customWidth="1"/>
    <col min="13822" max="13822" width="10.140625" customWidth="1"/>
    <col min="13823" max="13823" width="12" customWidth="1"/>
    <col min="13824" max="13824" width="17.85546875" customWidth="1"/>
    <col min="13825" max="13825" width="17.28515625" customWidth="1"/>
    <col min="13826" max="13827" width="31" customWidth="1"/>
    <col min="13828" max="13831" width="25.140625" customWidth="1"/>
    <col min="14078" max="14078" width="10.140625" customWidth="1"/>
    <col min="14079" max="14079" width="12" customWidth="1"/>
    <col min="14080" max="14080" width="17.85546875" customWidth="1"/>
    <col min="14081" max="14081" width="17.28515625" customWidth="1"/>
    <col min="14082" max="14083" width="31" customWidth="1"/>
    <col min="14084" max="14087" width="25.140625" customWidth="1"/>
    <col min="14334" max="14334" width="10.140625" customWidth="1"/>
    <col min="14335" max="14335" width="12" customWidth="1"/>
    <col min="14336" max="14336" width="17.85546875" customWidth="1"/>
    <col min="14337" max="14337" width="17.28515625" customWidth="1"/>
    <col min="14338" max="14339" width="31" customWidth="1"/>
    <col min="14340" max="14343" width="25.140625" customWidth="1"/>
    <col min="14590" max="14590" width="10.140625" customWidth="1"/>
    <col min="14591" max="14591" width="12" customWidth="1"/>
    <col min="14592" max="14592" width="17.85546875" customWidth="1"/>
    <col min="14593" max="14593" width="17.28515625" customWidth="1"/>
    <col min="14594" max="14595" width="31" customWidth="1"/>
    <col min="14596" max="14599" width="25.140625" customWidth="1"/>
    <col min="14846" max="14846" width="10.140625" customWidth="1"/>
    <col min="14847" max="14847" width="12" customWidth="1"/>
    <col min="14848" max="14848" width="17.85546875" customWidth="1"/>
    <col min="14849" max="14849" width="17.28515625" customWidth="1"/>
    <col min="14850" max="14851" width="31" customWidth="1"/>
    <col min="14852" max="14855" width="25.140625" customWidth="1"/>
    <col min="15102" max="15102" width="10.140625" customWidth="1"/>
    <col min="15103" max="15103" width="12" customWidth="1"/>
    <col min="15104" max="15104" width="17.85546875" customWidth="1"/>
    <col min="15105" max="15105" width="17.28515625" customWidth="1"/>
    <col min="15106" max="15107" width="31" customWidth="1"/>
    <col min="15108" max="15111" width="25.140625" customWidth="1"/>
    <col min="15358" max="15358" width="10.140625" customWidth="1"/>
    <col min="15359" max="15359" width="12" customWidth="1"/>
    <col min="15360" max="15360" width="17.85546875" customWidth="1"/>
    <col min="15361" max="15361" width="17.28515625" customWidth="1"/>
    <col min="15362" max="15363" width="31" customWidth="1"/>
    <col min="15364" max="15367" width="25.140625" customWidth="1"/>
    <col min="15614" max="15614" width="10.140625" customWidth="1"/>
    <col min="15615" max="15615" width="12" customWidth="1"/>
    <col min="15616" max="15616" width="17.85546875" customWidth="1"/>
    <col min="15617" max="15617" width="17.28515625" customWidth="1"/>
    <col min="15618" max="15619" width="31" customWidth="1"/>
    <col min="15620" max="15623" width="25.140625" customWidth="1"/>
    <col min="15870" max="15870" width="10.140625" customWidth="1"/>
    <col min="15871" max="15871" width="12" customWidth="1"/>
    <col min="15872" max="15872" width="17.85546875" customWidth="1"/>
    <col min="15873" max="15873" width="17.28515625" customWidth="1"/>
    <col min="15874" max="15875" width="31" customWidth="1"/>
    <col min="15876" max="15879" width="25.140625" customWidth="1"/>
    <col min="16126" max="16126" width="10.140625" customWidth="1"/>
    <col min="16127" max="16127" width="12" customWidth="1"/>
    <col min="16128" max="16128" width="17.85546875" customWidth="1"/>
    <col min="16129" max="16129" width="17.28515625" customWidth="1"/>
    <col min="16130" max="16131" width="31" customWidth="1"/>
    <col min="16132" max="16135" width="25.140625" customWidth="1"/>
  </cols>
  <sheetData>
    <row r="2" spans="2:5" ht="22.5">
      <c r="B2" s="746" t="s">
        <v>408</v>
      </c>
    </row>
    <row r="5" spans="2:5" ht="15.75">
      <c r="C5" s="286" t="s">
        <v>1375</v>
      </c>
      <c r="D5" s="1396" t="s">
        <v>1376</v>
      </c>
      <c r="E5" s="1397">
        <f ca="1">50000*sensitivity_02</f>
        <v>50000</v>
      </c>
    </row>
    <row r="6" spans="2:5" ht="14.25">
      <c r="B6" s="200" t="s">
        <v>204</v>
      </c>
      <c r="C6" s="286" t="s">
        <v>1377</v>
      </c>
      <c r="D6" s="1396" t="s">
        <v>1378</v>
      </c>
      <c r="E6">
        <v>2</v>
      </c>
    </row>
    <row r="7" spans="2:5">
      <c r="B7" s="1371"/>
      <c r="C7" s="286" t="s">
        <v>1379</v>
      </c>
      <c r="D7" s="1396" t="s">
        <v>1380</v>
      </c>
      <c r="E7">
        <v>1.9</v>
      </c>
    </row>
    <row r="8" spans="2:5" ht="15.75">
      <c r="B8" s="1372"/>
      <c r="C8" s="286" t="s">
        <v>1381</v>
      </c>
      <c r="D8" s="1396" t="s">
        <v>1382</v>
      </c>
      <c r="E8">
        <v>80</v>
      </c>
    </row>
    <row r="9" spans="2:5" ht="15.75">
      <c r="B9" s="1372"/>
      <c r="C9" s="286" t="s">
        <v>1383</v>
      </c>
      <c r="D9" s="1396" t="s">
        <v>414</v>
      </c>
      <c r="E9">
        <v>450</v>
      </c>
    </row>
    <row r="10" spans="2:5" ht="14.25">
      <c r="B10" s="1372"/>
      <c r="C10" s="286" t="s">
        <v>1384</v>
      </c>
      <c r="D10" s="1396" t="s">
        <v>1385</v>
      </c>
      <c r="E10">
        <v>450</v>
      </c>
    </row>
    <row r="11" spans="2:5">
      <c r="B11" s="1372"/>
      <c r="C11" s="286" t="s">
        <v>1386</v>
      </c>
      <c r="D11" s="1396" t="s">
        <v>1387</v>
      </c>
      <c r="E11">
        <v>150</v>
      </c>
    </row>
    <row r="12" spans="2:5">
      <c r="B12" s="1372"/>
      <c r="C12" s="286" t="s">
        <v>1388</v>
      </c>
      <c r="D12" s="1396" t="s">
        <v>1389</v>
      </c>
      <c r="E12">
        <v>1.5</v>
      </c>
    </row>
    <row r="13" spans="2:5">
      <c r="B13" s="1372"/>
      <c r="C13" s="286" t="s">
        <v>1390</v>
      </c>
      <c r="D13" s="1396" t="s">
        <v>1391</v>
      </c>
      <c r="E13">
        <v>7</v>
      </c>
    </row>
    <row r="14" spans="2:5">
      <c r="B14" s="1372"/>
      <c r="C14" s="286" t="s">
        <v>1392</v>
      </c>
      <c r="D14" s="1396" t="s">
        <v>1393</v>
      </c>
      <c r="E14" s="1397">
        <f>E13*8760*cap_factor</f>
        <v>59480.4</v>
      </c>
    </row>
    <row r="15" spans="2:5">
      <c r="B15" s="1373"/>
      <c r="C15" s="286" t="s">
        <v>1388</v>
      </c>
      <c r="D15" s="1396" t="s">
        <v>1394</v>
      </c>
      <c r="E15" s="1398">
        <f>E12*E14/1000</f>
        <v>89.220600000000005</v>
      </c>
    </row>
    <row r="16" spans="2:5">
      <c r="B16" s="198"/>
      <c r="C16" s="286" t="s">
        <v>1395</v>
      </c>
      <c r="D16" s="1396" t="s">
        <v>1396</v>
      </c>
      <c r="E16" s="28">
        <v>0.13</v>
      </c>
    </row>
    <row r="17" spans="2:6" ht="15.75">
      <c r="B17" s="198"/>
      <c r="C17" s="286" t="s">
        <v>1397</v>
      </c>
      <c r="D17" s="1396" t="s">
        <v>1376</v>
      </c>
      <c r="E17" s="1397">
        <f ca="1">E5*(1+E16)</f>
        <v>56499.999999999993</v>
      </c>
    </row>
    <row r="18" spans="2:6">
      <c r="B18" s="198"/>
    </row>
    <row r="19" spans="2:6" ht="14.25">
      <c r="B19" s="198"/>
      <c r="C19" s="286" t="s">
        <v>1398</v>
      </c>
      <c r="D19" s="1396" t="s">
        <v>1399</v>
      </c>
      <c r="E19">
        <f ca="1">ROUNDUP((E5/2.02*1000/24/3600)*2*96485/E6/(100)^2,0)</f>
        <v>2765</v>
      </c>
    </row>
    <row r="20" spans="2:6" ht="14.25">
      <c r="B20" s="198"/>
      <c r="C20" s="286" t="s">
        <v>1400</v>
      </c>
      <c r="D20" s="1396" t="s">
        <v>1399</v>
      </c>
      <c r="E20">
        <f ca="1">ROUNDUP((E17/2.02*1000/24/3600)*2*96485/E6/(100)^2,0)</f>
        <v>3124</v>
      </c>
    </row>
    <row r="21" spans="2:6">
      <c r="B21" s="198"/>
      <c r="D21" s="521"/>
    </row>
    <row r="22" spans="2:6" ht="15.75">
      <c r="B22" s="198"/>
      <c r="C22" s="286" t="s">
        <v>1401</v>
      </c>
      <c r="D22" s="1396" t="s">
        <v>1402</v>
      </c>
      <c r="E22">
        <v>55.5</v>
      </c>
    </row>
    <row r="23" spans="2:6" ht="15.75">
      <c r="B23" s="198"/>
      <c r="C23" s="286" t="s">
        <v>1403</v>
      </c>
      <c r="D23" s="1396" t="s">
        <v>1402</v>
      </c>
      <c r="E23">
        <v>50.4</v>
      </c>
    </row>
    <row r="24" spans="2:6" ht="15.75">
      <c r="B24" s="198"/>
      <c r="C24" s="286" t="s">
        <v>1404</v>
      </c>
      <c r="D24" s="1396" t="s">
        <v>1402</v>
      </c>
      <c r="E24">
        <v>5.0999999999999996</v>
      </c>
    </row>
    <row r="25" spans="2:6">
      <c r="B25" s="198"/>
      <c r="D25" s="521"/>
    </row>
    <row r="26" spans="2:6">
      <c r="B26" s="198"/>
      <c r="C26" s="286" t="s">
        <v>1405</v>
      </c>
      <c r="D26" s="1396" t="s">
        <v>1406</v>
      </c>
      <c r="E26" s="1398">
        <f ca="1">E22/24*E17/1000</f>
        <v>130.65624999999997</v>
      </c>
    </row>
    <row r="27" spans="2:6">
      <c r="B27" s="198"/>
      <c r="C27" s="286" t="s">
        <v>1407</v>
      </c>
      <c r="D27" s="1396" t="s">
        <v>1406</v>
      </c>
      <c r="E27" s="1398">
        <f ca="1">E23/24*E17/1000</f>
        <v>118.64999999999999</v>
      </c>
    </row>
    <row r="28" spans="2:6">
      <c r="B28" s="198"/>
      <c r="D28" s="521"/>
    </row>
    <row r="29" spans="2:6" ht="15.75">
      <c r="B29" s="200" t="s">
        <v>205</v>
      </c>
      <c r="C29" s="286" t="s">
        <v>1408</v>
      </c>
      <c r="D29" s="1396" t="s">
        <v>1409</v>
      </c>
      <c r="E29">
        <v>3.78</v>
      </c>
    </row>
    <row r="30" spans="2:6">
      <c r="B30" s="1178"/>
      <c r="D30" s="521"/>
      <c r="F30" s="286" t="s">
        <v>1410</v>
      </c>
    </row>
    <row r="31" spans="2:6">
      <c r="B31" s="197"/>
      <c r="C31" s="286" t="s">
        <v>1411</v>
      </c>
      <c r="D31" s="1396" t="s">
        <v>1410</v>
      </c>
      <c r="E31" s="1399">
        <v>460</v>
      </c>
      <c r="F31" s="1400">
        <f ca="1">SUM(F32:F34)</f>
        <v>460.29573934837094</v>
      </c>
    </row>
    <row r="32" spans="2:6" ht="14.25">
      <c r="B32" s="198"/>
      <c r="C32" s="286" t="s">
        <v>1412</v>
      </c>
      <c r="D32" s="1396" t="s">
        <v>1413</v>
      </c>
      <c r="E32" s="1399">
        <v>1.3</v>
      </c>
      <c r="F32" s="1400">
        <f>E32/(E6*E7)*1000</f>
        <v>342.10526315789474</v>
      </c>
    </row>
    <row r="33" spans="3:6" ht="15.75">
      <c r="C33" s="1401" t="s">
        <v>1414</v>
      </c>
      <c r="D33" s="1396" t="s">
        <v>1415</v>
      </c>
      <c r="E33" s="1399">
        <v>76</v>
      </c>
      <c r="F33" s="1399">
        <f ca="1">E33*E17/E27/1000</f>
        <v>36.190476190476183</v>
      </c>
    </row>
    <row r="34" spans="3:6">
      <c r="C34" s="1401" t="s">
        <v>1416</v>
      </c>
      <c r="D34" s="1396" t="s">
        <v>1410</v>
      </c>
      <c r="E34" s="1399">
        <v>82</v>
      </c>
      <c r="F34" s="1399">
        <f>E34</f>
        <v>82</v>
      </c>
    </row>
    <row r="35" spans="3:6">
      <c r="D35" s="521"/>
    </row>
    <row r="36" spans="3:6">
      <c r="C36" s="286" t="s">
        <v>1417</v>
      </c>
      <c r="D36" s="1396" t="s">
        <v>1418</v>
      </c>
      <c r="E36" s="109">
        <f ca="1">E31*E27*1000</f>
        <v>54578999.999999993</v>
      </c>
    </row>
  </sheetData>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1"/>
  <sheetViews>
    <sheetView zoomScale="72" zoomScaleNormal="100" workbookViewId="0">
      <pane ySplit="7" topLeftCell="A8" activePane="bottomLeft" state="frozen"/>
      <selection pane="bottomLeft"/>
    </sheetView>
  </sheetViews>
  <sheetFormatPr defaultColWidth="9.140625" defaultRowHeight="12.75"/>
  <cols>
    <col min="1" max="1" width="4.42578125" style="441" customWidth="1"/>
    <col min="2" max="2" width="62.85546875" style="29" customWidth="1"/>
    <col min="3" max="3" width="21.140625" style="29" customWidth="1"/>
    <col min="4" max="4" width="20.140625" style="29" customWidth="1"/>
    <col min="5" max="5" width="24.28515625" style="29" customWidth="1"/>
    <col min="6" max="6" width="21.85546875" style="29" customWidth="1"/>
    <col min="7" max="7" width="16.28515625" style="29" customWidth="1"/>
    <col min="8" max="8" width="33.7109375" style="29" bestFit="1" customWidth="1"/>
    <col min="9" max="9" width="38" style="29" bestFit="1" customWidth="1"/>
    <col min="10" max="10" width="47.28515625" style="29" customWidth="1"/>
    <col min="11" max="11" width="18.42578125" style="29" customWidth="1"/>
    <col min="12" max="16384" width="9.140625" style="29"/>
  </cols>
  <sheetData>
    <row r="1" spans="1:8" ht="8.4499999999999993" customHeight="1" thickBot="1">
      <c r="A1" s="909"/>
    </row>
    <row r="2" spans="1:8" ht="27" customHeight="1" thickBot="1">
      <c r="A2" s="442"/>
      <c r="B2" s="1425" t="s">
        <v>1355</v>
      </c>
      <c r="C2" s="1426"/>
      <c r="D2" s="1426"/>
      <c r="E2" s="1427"/>
      <c r="F2" s="1427"/>
      <c r="G2" s="1428"/>
    </row>
    <row r="3" spans="1:8" ht="19.899999999999999" customHeight="1" thickBot="1">
      <c r="A3" s="442" t="s">
        <v>1038</v>
      </c>
      <c r="B3" s="1429" t="s">
        <v>1353</v>
      </c>
      <c r="C3" s="1430"/>
      <c r="D3" s="1431"/>
      <c r="E3" s="299"/>
      <c r="F3" s="300"/>
      <c r="G3" s="301"/>
    </row>
    <row r="4" spans="1:8" ht="6.6" customHeight="1" thickBot="1">
      <c r="A4" s="442"/>
      <c r="B4" s="480"/>
      <c r="C4" s="481"/>
      <c r="D4" s="1432"/>
      <c r="E4" s="1432"/>
      <c r="F4" s="472"/>
      <c r="G4" s="473"/>
    </row>
    <row r="5" spans="1:8" ht="23.25" thickTop="1">
      <c r="A5" s="442"/>
      <c r="B5" s="740" t="s">
        <v>1063</v>
      </c>
      <c r="C5" s="741"/>
      <c r="D5" s="742"/>
      <c r="E5" s="742"/>
      <c r="F5" s="475"/>
      <c r="G5" s="477"/>
    </row>
    <row r="6" spans="1:8" ht="21" customHeight="1">
      <c r="A6" s="442"/>
      <c r="B6" s="1155" t="s">
        <v>203</v>
      </c>
      <c r="C6" s="481"/>
      <c r="D6" s="1111"/>
      <c r="E6" s="1111"/>
      <c r="F6" s="472"/>
      <c r="G6" s="473"/>
    </row>
    <row r="7" spans="1:8" ht="20.25">
      <c r="A7" s="442"/>
      <c r="B7" s="1156"/>
      <c r="C7" s="481"/>
      <c r="D7" s="737"/>
      <c r="E7" s="737"/>
      <c r="F7" s="472"/>
      <c r="G7" s="473"/>
    </row>
    <row r="8" spans="1:8" ht="29.25" customHeight="1">
      <c r="A8" s="442"/>
      <c r="B8" s="1155" t="s">
        <v>198</v>
      </c>
      <c r="C8" s="481"/>
      <c r="D8" s="737"/>
      <c r="E8" s="737"/>
      <c r="F8" s="472"/>
      <c r="G8" s="473"/>
    </row>
    <row r="9" spans="1:8" ht="20.25">
      <c r="A9" s="442"/>
      <c r="B9" s="1156"/>
      <c r="C9" s="481"/>
      <c r="D9" s="481"/>
      <c r="E9" s="481"/>
      <c r="F9" s="472"/>
      <c r="G9" s="473"/>
    </row>
    <row r="10" spans="1:8" ht="20.25">
      <c r="A10" s="442"/>
      <c r="B10" s="1155" t="s">
        <v>197</v>
      </c>
      <c r="C10" s="481"/>
      <c r="D10" s="481"/>
      <c r="E10" s="481"/>
      <c r="F10" s="472"/>
      <c r="G10" s="473"/>
    </row>
    <row r="11" spans="1:8" ht="20.25">
      <c r="A11" s="442"/>
      <c r="B11" s="480"/>
      <c r="C11" s="481"/>
      <c r="D11" s="481"/>
      <c r="E11" s="481"/>
      <c r="F11" s="472"/>
      <c r="G11" s="473"/>
    </row>
    <row r="12" spans="1:8" ht="20.25">
      <c r="A12" s="442"/>
      <c r="B12" s="480"/>
      <c r="C12" s="481"/>
      <c r="D12" s="481"/>
      <c r="E12" s="481"/>
      <c r="F12" s="472"/>
      <c r="G12" s="473"/>
    </row>
    <row r="13" spans="1:8" ht="20.25">
      <c r="A13" s="442"/>
      <c r="B13" s="480"/>
      <c r="C13" s="481"/>
      <c r="D13" s="481"/>
      <c r="E13" s="481"/>
      <c r="F13" s="472"/>
      <c r="G13" s="473"/>
    </row>
    <row r="14" spans="1:8" ht="20.25">
      <c r="A14" s="442"/>
      <c r="B14" s="770" t="s">
        <v>321</v>
      </c>
      <c r="C14" s="481"/>
      <c r="D14" s="481"/>
      <c r="E14" s="481"/>
      <c r="F14" s="481"/>
      <c r="G14" s="473"/>
    </row>
    <row r="15" spans="1:8" ht="20.25">
      <c r="A15" s="442"/>
      <c r="B15" s="770" t="s">
        <v>371</v>
      </c>
      <c r="C15" s="481"/>
      <c r="D15" s="481"/>
      <c r="E15" s="481"/>
      <c r="F15" s="481"/>
      <c r="G15" s="473"/>
    </row>
    <row r="16" spans="1:8" ht="20.25">
      <c r="A16" s="442"/>
      <c r="B16" s="770" t="s">
        <v>143</v>
      </c>
      <c r="C16" s="481"/>
      <c r="D16" s="481"/>
      <c r="E16" s="481"/>
      <c r="F16" s="481"/>
      <c r="G16" s="473"/>
      <c r="H16" s="1107" t="s">
        <v>1174</v>
      </c>
    </row>
    <row r="17" spans="1:8" ht="20.25">
      <c r="A17" s="442"/>
      <c r="B17" s="770" t="s">
        <v>947</v>
      </c>
      <c r="C17" s="481"/>
      <c r="D17" s="481"/>
      <c r="E17" s="481"/>
      <c r="F17" s="481"/>
      <c r="G17" s="473"/>
      <c r="H17" s="1108">
        <f ca="1">+NPV</f>
        <v>3.6608541872257175E-7</v>
      </c>
    </row>
    <row r="18" spans="1:8" ht="20.25">
      <c r="A18" s="442"/>
      <c r="B18" s="770" t="s">
        <v>353</v>
      </c>
      <c r="C18" s="481"/>
      <c r="D18" s="481"/>
      <c r="E18" s="481"/>
      <c r="F18" s="481"/>
      <c r="G18" s="473"/>
    </row>
    <row r="19" spans="1:8" ht="20.25">
      <c r="A19" s="442"/>
      <c r="B19" s="770" t="s">
        <v>948</v>
      </c>
      <c r="C19" s="481"/>
      <c r="D19" s="481"/>
      <c r="E19" s="481"/>
      <c r="F19" s="481"/>
      <c r="G19" s="473"/>
    </row>
    <row r="20" spans="1:8" ht="20.25">
      <c r="A20" s="442"/>
      <c r="B20" s="770" t="s">
        <v>949</v>
      </c>
      <c r="C20" s="481"/>
      <c r="D20" s="481"/>
      <c r="E20" s="481"/>
      <c r="F20" s="481"/>
      <c r="G20" s="473"/>
    </row>
    <row r="21" spans="1:8" ht="5.45" customHeight="1">
      <c r="A21" s="442"/>
      <c r="B21" s="769"/>
      <c r="C21" s="481"/>
      <c r="D21" s="737"/>
      <c r="E21" s="737"/>
      <c r="F21" s="472"/>
      <c r="G21" s="473"/>
    </row>
    <row r="22" spans="1:8" ht="5.45" customHeight="1">
      <c r="A22" s="442"/>
      <c r="E22" s="737"/>
      <c r="F22" s="472"/>
      <c r="G22" s="473"/>
    </row>
    <row r="23" spans="1:8" ht="5.45" customHeight="1" thickBot="1">
      <c r="A23" s="442"/>
      <c r="B23" s="480"/>
      <c r="C23" s="481"/>
      <c r="D23" s="737"/>
      <c r="E23" s="737"/>
      <c r="F23" s="472"/>
      <c r="G23" s="473"/>
    </row>
    <row r="24" spans="1:8" ht="31.5" customHeight="1" thickTop="1" thickBot="1">
      <c r="A24" s="442"/>
      <c r="B24" s="474" t="s">
        <v>321</v>
      </c>
      <c r="C24" s="476"/>
      <c r="D24" s="476"/>
      <c r="E24" s="1435" t="s">
        <v>440</v>
      </c>
      <c r="F24" s="1435"/>
      <c r="G24" s="1436"/>
    </row>
    <row r="25" spans="1:8" ht="17.100000000000001" customHeight="1" thickBot="1">
      <c r="A25" s="442" t="s">
        <v>8</v>
      </c>
      <c r="B25" s="302" t="s">
        <v>333</v>
      </c>
      <c r="C25" s="794">
        <v>0.97</v>
      </c>
      <c r="D25" s="448"/>
      <c r="E25" s="1437"/>
      <c r="F25" s="1437"/>
      <c r="G25" s="1438"/>
    </row>
    <row r="26" spans="1:8" ht="17.100000000000001" customHeight="1" thickBot="1">
      <c r="A26" s="442" t="s">
        <v>26</v>
      </c>
      <c r="B26" s="302" t="s">
        <v>334</v>
      </c>
      <c r="C26" s="528">
        <f ca="1">ProcessFlow!E17</f>
        <v>56499.999999999993</v>
      </c>
      <c r="D26" s="448"/>
      <c r="E26" s="1437"/>
      <c r="F26" s="1437"/>
      <c r="G26" s="1438"/>
    </row>
    <row r="27" spans="1:8" ht="17.100000000000001" customHeight="1" thickBot="1">
      <c r="A27" s="442"/>
      <c r="B27" s="302" t="s">
        <v>429</v>
      </c>
      <c r="C27" s="795">
        <f ca="1">design_cap*cap_factor</f>
        <v>54804.999999999993</v>
      </c>
      <c r="D27" s="448"/>
      <c r="E27" s="228"/>
      <c r="F27" s="228"/>
      <c r="G27" s="525"/>
    </row>
    <row r="28" spans="1:8" ht="17.100000000000001" customHeight="1" thickBot="1">
      <c r="A28" s="442" t="s">
        <v>1005</v>
      </c>
      <c r="B28" s="302" t="s">
        <v>20</v>
      </c>
      <c r="C28" s="478">
        <f ca="1">output_kgpday*365</f>
        <v>20003824.999999996</v>
      </c>
      <c r="D28" s="448"/>
      <c r="E28" s="1423"/>
      <c r="F28" s="1437"/>
      <c r="G28" s="1438"/>
    </row>
    <row r="29" spans="1:8" ht="20.100000000000001" customHeight="1" thickTop="1" thickBot="1">
      <c r="A29" s="442"/>
      <c r="B29" s="474" t="s">
        <v>371</v>
      </c>
      <c r="C29" s="476"/>
      <c r="D29" s="479"/>
      <c r="E29" s="1435" t="s">
        <v>1095</v>
      </c>
      <c r="F29" s="1435"/>
      <c r="G29" s="1436"/>
    </row>
    <row r="30" spans="1:8" ht="17.100000000000001" customHeight="1" thickBot="1">
      <c r="A30" s="442" t="s">
        <v>1021</v>
      </c>
      <c r="B30" s="303" t="s">
        <v>1022</v>
      </c>
      <c r="C30" s="1179">
        <v>2016</v>
      </c>
      <c r="D30" s="1383"/>
      <c r="E30" s="1433"/>
      <c r="F30" s="1433"/>
      <c r="G30" s="1422"/>
    </row>
    <row r="31" spans="1:8" ht="17.100000000000001" customHeight="1" thickBot="1">
      <c r="A31" s="442" t="s">
        <v>182</v>
      </c>
      <c r="B31" s="302" t="s">
        <v>372</v>
      </c>
      <c r="C31" s="1179">
        <v>2015</v>
      </c>
      <c r="D31" s="448"/>
      <c r="E31" s="1433"/>
      <c r="F31" s="1433"/>
      <c r="G31" s="1422"/>
    </row>
    <row r="32" spans="1:8" ht="17.100000000000001" customHeight="1" thickBot="1">
      <c r="A32" s="442"/>
      <c r="B32" s="302" t="s">
        <v>837</v>
      </c>
      <c r="C32" s="796">
        <v>2016</v>
      </c>
      <c r="D32" s="1434" t="s">
        <v>1094</v>
      </c>
      <c r="E32" s="924"/>
      <c r="F32" s="924"/>
      <c r="G32" s="925"/>
    </row>
    <row r="33" spans="1:7" ht="17.100000000000001" customHeight="1" thickBot="1">
      <c r="A33" s="442" t="s">
        <v>10</v>
      </c>
      <c r="B33" s="302" t="s">
        <v>373</v>
      </c>
      <c r="C33" s="796">
        <v>1</v>
      </c>
      <c r="D33" s="1434"/>
      <c r="E33" s="1439"/>
      <c r="F33" s="1439"/>
      <c r="G33" s="1440"/>
    </row>
    <row r="34" spans="1:7" ht="17.100000000000001" customHeight="1" thickBot="1">
      <c r="A34" s="442" t="s">
        <v>161</v>
      </c>
      <c r="B34" s="302" t="s">
        <v>941</v>
      </c>
      <c r="C34" s="797">
        <v>1</v>
      </c>
      <c r="D34" s="911"/>
      <c r="E34" s="1433"/>
      <c r="F34" s="1433"/>
      <c r="G34" s="1422"/>
    </row>
    <row r="35" spans="1:7" ht="17.100000000000001" customHeight="1" thickBot="1">
      <c r="A35" s="442" t="s">
        <v>162</v>
      </c>
      <c r="B35" s="302" t="s">
        <v>374</v>
      </c>
      <c r="C35" s="797">
        <v>0</v>
      </c>
      <c r="D35" s="911"/>
      <c r="E35" s="1433"/>
      <c r="F35" s="1433"/>
      <c r="G35" s="1422"/>
    </row>
    <row r="36" spans="1:7" ht="17.100000000000001" customHeight="1" thickBot="1">
      <c r="A36" s="442" t="s">
        <v>163</v>
      </c>
      <c r="B36" s="304" t="s">
        <v>375</v>
      </c>
      <c r="C36" s="797">
        <v>0</v>
      </c>
      <c r="D36" s="911"/>
      <c r="E36" s="1433"/>
      <c r="F36" s="1433"/>
      <c r="G36" s="1422"/>
    </row>
    <row r="37" spans="1:7" ht="17.100000000000001" customHeight="1" thickBot="1">
      <c r="A37" s="442" t="s">
        <v>164</v>
      </c>
      <c r="B37" s="304" t="s">
        <v>322</v>
      </c>
      <c r="C37" s="797"/>
      <c r="D37" s="448"/>
      <c r="E37" s="1433"/>
      <c r="F37" s="1433"/>
      <c r="G37" s="1422"/>
    </row>
    <row r="38" spans="1:7" ht="17.100000000000001" customHeight="1" thickBot="1">
      <c r="A38" s="442" t="s">
        <v>181</v>
      </c>
      <c r="B38" s="302" t="s">
        <v>377</v>
      </c>
      <c r="C38" s="796">
        <v>1</v>
      </c>
      <c r="D38" s="448"/>
      <c r="E38" s="1433"/>
      <c r="F38" s="1433"/>
      <c r="G38" s="1422"/>
    </row>
    <row r="39" spans="1:7" ht="17.100000000000001" customHeight="1" thickBot="1">
      <c r="A39" s="442" t="s">
        <v>170</v>
      </c>
      <c r="B39" s="302" t="s">
        <v>378</v>
      </c>
      <c r="C39" s="796">
        <v>40</v>
      </c>
      <c r="D39" s="448"/>
      <c r="E39" s="1433"/>
      <c r="F39" s="1433"/>
      <c r="G39" s="1422"/>
    </row>
    <row r="40" spans="1:7" ht="17.100000000000001" customHeight="1" thickBot="1">
      <c r="A40" s="442" t="s">
        <v>7</v>
      </c>
      <c r="B40" s="302" t="s">
        <v>379</v>
      </c>
      <c r="C40" s="796">
        <v>40</v>
      </c>
      <c r="D40" s="448"/>
      <c r="E40" s="1433"/>
      <c r="F40" s="1433"/>
      <c r="G40" s="1422"/>
    </row>
    <row r="41" spans="1:7" ht="17.100000000000001" customHeight="1" thickBot="1">
      <c r="A41" s="442" t="s">
        <v>24</v>
      </c>
      <c r="B41" s="302" t="s">
        <v>380</v>
      </c>
      <c r="C41" s="796">
        <v>20</v>
      </c>
      <c r="D41" s="448"/>
      <c r="E41" s="1433"/>
      <c r="F41" s="1433"/>
      <c r="G41" s="1422"/>
    </row>
    <row r="42" spans="1:7" ht="17.100000000000001" customHeight="1" thickBot="1">
      <c r="A42" s="442" t="s">
        <v>25</v>
      </c>
      <c r="B42" s="302" t="s">
        <v>388</v>
      </c>
      <c r="C42" s="1384" t="s">
        <v>437</v>
      </c>
      <c r="D42" s="448"/>
      <c r="E42" s="1433"/>
      <c r="F42" s="1433"/>
      <c r="G42" s="1422"/>
    </row>
    <row r="43" spans="1:7" ht="17.100000000000001" customHeight="1" thickBot="1">
      <c r="A43" s="442" t="s">
        <v>246</v>
      </c>
      <c r="B43" s="302" t="s">
        <v>19</v>
      </c>
      <c r="C43" s="798">
        <v>0.4</v>
      </c>
      <c r="D43" s="448"/>
      <c r="E43" s="1433"/>
      <c r="F43" s="1433"/>
      <c r="G43" s="1422"/>
    </row>
    <row r="44" spans="1:7" ht="17.100000000000001" customHeight="1" thickBot="1">
      <c r="A44" s="442" t="s">
        <v>13</v>
      </c>
      <c r="B44" s="302" t="s">
        <v>387</v>
      </c>
      <c r="C44" s="1339">
        <v>3.6999999999999998E-2</v>
      </c>
      <c r="D44" s="448"/>
      <c r="E44" s="1418"/>
      <c r="F44" s="1433"/>
      <c r="G44" s="1422"/>
    </row>
    <row r="45" spans="1:7" ht="17.100000000000001" customHeight="1" thickBot="1">
      <c r="A45" s="442" t="s">
        <v>14</v>
      </c>
      <c r="B45" s="302" t="s">
        <v>381</v>
      </c>
      <c r="C45" s="1375">
        <v>0</v>
      </c>
      <c r="D45" s="448"/>
      <c r="E45" s="1418" t="s">
        <v>1354</v>
      </c>
      <c r="F45" s="1418"/>
      <c r="G45" s="1408"/>
    </row>
    <row r="46" spans="1:7" ht="17.100000000000001" customHeight="1" thickBot="1">
      <c r="A46" s="442" t="s">
        <v>165</v>
      </c>
      <c r="B46" s="302" t="s">
        <v>382</v>
      </c>
      <c r="C46" s="797">
        <v>0.75</v>
      </c>
      <c r="D46" s="448"/>
      <c r="E46" s="1433"/>
      <c r="F46" s="1433"/>
      <c r="G46" s="1422"/>
    </row>
    <row r="47" spans="1:7" ht="17.100000000000001" customHeight="1" thickBot="1">
      <c r="A47" s="442" t="s">
        <v>167</v>
      </c>
      <c r="B47" s="302" t="s">
        <v>383</v>
      </c>
      <c r="C47" s="797">
        <v>0.5</v>
      </c>
      <c r="D47" s="448"/>
      <c r="E47" s="1433"/>
      <c r="F47" s="1433"/>
      <c r="G47" s="1422"/>
    </row>
    <row r="48" spans="1:7" ht="17.100000000000001" customHeight="1" thickBot="1">
      <c r="A48" s="442" t="s">
        <v>168</v>
      </c>
      <c r="B48" s="302" t="s">
        <v>384</v>
      </c>
      <c r="C48" s="797">
        <v>0.75</v>
      </c>
      <c r="D48" s="448"/>
      <c r="E48" s="1433"/>
      <c r="F48" s="1433"/>
      <c r="G48" s="1422"/>
    </row>
    <row r="49" spans="1:7" ht="17.100000000000001" customHeight="1" thickBot="1">
      <c r="A49" s="442" t="s">
        <v>18</v>
      </c>
      <c r="B49" s="302" t="s">
        <v>385</v>
      </c>
      <c r="C49" s="797">
        <v>0.1</v>
      </c>
      <c r="D49" s="448"/>
      <c r="E49" s="1433"/>
      <c r="F49" s="1433"/>
      <c r="G49" s="1422"/>
    </row>
    <row r="50" spans="1:7" ht="17.100000000000001" customHeight="1" thickBot="1">
      <c r="A50" s="442" t="s">
        <v>178</v>
      </c>
      <c r="B50" s="302" t="s">
        <v>386</v>
      </c>
      <c r="C50" s="797">
        <v>0.1</v>
      </c>
      <c r="D50" s="448"/>
      <c r="E50" s="1433"/>
      <c r="F50" s="1433"/>
      <c r="G50" s="1422"/>
    </row>
    <row r="51" spans="1:7" ht="17.100000000000001" customHeight="1" thickBot="1">
      <c r="A51" s="442" t="s">
        <v>30</v>
      </c>
      <c r="B51" s="302" t="s">
        <v>974</v>
      </c>
      <c r="C51" s="794">
        <v>1.9E-2</v>
      </c>
      <c r="D51" s="448"/>
      <c r="E51" s="1433"/>
      <c r="F51" s="1433"/>
      <c r="G51" s="1422"/>
    </row>
    <row r="52" spans="1:7" ht="17.100000000000001" customHeight="1" thickBot="1">
      <c r="A52" s="442" t="s">
        <v>174</v>
      </c>
      <c r="B52" s="302" t="s">
        <v>1016</v>
      </c>
      <c r="C52" s="794">
        <f ca="1">0.08*sensitivity_03</f>
        <v>0.08</v>
      </c>
      <c r="D52" s="448"/>
      <c r="E52" s="1418"/>
      <c r="F52" s="1433"/>
      <c r="G52" s="1422"/>
    </row>
    <row r="53" spans="1:7" ht="17.100000000000001" customHeight="1" thickBot="1">
      <c r="A53" s="442" t="s">
        <v>184</v>
      </c>
      <c r="B53" s="302" t="s">
        <v>1017</v>
      </c>
      <c r="C53" s="794">
        <v>0.06</v>
      </c>
      <c r="D53" s="448"/>
      <c r="E53" s="1433"/>
      <c r="F53" s="1433"/>
      <c r="G53" s="1422"/>
    </row>
    <row r="54" spans="1:7" ht="17.100000000000001" customHeight="1" thickBot="1">
      <c r="A54" s="442" t="s">
        <v>28</v>
      </c>
      <c r="B54" s="302" t="s">
        <v>973</v>
      </c>
      <c r="C54" s="447">
        <v>0.21</v>
      </c>
      <c r="D54" s="448"/>
      <c r="E54" s="1433"/>
      <c r="F54" s="1433"/>
      <c r="G54" s="1422"/>
    </row>
    <row r="55" spans="1:7" ht="17.100000000000001" customHeight="1" thickBot="1">
      <c r="A55" s="442" t="s">
        <v>1013</v>
      </c>
      <c r="B55" s="302" t="s">
        <v>21</v>
      </c>
      <c r="C55" s="799">
        <f>fed_tax_rate+state_tax_rate*(1-fed_tax_rate)</f>
        <v>0.25739999999999996</v>
      </c>
      <c r="D55" s="448"/>
      <c r="E55" s="1442"/>
      <c r="F55" s="1433"/>
      <c r="G55" s="1422"/>
    </row>
    <row r="56" spans="1:7" ht="17.100000000000001" customHeight="1" thickBot="1">
      <c r="A56" s="442" t="s">
        <v>189</v>
      </c>
      <c r="B56" s="302" t="s">
        <v>370</v>
      </c>
      <c r="C56" s="449">
        <v>0.15</v>
      </c>
      <c r="D56" s="448"/>
      <c r="E56" s="1433"/>
      <c r="F56" s="1433"/>
      <c r="G56" s="1422"/>
    </row>
    <row r="57" spans="1:7" ht="18.75" customHeight="1" thickTop="1">
      <c r="A57" s="442"/>
      <c r="B57" s="482" t="s">
        <v>1039</v>
      </c>
      <c r="C57" s="772"/>
      <c r="D57" s="767"/>
      <c r="E57" s="767"/>
      <c r="F57" s="767"/>
      <c r="G57" s="768"/>
    </row>
    <row r="58" spans="1:7" ht="21" customHeight="1" thickBot="1">
      <c r="A58" s="442"/>
      <c r="B58" s="412" t="s">
        <v>274</v>
      </c>
      <c r="C58" s="466"/>
      <c r="E58" s="33"/>
      <c r="F58" s="33"/>
      <c r="G58" s="413"/>
    </row>
    <row r="59" spans="1:7" ht="23.25" customHeight="1" thickBot="1">
      <c r="A59" s="442"/>
      <c r="B59" s="452" t="s">
        <v>1287</v>
      </c>
      <c r="C59" s="466"/>
      <c r="E59" s="33"/>
      <c r="F59" s="1441" t="s">
        <v>713</v>
      </c>
      <c r="G59" s="413"/>
    </row>
    <row r="60" spans="1:7" ht="18.75" customHeight="1" thickBot="1">
      <c r="A60" s="442"/>
      <c r="B60" s="412" t="s">
        <v>695</v>
      </c>
      <c r="C60" s="33"/>
      <c r="E60" s="33"/>
      <c r="F60" s="1441"/>
      <c r="G60" s="413"/>
    </row>
    <row r="61" spans="1:7" ht="17.100000000000001" customHeight="1" thickBot="1">
      <c r="A61" s="442"/>
      <c r="B61" s="452" t="s">
        <v>1352</v>
      </c>
      <c r="C61" s="414" t="str">
        <f>IF(OR(TMP_FeedType="Feedstock",TMP_FeedType = "Utility")," Enter usage in","Enter production in")</f>
        <v xml:space="preserve"> Enter usage in</v>
      </c>
      <c r="D61" s="414" t="str">
        <f ca="1">VLOOKUP(TMP_FeedName,INDIRECT(TMP_PriceTable),4,FALSE)</f>
        <v>kWh</v>
      </c>
      <c r="E61" s="33"/>
      <c r="F61" s="1441"/>
      <c r="G61" s="413"/>
    </row>
    <row r="62" spans="1:7" ht="17.100000000000001" customHeight="1" thickBot="1">
      <c r="A62" s="442"/>
      <c r="B62" s="412" t="s">
        <v>696</v>
      </c>
      <c r="C62" s="414"/>
      <c r="D62" s="414"/>
      <c r="E62" s="33"/>
      <c r="F62" s="1441"/>
      <c r="G62" s="413"/>
    </row>
    <row r="63" spans="1:7" ht="17.100000000000001" customHeight="1" thickBot="1">
      <c r="A63" s="442"/>
      <c r="B63" s="1109" t="s">
        <v>697</v>
      </c>
      <c r="E63" s="33"/>
      <c r="F63" s="1441"/>
      <c r="G63" s="413"/>
    </row>
    <row r="64" spans="1:7" ht="17.100000000000001" customHeight="1" thickBot="1">
      <c r="A64" s="442"/>
      <c r="B64" s="825"/>
      <c r="E64" s="33"/>
      <c r="F64" s="1441"/>
      <c r="G64" s="413"/>
    </row>
    <row r="65" spans="1:7" ht="37.5" customHeight="1" thickBot="1">
      <c r="A65" s="442"/>
      <c r="B65" s="423" t="str">
        <f>SELECTED_FEED</f>
        <v>utility</v>
      </c>
      <c r="C65" s="519" t="str">
        <f>TMP_FeedName</f>
        <v>Industrial Electricity</v>
      </c>
      <c r="D65" s="520"/>
      <c r="E65" s="416"/>
      <c r="F65" s="1441"/>
      <c r="G65" s="413"/>
    </row>
    <row r="66" spans="1:7" ht="18.95" customHeight="1" thickBot="1">
      <c r="A66" s="442"/>
      <c r="B66" s="424" t="str">
        <f ca="1">"Price Conversion Factor (GJ/"&amp;TMP_Units&amp;")"</f>
        <v>Price Conversion Factor (GJ/kWh)</v>
      </c>
      <c r="C66" s="435">
        <f ca="1">VLOOKUP(TMP_FeedName,MASTER_PROPERTY_TABLE,9,FALSE)</f>
        <v>3.5999999999999995E-3</v>
      </c>
      <c r="D66" s="417"/>
      <c r="E66" s="416"/>
      <c r="F66" s="1441"/>
      <c r="G66" s="413"/>
    </row>
    <row r="67" spans="1:7" ht="18.95" customHeight="1" thickBot="1">
      <c r="A67" s="442"/>
      <c r="B67" s="776" t="str">
        <f ca="1">"Price in Startup Year ($" &amp; ref_year &amp; ")/" &amp; TMP_Units</f>
        <v>Price in Startup Year ($2016)/kWh</v>
      </c>
      <c r="C67" s="1180">
        <f ca="1">HLOOKUP(startup_year,INDIRECT(TMP_PriceTable),MATCH(TMP_FeedName,INDIRECT(Energy_Feed_List),0),FALSE)*TMP_Conversion</f>
        <v>6.9980611257164108E-2</v>
      </c>
      <c r="D67" s="418"/>
      <c r="E67" s="419"/>
      <c r="F67" s="1441"/>
      <c r="G67" s="413"/>
    </row>
    <row r="68" spans="1:7" ht="18.95" customHeight="1" thickBot="1">
      <c r="A68" s="442"/>
      <c r="B68" s="424" t="str">
        <f ca="1">IF(OR(TMP_FeedType="Feedstock",TMP_FeedType = "Utility"),"Usage ("&amp;TMP_Units&amp;"/kg H2)","Production ("&amp;TMP_Units&amp;"/kg H2)")</f>
        <v>Usage (kWh/kg H2)</v>
      </c>
      <c r="C68" s="842">
        <v>55.5</v>
      </c>
      <c r="D68" s="419"/>
      <c r="E68" s="416"/>
      <c r="F68" s="1441"/>
      <c r="G68" s="413"/>
    </row>
    <row r="69" spans="1:7" ht="18.95" customHeight="1" thickBot="1">
      <c r="A69" s="442"/>
      <c r="B69" s="425" t="str">
        <f>IF(OR(TMP_FeedType = "Feedstock",TMP_FeedType = "Utility"), "Cost in Startup Year","Income in Startup Year")</f>
        <v>Cost in Startup Year</v>
      </c>
      <c r="C69" s="440">
        <f ca="1">design_cap*365*cap_factor*TMP_Usage*TMP_StartPrice</f>
        <v>77693334.504464403</v>
      </c>
      <c r="D69" s="417"/>
      <c r="E69" s="416"/>
      <c r="F69" s="33"/>
      <c r="G69" s="413"/>
    </row>
    <row r="70" spans="1:7" ht="18.95" customHeight="1" thickBot="1">
      <c r="A70" s="442"/>
      <c r="B70" s="424" t="s">
        <v>261</v>
      </c>
      <c r="C70" s="434" t="s">
        <v>710</v>
      </c>
      <c r="D70" s="417"/>
      <c r="E70" s="416"/>
      <c r="F70" s="33"/>
      <c r="G70" s="413"/>
    </row>
    <row r="71" spans="1:7" ht="18.95" customHeight="1">
      <c r="B71" s="838"/>
      <c r="C71" s="839"/>
      <c r="D71" s="417"/>
      <c r="E71" s="416"/>
      <c r="F71" s="33"/>
      <c r="G71" s="413"/>
    </row>
    <row r="72" spans="1:7" ht="27" customHeight="1" thickBot="1">
      <c r="A72" s="443"/>
      <c r="B72" s="840" t="s">
        <v>714</v>
      </c>
      <c r="C72" s="421"/>
      <c r="D72" s="421"/>
      <c r="E72" s="421"/>
      <c r="F72" s="421"/>
      <c r="G72" s="422"/>
    </row>
    <row r="73" spans="1:7" ht="27.95" customHeight="1">
      <c r="A73" s="443" t="s">
        <v>15</v>
      </c>
      <c r="B73" s="436"/>
      <c r="C73" s="437"/>
      <c r="D73" s="437"/>
      <c r="E73" s="437"/>
      <c r="F73" s="438"/>
      <c r="G73" s="439"/>
    </row>
    <row r="74" spans="1:7" ht="27.95" customHeight="1">
      <c r="A74" s="443" t="s">
        <v>15</v>
      </c>
      <c r="B74" s="436"/>
      <c r="C74" s="437"/>
      <c r="D74" s="437"/>
      <c r="E74" s="437"/>
      <c r="F74" s="438"/>
      <c r="G74" s="439"/>
    </row>
    <row r="75" spans="1:7" ht="27.95" customHeight="1">
      <c r="A75" s="443"/>
      <c r="B75" s="436" t="s">
        <v>1352</v>
      </c>
      <c r="C75" s="437" t="s">
        <v>1419</v>
      </c>
      <c r="D75" s="437" t="s">
        <v>1420</v>
      </c>
      <c r="E75" s="437" t="s">
        <v>1421</v>
      </c>
      <c r="F75" s="438" t="s">
        <v>1422</v>
      </c>
      <c r="G75" s="439" t="s">
        <v>261</v>
      </c>
    </row>
    <row r="76" spans="1:7" ht="27.95" customHeight="1">
      <c r="A76" s="443"/>
      <c r="B76" s="436" t="s">
        <v>697</v>
      </c>
      <c r="C76" s="437">
        <v>3.5999999999999995E-3</v>
      </c>
      <c r="D76" s="437">
        <v>6.9980611257164108E-2</v>
      </c>
      <c r="E76" s="437">
        <v>55.5</v>
      </c>
      <c r="F76" s="438">
        <v>77693334.504464403</v>
      </c>
      <c r="G76" s="439" t="s">
        <v>710</v>
      </c>
    </row>
    <row r="77" spans="1:7" ht="27.95" customHeight="1">
      <c r="A77" s="442" t="s">
        <v>272</v>
      </c>
      <c r="B77" s="436"/>
      <c r="C77" s="437"/>
      <c r="D77" s="437"/>
      <c r="E77" s="437"/>
      <c r="F77" s="438"/>
      <c r="G77" s="439"/>
    </row>
    <row r="78" spans="1:7" ht="27.95" customHeight="1">
      <c r="A78" s="444" t="s">
        <v>273</v>
      </c>
      <c r="B78" s="437"/>
      <c r="C78" s="437"/>
      <c r="D78" s="437"/>
      <c r="E78" s="437"/>
      <c r="F78" s="438"/>
      <c r="G78" s="439"/>
    </row>
    <row r="79" spans="1:7" ht="17.100000000000001" customHeight="1" thickBot="1">
      <c r="A79" s="444"/>
      <c r="B79" s="300"/>
      <c r="C79" s="300"/>
      <c r="D79" s="312"/>
      <c r="E79" s="312"/>
      <c r="F79" s="309" t="s">
        <v>58</v>
      </c>
      <c r="G79" s="311"/>
    </row>
    <row r="80" spans="1:7" ht="17.100000000000001" customHeight="1" thickBot="1">
      <c r="A80" s="442" t="s">
        <v>250</v>
      </c>
      <c r="B80" s="313" t="s">
        <v>276</v>
      </c>
      <c r="C80" s="309"/>
      <c r="D80" s="312"/>
      <c r="E80" s="312"/>
      <c r="F80" s="231">
        <f>SUM(Dynamic_Feed_Total)</f>
        <v>0</v>
      </c>
      <c r="G80" s="311"/>
    </row>
    <row r="81" spans="1:8" ht="17.100000000000001" customHeight="1" thickBot="1">
      <c r="A81" s="442" t="s">
        <v>251</v>
      </c>
      <c r="B81" s="313" t="s">
        <v>277</v>
      </c>
      <c r="C81" s="309"/>
      <c r="D81" s="312"/>
      <c r="E81" s="312"/>
      <c r="F81" s="231">
        <f>SUM(Dynamic_Utilities_Total)</f>
        <v>77693334.504464403</v>
      </c>
      <c r="G81" s="311"/>
    </row>
    <row r="82" spans="1:8" ht="17.100000000000001" customHeight="1" thickBot="1">
      <c r="A82" s="442" t="s">
        <v>255</v>
      </c>
      <c r="B82" s="305" t="s">
        <v>275</v>
      </c>
      <c r="C82" s="309"/>
      <c r="D82" s="312"/>
      <c r="E82" s="312"/>
      <c r="F82" s="231">
        <f>SUM(Dynamic_Byproduct_Total)</f>
        <v>0</v>
      </c>
      <c r="G82" s="311"/>
    </row>
    <row r="83" spans="1:8" ht="38.25" customHeight="1">
      <c r="A83" s="442"/>
      <c r="B83" s="305"/>
      <c r="C83" s="300"/>
      <c r="D83" s="773" t="s">
        <v>316</v>
      </c>
      <c r="E83" s="1437"/>
      <c r="F83" s="1437"/>
      <c r="G83" s="1438"/>
    </row>
    <row r="84" spans="1:8" ht="28.5" customHeight="1" thickBot="1">
      <c r="A84" s="442"/>
      <c r="B84" s="305"/>
      <c r="C84" s="300"/>
      <c r="E84" s="1443"/>
      <c r="F84" s="1443"/>
      <c r="G84" s="1444"/>
    </row>
    <row r="85" spans="1:8" ht="17.100000000000001" customHeight="1" thickTop="1" thickBot="1">
      <c r="A85" s="442"/>
      <c r="B85" s="474" t="s">
        <v>83</v>
      </c>
      <c r="C85" s="475"/>
      <c r="D85" s="475"/>
      <c r="E85" s="1435" t="s">
        <v>440</v>
      </c>
      <c r="F85" s="1435"/>
      <c r="G85" s="1436"/>
    </row>
    <row r="86" spans="1:8" ht="20.100000000000001" customHeight="1" thickBot="1">
      <c r="A86" s="442" t="s">
        <v>245</v>
      </c>
      <c r="B86" s="307" t="s">
        <v>335</v>
      </c>
      <c r="C86" s="229">
        <f ca="1">Det_scaled_cap</f>
        <v>60676256.000000007</v>
      </c>
      <c r="D86" s="448"/>
      <c r="E86" s="1416" t="s">
        <v>530</v>
      </c>
      <c r="F86" s="1416"/>
      <c r="G86" s="1417"/>
    </row>
    <row r="87" spans="1:8" ht="28.9" customHeight="1" thickBot="1">
      <c r="A87" s="442"/>
      <c r="B87" s="307" t="s">
        <v>999</v>
      </c>
      <c r="C87" s="1186">
        <f>Det_CO2_seq</f>
        <v>0</v>
      </c>
      <c r="D87" s="448"/>
      <c r="E87" s="1416" t="s">
        <v>839</v>
      </c>
      <c r="F87" s="1416"/>
      <c r="G87" s="1417"/>
    </row>
    <row r="88" spans="1:8" ht="21.75" customHeight="1">
      <c r="A88" s="442"/>
      <c r="B88" s="307"/>
      <c r="C88"/>
      <c r="D88"/>
      <c r="E88"/>
      <c r="F88"/>
      <c r="G88" s="427"/>
    </row>
    <row r="89" spans="1:8" ht="45.75" customHeight="1" thickBot="1">
      <c r="A89" s="442"/>
      <c r="B89" s="307" t="s">
        <v>336</v>
      </c>
      <c r="C89" s="822" t="str">
        <f>"Enter values in basis year (" &amp; BasisYear &amp; ") dollars"</f>
        <v>Enter values in basis year (2016) dollars</v>
      </c>
      <c r="D89" s="822" t="s">
        <v>840</v>
      </c>
      <c r="E89" s="822" t="str">
        <f xml:space="preserve"> "Reference Year ("&amp; ref_year &amp; ") Dollars"</f>
        <v>Reference Year (2016) Dollars</v>
      </c>
      <c r="F89"/>
      <c r="G89" s="427"/>
      <c r="H89" s="33"/>
    </row>
    <row r="90" spans="1:8" ht="17.100000000000001" customHeight="1">
      <c r="A90" s="442" t="s">
        <v>179</v>
      </c>
      <c r="B90" s="303" t="s">
        <v>711</v>
      </c>
      <c r="C90" s="935">
        <f ca="1">0.02*(direct_cap+CO2_seq)/(CEPCIinflator*CPIinflator)</f>
        <v>1213525.1200000001</v>
      </c>
      <c r="D90" s="955">
        <f t="shared" ref="D90:D96" si="0">CEPCIinflator*CPIinflator</f>
        <v>1</v>
      </c>
      <c r="E90" s="937">
        <f ca="1">C90*D90</f>
        <v>1213525.1200000001</v>
      </c>
      <c r="F90" s="923"/>
      <c r="G90" s="926"/>
    </row>
    <row r="91" spans="1:8" ht="29.25" customHeight="1">
      <c r="A91" s="442" t="s">
        <v>27</v>
      </c>
      <c r="B91" s="302" t="s">
        <v>337</v>
      </c>
      <c r="C91" s="938">
        <f ca="1">0.1*(direct_cap+CO2_seq)/(CEPCIinflator*CPIinflator)</f>
        <v>6067625.6000000015</v>
      </c>
      <c r="D91" s="956">
        <f t="shared" si="0"/>
        <v>1</v>
      </c>
      <c r="E91" s="940">
        <f t="shared" ref="E91:E96" ca="1" si="1">C91*D91</f>
        <v>6067625.6000000015</v>
      </c>
      <c r="F91" s="923"/>
      <c r="G91" s="926"/>
    </row>
    <row r="92" spans="1:8" ht="17.100000000000001" customHeight="1">
      <c r="A92" s="442" t="s">
        <v>171</v>
      </c>
      <c r="B92" s="302" t="s">
        <v>346</v>
      </c>
      <c r="C92" s="938"/>
      <c r="D92" s="956">
        <f t="shared" si="0"/>
        <v>1</v>
      </c>
      <c r="E92" s="940">
        <f t="shared" si="1"/>
        <v>0</v>
      </c>
      <c r="F92" s="923"/>
      <c r="G92" s="926"/>
      <c r="H92" s="33"/>
    </row>
    <row r="93" spans="1:8" ht="17.100000000000001" customHeight="1">
      <c r="A93" s="442" t="s">
        <v>173</v>
      </c>
      <c r="B93" s="302" t="s">
        <v>347</v>
      </c>
      <c r="C93" s="938">
        <f ca="1">0.15*(direct_cap+CO2_seq)/(CEPCIinflator*CPIinflator)</f>
        <v>9101438.4000000004</v>
      </c>
      <c r="D93" s="956">
        <f t="shared" si="0"/>
        <v>1</v>
      </c>
      <c r="E93" s="940">
        <f t="shared" ca="1" si="1"/>
        <v>9101438.4000000004</v>
      </c>
      <c r="F93" s="923"/>
      <c r="G93" s="926"/>
      <c r="H93" s="33"/>
    </row>
    <row r="94" spans="1:8" ht="31.5" customHeight="1">
      <c r="A94" s="442" t="s">
        <v>159</v>
      </c>
      <c r="B94" s="302" t="s">
        <v>349</v>
      </c>
      <c r="C94" s="938"/>
      <c r="D94" s="956">
        <f t="shared" si="0"/>
        <v>1</v>
      </c>
      <c r="E94" s="940">
        <f t="shared" si="1"/>
        <v>0</v>
      </c>
      <c r="F94" s="923"/>
      <c r="G94" s="926"/>
    </row>
    <row r="95" spans="1:8" ht="17.100000000000001" customHeight="1">
      <c r="A95" s="442" t="s">
        <v>29</v>
      </c>
      <c r="B95" s="302" t="s">
        <v>348</v>
      </c>
      <c r="C95" s="938"/>
      <c r="D95" s="956">
        <f t="shared" si="0"/>
        <v>1</v>
      </c>
      <c r="E95" s="940">
        <f t="shared" si="1"/>
        <v>0</v>
      </c>
      <c r="F95" s="923"/>
      <c r="G95" s="926"/>
    </row>
    <row r="96" spans="1:8" ht="21.75" customHeight="1" thickBot="1">
      <c r="A96" s="442" t="s">
        <v>169</v>
      </c>
      <c r="B96" s="303" t="s">
        <v>712</v>
      </c>
      <c r="C96" s="941">
        <f ca="1">0.15*(direct_cap+CO2_seq)/(CEPCIinflator*CPIinflator)</f>
        <v>9101438.4000000004</v>
      </c>
      <c r="D96" s="957">
        <f t="shared" si="0"/>
        <v>1</v>
      </c>
      <c r="E96" s="942">
        <f t="shared" ca="1" si="1"/>
        <v>9101438.4000000004</v>
      </c>
      <c r="F96" s="923"/>
      <c r="G96" s="926"/>
    </row>
    <row r="97" spans="1:7" ht="20.100000000000001" customHeight="1" thickBot="1">
      <c r="A97" s="442" t="s">
        <v>1006</v>
      </c>
      <c r="B97" s="307" t="s">
        <v>975</v>
      </c>
      <c r="C97"/>
      <c r="E97" s="800">
        <f ca="1">direct_cap+CO2_seq+SUM($E$90:$E$96)</f>
        <v>86160283.520000011</v>
      </c>
      <c r="F97" s="927"/>
      <c r="G97" s="928"/>
    </row>
    <row r="98" spans="1:7">
      <c r="A98" s="442"/>
      <c r="B98" s="302"/>
      <c r="C98" s="300"/>
      <c r="D98" s="1414" t="s">
        <v>840</v>
      </c>
      <c r="E98"/>
      <c r="F98" s="451"/>
      <c r="G98" s="450"/>
    </row>
    <row r="99" spans="1:7" ht="30.75" customHeight="1" thickBot="1">
      <c r="A99" s="442"/>
      <c r="B99" s="307" t="s">
        <v>350</v>
      </c>
      <c r="C99" s="822" t="str">
        <f>"Enter values in basis year (" &amp; BasisYear &amp; ") dollars"</f>
        <v>Enter values in basis year (2016) dollars</v>
      </c>
      <c r="D99" s="1415"/>
      <c r="E99" s="822" t="str">
        <f xml:space="preserve"> "Reference Year ("&amp; ref_year &amp; ") Dollars"</f>
        <v>Reference Year (2016) Dollars</v>
      </c>
      <c r="F99" s="451"/>
      <c r="G99" s="450"/>
    </row>
    <row r="100" spans="1:7" ht="27.75" customHeight="1" thickBot="1">
      <c r="A100" s="442" t="s">
        <v>1089</v>
      </c>
      <c r="B100" s="302" t="s">
        <v>351</v>
      </c>
      <c r="C100" s="935">
        <v>50000</v>
      </c>
      <c r="D100" s="955">
        <f>CPIinflator</f>
        <v>1</v>
      </c>
      <c r="E100" s="920">
        <f>C100*D100</f>
        <v>50000</v>
      </c>
      <c r="F100" s="451"/>
      <c r="G100" s="450"/>
    </row>
    <row r="101" spans="1:7" ht="25.5" customHeight="1" thickBot="1">
      <c r="A101" s="442" t="s">
        <v>1090</v>
      </c>
      <c r="B101" s="302" t="s">
        <v>352</v>
      </c>
      <c r="C101" s="944">
        <v>5</v>
      </c>
      <c r="D101" s="939">
        <f ca="1">Scale_Factor *1</f>
        <v>1</v>
      </c>
      <c r="E101" s="917">
        <f ca="1">C101*D101</f>
        <v>5</v>
      </c>
      <c r="F101" s="451"/>
      <c r="G101" s="450"/>
    </row>
    <row r="102" spans="1:7" ht="27" customHeight="1" thickBot="1">
      <c r="A102" s="442" t="s">
        <v>1007</v>
      </c>
      <c r="B102" s="302" t="s">
        <v>976</v>
      </c>
      <c r="C102" s="945"/>
      <c r="D102" s="945"/>
      <c r="E102" s="800">
        <f ca="1">acre_cost*acres</f>
        <v>250000</v>
      </c>
      <c r="F102" s="451"/>
      <c r="G102" s="450"/>
    </row>
    <row r="103" spans="1:7" ht="17.100000000000001" customHeight="1" thickBot="1">
      <c r="A103" s="442"/>
      <c r="B103" s="302" t="s">
        <v>1008</v>
      </c>
      <c r="C103" s="935"/>
      <c r="D103" s="955">
        <f>CPIinflator</f>
        <v>1</v>
      </c>
      <c r="E103" s="800">
        <f>C103*D103</f>
        <v>0</v>
      </c>
      <c r="F103" s="927"/>
      <c r="G103" s="928"/>
    </row>
    <row r="104" spans="1:7" ht="20.100000000000001" customHeight="1" thickBot="1">
      <c r="A104" s="442" t="s">
        <v>1014</v>
      </c>
      <c r="B104" s="307" t="s">
        <v>977</v>
      </c>
      <c r="C104" s="945"/>
      <c r="D104" s="945"/>
      <c r="E104" s="230">
        <f ca="1">land_cost+$E$103</f>
        <v>250000</v>
      </c>
      <c r="F104" s="451"/>
      <c r="G104" s="450"/>
    </row>
    <row r="105" spans="1:7" ht="13.5" thickBot="1">
      <c r="A105" s="442"/>
      <c r="B105" s="302"/>
      <c r="C105" s="300"/>
      <c r="D105" s="945"/>
      <c r="E105" s="451"/>
      <c r="F105" s="451"/>
      <c r="G105" s="450"/>
    </row>
    <row r="106" spans="1:7" ht="20.100000000000001" customHeight="1" thickBot="1">
      <c r="A106" s="442" t="s">
        <v>1015</v>
      </c>
      <c r="B106" s="307" t="s">
        <v>991</v>
      </c>
      <c r="C106" s="229">
        <f ca="1">(depr_cap+non_dep_cap)*sensitivity_06</f>
        <v>86410283.520000011</v>
      </c>
      <c r="D106" s="945"/>
      <c r="E106" s="943"/>
      <c r="F106" s="451"/>
      <c r="G106" s="450"/>
    </row>
    <row r="107" spans="1:7" ht="13.5" thickBot="1">
      <c r="A107" s="442"/>
      <c r="B107" s="302"/>
      <c r="C107" s="300"/>
      <c r="D107" s="945"/>
      <c r="E107" s="451"/>
      <c r="F107" s="451"/>
      <c r="G107" s="450"/>
    </row>
    <row r="108" spans="1:7" ht="44.25" customHeight="1" thickTop="1" thickBot="1">
      <c r="A108" s="442"/>
      <c r="B108" s="474" t="s">
        <v>353</v>
      </c>
      <c r="C108" s="952" t="str">
        <f>"Enter values in basis year (" &amp; BasisYear &amp; ") dollars"</f>
        <v>Enter values in basis year (2016) dollars</v>
      </c>
      <c r="D108" s="952" t="s">
        <v>840</v>
      </c>
      <c r="E108" s="952" t="str">
        <f xml:space="preserve"> "Reference Year ("&amp; ref_year &amp; ") Dollars"</f>
        <v>Reference Year (2016) Dollars</v>
      </c>
      <c r="F108" s="475"/>
      <c r="G108" s="477"/>
    </row>
    <row r="109" spans="1:7" s="33" customFormat="1" ht="29.25" customHeight="1" thickBot="1">
      <c r="A109" s="442" t="s">
        <v>1018</v>
      </c>
      <c r="B109" s="303" t="s">
        <v>354</v>
      </c>
      <c r="C109" s="949">
        <v>10</v>
      </c>
      <c r="D109" s="936">
        <f ca="1">Scale_Ratio^0.25</f>
        <v>1</v>
      </c>
      <c r="E109" s="950">
        <f ca="1">C109*D109</f>
        <v>10</v>
      </c>
      <c r="F109" s="929"/>
      <c r="G109" s="947"/>
    </row>
    <row r="110" spans="1:7" s="33" customFormat="1" ht="17.25" customHeight="1" thickBot="1">
      <c r="A110" s="442" t="s">
        <v>1019</v>
      </c>
      <c r="B110" s="303" t="s">
        <v>355</v>
      </c>
      <c r="C110" s="935">
        <v>50</v>
      </c>
      <c r="D110" s="955">
        <f>VLOOKUP(ref_year,Tbl_labor_indexes,2,FALSE)/VLOOKUP(BasisYear,Tbl_labor_indexes,2,FALSE)</f>
        <v>1</v>
      </c>
      <c r="E110" s="922">
        <f>C110*D110</f>
        <v>50</v>
      </c>
      <c r="F110" s="929"/>
      <c r="G110" s="947"/>
    </row>
    <row r="111" spans="1:7" s="33" customFormat="1" ht="17.100000000000001" customHeight="1" thickBot="1">
      <c r="A111" s="442" t="s">
        <v>1009</v>
      </c>
      <c r="B111" s="303" t="s">
        <v>992</v>
      </c>
      <c r="C111" s="945"/>
      <c r="D111" s="945"/>
      <c r="E111" s="801">
        <f ca="1">FTEs*2080*FTE_cost</f>
        <v>1040000</v>
      </c>
      <c r="F111" s="929"/>
      <c r="G111" s="947"/>
    </row>
    <row r="112" spans="1:7" s="33" customFormat="1" ht="17.100000000000001" customHeight="1" thickBot="1">
      <c r="A112" s="442" t="s">
        <v>160</v>
      </c>
      <c r="B112" s="303" t="s">
        <v>356</v>
      </c>
      <c r="C112" s="453">
        <v>0.2</v>
      </c>
      <c r="D112" s="945"/>
      <c r="F112" s="929"/>
      <c r="G112" s="947"/>
    </row>
    <row r="113" spans="1:8" s="33" customFormat="1" ht="17.100000000000001" customHeight="1" thickBot="1">
      <c r="A113" s="442" t="s">
        <v>1012</v>
      </c>
      <c r="B113" s="303" t="s">
        <v>985</v>
      </c>
      <c r="C113" s="945"/>
      <c r="D113" s="945"/>
      <c r="E113" s="913">
        <f ca="1">labor_cost*overhead_rate</f>
        <v>208000</v>
      </c>
      <c r="F113" s="929"/>
      <c r="G113" s="947"/>
    </row>
    <row r="114" spans="1:8" s="33" customFormat="1" ht="17.100000000000001" customHeight="1" thickBot="1">
      <c r="A114" s="442" t="s">
        <v>31</v>
      </c>
      <c r="B114" s="303" t="s">
        <v>357</v>
      </c>
      <c r="C114" s="935">
        <v>0</v>
      </c>
      <c r="D114" s="955">
        <f ca="1">Scale_Factor *CEPCIinflator*CPIinflator</f>
        <v>1</v>
      </c>
      <c r="E114" s="918">
        <f ca="1">C114*D114</f>
        <v>0</v>
      </c>
      <c r="F114" s="929"/>
      <c r="G114" s="947"/>
    </row>
    <row r="115" spans="1:8" s="33" customFormat="1" ht="26.25" customHeight="1" thickBot="1">
      <c r="A115" s="442" t="s">
        <v>186</v>
      </c>
      <c r="B115" s="303" t="s">
        <v>1093</v>
      </c>
      <c r="C115" s="919">
        <v>0.02</v>
      </c>
      <c r="D115" s="958"/>
      <c r="F115" s="929"/>
      <c r="G115" s="947"/>
    </row>
    <row r="116" spans="1:8" s="33" customFormat="1" ht="17.100000000000001" customHeight="1" thickBot="1">
      <c r="A116" s="442" t="s">
        <v>1010</v>
      </c>
      <c r="B116" s="302" t="s">
        <v>990</v>
      </c>
      <c r="C116" s="945"/>
      <c r="D116" s="958"/>
      <c r="E116" s="833">
        <f ca="1">tax_ins_rate*total_cap</f>
        <v>1728205.6704000002</v>
      </c>
      <c r="F116" s="929"/>
      <c r="G116" s="947"/>
    </row>
    <row r="117" spans="1:8" s="33" customFormat="1" ht="17.100000000000001" customHeight="1" thickBot="1">
      <c r="A117" s="442" t="s">
        <v>175</v>
      </c>
      <c r="B117" s="302" t="s">
        <v>358</v>
      </c>
      <c r="C117" s="935">
        <v>0</v>
      </c>
      <c r="D117" s="955">
        <f ca="1">Scale_Factor *CPIinflator</f>
        <v>1</v>
      </c>
      <c r="E117" s="920">
        <f ca="1">C117*D117</f>
        <v>0</v>
      </c>
      <c r="F117" s="929"/>
      <c r="G117" s="947"/>
    </row>
    <row r="118" spans="1:8" s="33" customFormat="1" ht="27" customHeight="1" thickBot="1">
      <c r="A118" s="442" t="s">
        <v>1020</v>
      </c>
      <c r="B118" s="303" t="s">
        <v>359</v>
      </c>
      <c r="C118" s="935">
        <f ca="1">0.03*direct_cap/(CEPCIinflator*CPIinflator)</f>
        <v>1820287.6800000002</v>
      </c>
      <c r="D118" s="955">
        <f ca="1">Scale_Factor *CEPCIinflator*CPIinflator</f>
        <v>1</v>
      </c>
      <c r="E118" s="921">
        <f ca="1">C118*D118</f>
        <v>1820287.6800000002</v>
      </c>
      <c r="F118" s="929"/>
      <c r="G118" s="947"/>
      <c r="H118" s="774"/>
    </row>
    <row r="119" spans="1:8" s="33" customFormat="1" ht="17.100000000000001" customHeight="1" thickBot="1">
      <c r="A119" s="442" t="s">
        <v>172</v>
      </c>
      <c r="B119" s="303" t="s">
        <v>360</v>
      </c>
      <c r="C119" s="935">
        <v>0</v>
      </c>
      <c r="D119" s="955">
        <f ca="1">Scale_Factor *CEPCIinflator*CPIinflator</f>
        <v>1</v>
      </c>
      <c r="E119" s="914">
        <f ca="1">C119*D119</f>
        <v>0</v>
      </c>
      <c r="F119" s="929"/>
      <c r="G119" s="947"/>
    </row>
    <row r="120" spans="1:8" s="33" customFormat="1" ht="17.100000000000001" customHeight="1" thickBot="1">
      <c r="A120" s="442" t="s">
        <v>157</v>
      </c>
      <c r="B120" s="302" t="s">
        <v>361</v>
      </c>
      <c r="C120" s="935">
        <v>0</v>
      </c>
      <c r="D120" s="955">
        <f ca="1">Scale_Ratio * CEPCIinflator*CPIinflator</f>
        <v>1</v>
      </c>
      <c r="E120" s="485">
        <f ca="1">C120*D120</f>
        <v>0</v>
      </c>
      <c r="F120" s="929"/>
      <c r="G120" s="947"/>
    </row>
    <row r="121" spans="1:8" s="33" customFormat="1" ht="17.100000000000001" customHeight="1" thickBot="1">
      <c r="A121" s="442" t="s">
        <v>158</v>
      </c>
      <c r="B121" s="302" t="s">
        <v>362</v>
      </c>
      <c r="C121" s="935">
        <v>0</v>
      </c>
      <c r="D121" s="955">
        <f ca="1">Scale_Factor *CEPCIinflator*CPIinflator</f>
        <v>1</v>
      </c>
      <c r="E121" s="230">
        <f ca="1">C121*D121</f>
        <v>0</v>
      </c>
      <c r="F121" s="929"/>
      <c r="G121" s="947"/>
    </row>
    <row r="122" spans="1:8" s="33" customFormat="1" ht="24" customHeight="1" thickBot="1">
      <c r="A122" s="442" t="s">
        <v>1011</v>
      </c>
      <c r="B122" s="307" t="s">
        <v>993</v>
      </c>
      <c r="C122" s="945"/>
      <c r="D122" s="945"/>
      <c r="E122" s="800">
        <f ca="1">(labor_cost+overhead_GA+tax_insurance+licensing+SUM(E117:E121))*sensitivity_07</f>
        <v>4796493.3504000008</v>
      </c>
      <c r="F122" s="946"/>
      <c r="G122" s="948"/>
    </row>
    <row r="123" spans="1:8" s="33" customFormat="1" ht="13.5" thickBot="1">
      <c r="A123" s="442"/>
      <c r="B123" s="303"/>
      <c r="C123" s="306"/>
      <c r="D123" s="488"/>
      <c r="E123" s="300"/>
      <c r="F123" s="300"/>
      <c r="G123" s="301"/>
    </row>
    <row r="124" spans="1:8" s="33" customFormat="1" ht="26.25" customHeight="1" thickTop="1" thickBot="1">
      <c r="A124" s="442"/>
      <c r="B124" s="467" t="s">
        <v>944</v>
      </c>
      <c r="C124" s="468"/>
      <c r="D124" s="469"/>
      <c r="E124" s="470"/>
      <c r="F124" s="469"/>
      <c r="G124" s="471"/>
    </row>
    <row r="125" spans="1:8" customFormat="1" ht="15" customHeight="1" thickTop="1">
      <c r="A125" s="442"/>
      <c r="B125" s="482" t="s">
        <v>1040</v>
      </c>
      <c r="C125" s="483"/>
      <c r="D125" s="483"/>
      <c r="E125" s="483"/>
      <c r="F125" s="483"/>
      <c r="G125" s="484"/>
    </row>
    <row r="126" spans="1:8" customFormat="1" ht="15" customHeight="1">
      <c r="A126" s="442"/>
      <c r="B126" s="428"/>
      <c r="C126" s="426"/>
      <c r="D126" s="426"/>
      <c r="E126" s="426"/>
      <c r="F126" s="426"/>
      <c r="G126" s="427"/>
    </row>
    <row r="127" spans="1:8" customFormat="1" ht="24" customHeight="1" thickBot="1">
      <c r="A127" s="442"/>
      <c r="B127" s="412" t="s">
        <v>1047</v>
      </c>
      <c r="C127" s="426"/>
      <c r="D127" s="426"/>
      <c r="E127" s="426"/>
      <c r="F127" s="426"/>
      <c r="G127" s="427"/>
    </row>
    <row r="128" spans="1:8" customFormat="1" ht="24" customHeight="1" thickBot="1">
      <c r="A128" s="442"/>
      <c r="B128" s="452" t="s">
        <v>1043</v>
      </c>
      <c r="C128" s="426"/>
      <c r="D128" s="426"/>
      <c r="E128" s="426"/>
      <c r="F128" s="426"/>
      <c r="G128" s="427"/>
    </row>
    <row r="129" spans="1:7" customFormat="1" ht="24" customHeight="1" thickBot="1">
      <c r="A129" s="442"/>
      <c r="B129" s="432" t="s">
        <v>1068</v>
      </c>
      <c r="C129" s="1410" t="str">
        <f>B128</f>
        <v>Process Water</v>
      </c>
      <c r="D129" s="1411"/>
      <c r="E129" s="426"/>
      <c r="F129" s="426"/>
      <c r="G129" s="427"/>
    </row>
    <row r="130" spans="1:7" customFormat="1" ht="18.75" customHeight="1" thickBot="1">
      <c r="A130" s="442"/>
      <c r="B130" s="415" t="str">
        <f ca="1">"$(" &amp; ref_year &amp; ")/ " &amp; VLOOKUP(TMP_NonE_Feed,Tbl_Other_Inputs_and_Byproducts,2,FALSE)</f>
        <v>$(2016)/ gal</v>
      </c>
      <c r="C130" s="457">
        <f ca="1">HLOOKUP(startup_year,Tbl_Other_Inputs_and_Byproducts,MATCH(TMP_NonE_Feed,Other_Inputs_List,0),FALSE)</f>
        <v>2.374951094500801E-3</v>
      </c>
      <c r="D130" s="426"/>
      <c r="E130" s="426"/>
      <c r="F130" s="426"/>
      <c r="G130" s="427"/>
    </row>
    <row r="131" spans="1:7" customFormat="1" ht="18" customHeight="1" thickBot="1">
      <c r="A131" s="442"/>
      <c r="B131" s="420" t="str">
        <f>IF(TMP_NonE_Type="Feed or utility","Usage per kg H2","Production per kg H2")</f>
        <v>Usage per kg H2</v>
      </c>
      <c r="C131" s="454"/>
      <c r="D131" s="426"/>
      <c r="E131" s="426"/>
      <c r="F131" s="426"/>
      <c r="G131" s="427"/>
    </row>
    <row r="132" spans="1:7" customFormat="1" ht="19.5" customHeight="1" thickBot="1">
      <c r="A132" s="442"/>
      <c r="B132" s="420" t="str">
        <f>IF(TMP_NonE_Type = "Feed or utility", "Cost in Startup Year","Income in Startup Year")</f>
        <v>Cost in Startup Year</v>
      </c>
      <c r="C132" s="431">
        <f ca="1">design_cap*365*cap_factor*TMP_NonE_Usage*TMP_NonE_StartPrice</f>
        <v>0</v>
      </c>
      <c r="D132" s="426"/>
      <c r="E132" s="426"/>
      <c r="F132" s="426"/>
      <c r="G132" s="427"/>
    </row>
    <row r="133" spans="1:7" customFormat="1" ht="24" customHeight="1" thickBot="1">
      <c r="A133" s="442"/>
      <c r="B133" s="429" t="s">
        <v>261</v>
      </c>
      <c r="C133" s="433" t="s">
        <v>23</v>
      </c>
      <c r="D133" s="430"/>
      <c r="E133" s="430"/>
      <c r="F133" s="430"/>
      <c r="G133" s="422"/>
    </row>
    <row r="134" spans="1:7" customFormat="1" ht="24" customHeight="1">
      <c r="A134" s="445" t="s">
        <v>1049</v>
      </c>
      <c r="B134" s="308"/>
      <c r="C134" s="309"/>
      <c r="D134" s="309"/>
      <c r="E134" s="310"/>
      <c r="F134" s="309"/>
      <c r="G134" s="311"/>
    </row>
    <row r="135" spans="1:7" customFormat="1" ht="24" customHeight="1">
      <c r="A135" s="445"/>
      <c r="B135" s="308" t="s">
        <v>1068</v>
      </c>
      <c r="C135" s="309" t="s">
        <v>1425</v>
      </c>
      <c r="D135" s="309" t="s">
        <v>1426</v>
      </c>
      <c r="E135" s="310" t="s">
        <v>1422</v>
      </c>
      <c r="F135" s="309" t="s">
        <v>261</v>
      </c>
      <c r="G135" s="311"/>
    </row>
    <row r="136" spans="1:7" customFormat="1" ht="24" customHeight="1">
      <c r="A136" s="445"/>
      <c r="B136" s="308" t="s">
        <v>1043</v>
      </c>
      <c r="C136" s="309">
        <v>2.374951094500801E-3</v>
      </c>
      <c r="D136" s="309">
        <v>3.78</v>
      </c>
      <c r="E136" s="310">
        <v>179580.64097466035</v>
      </c>
      <c r="F136" s="309" t="s">
        <v>23</v>
      </c>
      <c r="G136" s="311"/>
    </row>
    <row r="137" spans="1:7" customFormat="1" ht="15.95" customHeight="1">
      <c r="A137" s="442" t="s">
        <v>1050</v>
      </c>
      <c r="B137" s="308"/>
      <c r="C137" s="314"/>
      <c r="D137" s="314"/>
      <c r="E137" s="315"/>
      <c r="F137" s="314"/>
      <c r="G137" s="311"/>
    </row>
    <row r="138" spans="1:7" customFormat="1" ht="15.95" customHeight="1" thickBot="1">
      <c r="A138" s="442" t="s">
        <v>1051</v>
      </c>
      <c r="B138" s="308"/>
      <c r="C138" s="309"/>
      <c r="D138" s="309"/>
      <c r="E138" s="315"/>
      <c r="F138" s="309"/>
      <c r="G138" s="311"/>
    </row>
    <row r="139" spans="1:7" customFormat="1" ht="17.100000000000001" customHeight="1" thickBot="1">
      <c r="A139" s="442"/>
      <c r="B139" s="313" t="s">
        <v>858</v>
      </c>
      <c r="C139" s="231">
        <f>SUM(Dynamic_NonE_Feed_Total)</f>
        <v>179580.64097466035</v>
      </c>
      <c r="D139" s="448"/>
      <c r="E139" s="1418"/>
      <c r="F139" s="1418"/>
      <c r="G139" s="1408"/>
    </row>
    <row r="140" spans="1:7" customFormat="1" ht="17.100000000000001" customHeight="1" thickBot="1">
      <c r="A140" s="442" t="s">
        <v>256</v>
      </c>
      <c r="B140" s="313" t="s">
        <v>278</v>
      </c>
      <c r="C140" s="231">
        <f>SUM(Dynamic_NonE_Byprod_Total)</f>
        <v>0</v>
      </c>
      <c r="D140" s="448"/>
      <c r="E140" s="1418"/>
      <c r="F140" s="1418"/>
      <c r="G140" s="1408"/>
    </row>
    <row r="141" spans="1:7" customFormat="1" ht="26.45" customHeight="1" thickBot="1">
      <c r="A141" s="442"/>
      <c r="B141" s="313"/>
      <c r="C141" s="309"/>
      <c r="D141" s="455"/>
      <c r="E141" s="1418"/>
      <c r="F141" s="1418"/>
      <c r="G141" s="1408"/>
    </row>
    <row r="142" spans="1:7" customFormat="1" ht="17.100000000000001" customHeight="1" thickBot="1">
      <c r="A142" s="442" t="s">
        <v>249</v>
      </c>
      <c r="B142" s="307" t="s">
        <v>252</v>
      </c>
      <c r="C142" s="229">
        <f>Total_Energy_Feed_Cost</f>
        <v>0</v>
      </c>
      <c r="D142" s="448"/>
      <c r="E142" s="1412"/>
      <c r="F142" s="1412"/>
      <c r="G142" s="1413"/>
    </row>
    <row r="143" spans="1:7" customFormat="1" ht="17.100000000000001" customHeight="1" thickBot="1">
      <c r="A143" s="442" t="s">
        <v>663</v>
      </c>
      <c r="B143" s="307" t="s">
        <v>253</v>
      </c>
      <c r="C143" s="229">
        <f>Total_Energy_Utilities_Cost+Total_Non_Energy_Feed_Cost</f>
        <v>77872915.145439059</v>
      </c>
      <c r="D143" s="448"/>
      <c r="E143" s="1412"/>
      <c r="F143" s="1412"/>
      <c r="G143" s="1413"/>
    </row>
    <row r="144" spans="1:7" customFormat="1" ht="31.5" customHeight="1" thickBot="1">
      <c r="A144" s="442" t="s">
        <v>664</v>
      </c>
      <c r="B144" s="307" t="s">
        <v>254</v>
      </c>
      <c r="C144" s="485">
        <f>Total_Energy_Byproduct_Credit+total_non_energy_byproduct_credit</f>
        <v>0</v>
      </c>
      <c r="D144" s="448"/>
      <c r="E144" s="1423"/>
      <c r="F144" s="1423"/>
      <c r="G144" s="1424"/>
    </row>
    <row r="145" spans="1:7" customFormat="1" ht="45.75" customHeight="1" thickTop="1" thickBot="1">
      <c r="A145" s="442"/>
      <c r="B145" s="482" t="s">
        <v>815</v>
      </c>
      <c r="C145" s="952" t="str">
        <f>"Enter values in basis year (" &amp; BasisYear &amp; ") dollars"</f>
        <v>Enter values in basis year (2016) dollars</v>
      </c>
      <c r="D145" s="952" t="s">
        <v>840</v>
      </c>
      <c r="E145" s="952" t="str">
        <f xml:space="preserve"> "Reference Year ("&amp; ref_year &amp; ") Dollars"</f>
        <v>Reference Year (2016) Dollars</v>
      </c>
      <c r="F145" s="486"/>
      <c r="G145" s="487"/>
    </row>
    <row r="146" spans="1:7" s="33" customFormat="1" ht="39" customHeight="1" thickBot="1">
      <c r="A146" s="442" t="s">
        <v>187</v>
      </c>
      <c r="B146" s="302" t="s">
        <v>363</v>
      </c>
      <c r="C146" s="935"/>
      <c r="D146" s="955">
        <f ca="1">Scale_Ratio * VLOOKUP(ref_year,Chemical_price_indexes,2,FALSE)/VLOOKUP(BasisYear,Chemical_price_indexes,2,FALSE)</f>
        <v>1</v>
      </c>
      <c r="E146" s="485">
        <f ca="1">C146*D146</f>
        <v>0</v>
      </c>
      <c r="F146" s="1421"/>
      <c r="G146" s="1422"/>
    </row>
    <row r="147" spans="1:7" s="33" customFormat="1" ht="38.25" customHeight="1" thickBot="1">
      <c r="A147" s="442" t="s">
        <v>279</v>
      </c>
      <c r="B147" s="582" t="s">
        <v>925</v>
      </c>
      <c r="C147" s="935"/>
      <c r="D147" s="955">
        <f ca="1">Scale_Ratio * VLOOKUP(ref_year,Chemical_price_indexes,2,FALSE)/VLOOKUP(BasisYear,Chemical_price_indexes,2,FALSE)</f>
        <v>1</v>
      </c>
      <c r="E147" s="485">
        <f ca="1">C147*D147</f>
        <v>0</v>
      </c>
      <c r="F147" s="929"/>
      <c r="G147" s="947"/>
    </row>
    <row r="148" spans="1:7" s="33" customFormat="1" ht="17.100000000000001" customHeight="1" thickBot="1">
      <c r="A148" s="442" t="s">
        <v>188</v>
      </c>
      <c r="B148" s="303" t="s">
        <v>364</v>
      </c>
      <c r="C148" s="935"/>
      <c r="D148" s="955">
        <f ca="1">Scale_Ratio * VLOOKUP(ref_year,Chemical_price_indexes,2,FALSE)/VLOOKUP(BasisYear,Chemical_price_indexes,2,FALSE)</f>
        <v>1</v>
      </c>
      <c r="E148" s="485">
        <f ca="1">C148*D148</f>
        <v>0</v>
      </c>
      <c r="F148" s="929"/>
      <c r="G148" s="947"/>
    </row>
    <row r="149" spans="1:7" s="33" customFormat="1" ht="17.100000000000001" customHeight="1" thickBot="1">
      <c r="A149" s="442" t="s">
        <v>180</v>
      </c>
      <c r="B149" s="303" t="s">
        <v>365</v>
      </c>
      <c r="C149" s="935"/>
      <c r="D149" s="955">
        <f ca="1">Scale_Ratio * VLOOKUP(ref_year,Chemical_price_indexes,2,FALSE)/VLOOKUP(BasisYear,Chemical_price_indexes,2,FALSE)</f>
        <v>1</v>
      </c>
      <c r="E149" s="485">
        <f ca="1">C149*D149</f>
        <v>0</v>
      </c>
      <c r="F149" s="929"/>
      <c r="G149" s="947"/>
    </row>
    <row r="150" spans="1:7" s="33" customFormat="1" ht="28.5" customHeight="1" thickBot="1">
      <c r="A150" s="442" t="s">
        <v>176</v>
      </c>
      <c r="B150" s="303" t="s">
        <v>366</v>
      </c>
      <c r="C150" s="1181">
        <v>5.0000000000000001E-3</v>
      </c>
      <c r="D150"/>
      <c r="E150" s="1419" t="s">
        <v>1201</v>
      </c>
      <c r="F150" s="1419"/>
      <c r="G150" s="1420"/>
    </row>
    <row r="151" spans="1:7" s="33" customFormat="1" ht="17.100000000000001" customHeight="1" thickBot="1">
      <c r="A151" s="442" t="s">
        <v>177</v>
      </c>
      <c r="B151" s="1389" t="s">
        <v>367</v>
      </c>
      <c r="C151" s="1387">
        <v>0</v>
      </c>
      <c r="D151" s="1388">
        <f ca="1">Scale_Ratio * CPIinflator</f>
        <v>1</v>
      </c>
      <c r="E151" s="1385">
        <v>0</v>
      </c>
      <c r="F151" s="929"/>
      <c r="G151" s="947"/>
    </row>
    <row r="152" spans="1:7" s="33" customFormat="1" ht="17.100000000000001" customHeight="1" thickBot="1">
      <c r="A152" s="442" t="s">
        <v>156</v>
      </c>
      <c r="B152" s="1389" t="s">
        <v>368</v>
      </c>
      <c r="C152" s="1387">
        <v>0</v>
      </c>
      <c r="D152" s="1388">
        <f ca="1">Scale_Ratio * CPIinflator</f>
        <v>1</v>
      </c>
      <c r="E152" s="1385">
        <v>0</v>
      </c>
      <c r="F152" s="929"/>
      <c r="G152" s="947"/>
    </row>
    <row r="153" spans="1:7" s="33" customFormat="1" ht="17.100000000000001" customHeight="1" thickBot="1">
      <c r="A153" s="442" t="s">
        <v>185</v>
      </c>
      <c r="B153" s="1389" t="s">
        <v>369</v>
      </c>
      <c r="C153" s="1387">
        <v>0</v>
      </c>
      <c r="D153" s="1388">
        <f ca="1">Scale_Ratio * CPIinflator</f>
        <v>1</v>
      </c>
      <c r="E153" s="1385">
        <v>0</v>
      </c>
      <c r="F153" s="933"/>
      <c r="G153" s="934"/>
    </row>
    <row r="154" spans="1:7" s="33" customFormat="1" ht="17.100000000000001" customHeight="1" thickBot="1">
      <c r="A154" s="442" t="s">
        <v>9</v>
      </c>
      <c r="B154" s="1389" t="s">
        <v>956</v>
      </c>
      <c r="C154"/>
      <c r="D154" s="959"/>
      <c r="E154" s="1385">
        <f>Det_CO2_OandMcost</f>
        <v>0</v>
      </c>
      <c r="F154" s="933"/>
      <c r="G154" s="1408"/>
    </row>
    <row r="155" spans="1:7" s="33" customFormat="1" ht="17.100000000000001" customHeight="1" thickBot="1">
      <c r="A155" s="442"/>
      <c r="B155" s="1389" t="s">
        <v>953</v>
      </c>
      <c r="C155" s="1387">
        <v>0</v>
      </c>
      <c r="D155" s="1388">
        <f>CPIinflator</f>
        <v>1</v>
      </c>
      <c r="E155" s="1385">
        <v>0</v>
      </c>
      <c r="F155" s="933"/>
      <c r="G155" s="1408"/>
    </row>
    <row r="156" spans="1:7" s="33" customFormat="1" ht="17.100000000000001" customHeight="1" thickBot="1">
      <c r="A156" s="442"/>
      <c r="B156" s="1389" t="s">
        <v>952</v>
      </c>
      <c r="C156"/>
      <c r="D156" s="959"/>
      <c r="E156" s="1386">
        <f ca="1">ROUND(Proc_CO2_tax*12/44*Proc_CO2_MTpY,-2)</f>
        <v>0</v>
      </c>
      <c r="F156" s="933"/>
      <c r="G156" s="1408"/>
    </row>
    <row r="157" spans="1:7" s="33" customFormat="1" ht="17.100000000000001" customHeight="1" thickBot="1">
      <c r="A157" s="442"/>
      <c r="B157" s="1389" t="s">
        <v>954</v>
      </c>
      <c r="C157" s="1387">
        <v>0</v>
      </c>
      <c r="D157" s="1388">
        <f>CPIinflator</f>
        <v>1</v>
      </c>
      <c r="E157" s="1386">
        <v>0</v>
      </c>
      <c r="F157" s="933"/>
      <c r="G157" s="1408"/>
    </row>
    <row r="158" spans="1:7" s="33" customFormat="1" ht="17.100000000000001" customHeight="1" thickBot="1">
      <c r="A158" s="442"/>
      <c r="B158" s="1389" t="s">
        <v>955</v>
      </c>
      <c r="C158" s="953"/>
      <c r="D158" s="954"/>
      <c r="E158" s="1386">
        <f ca="1">ROUND(Upstream_CO2_tax/1000*Upstream_GHG_total*output_kgyear,2)</f>
        <v>0</v>
      </c>
      <c r="F158" s="766"/>
      <c r="G158" s="1408"/>
    </row>
    <row r="159" spans="1:7" s="33" customFormat="1" ht="23.25" customHeight="1" thickBot="1">
      <c r="A159" s="442" t="s">
        <v>259</v>
      </c>
      <c r="B159" s="316" t="s">
        <v>257</v>
      </c>
      <c r="C159" s="421"/>
      <c r="D159" s="422"/>
      <c r="E159" s="771">
        <f ca="1">ROUND(total_feedstock+total_utilities+total_other_raw-total_byproducts+var_misc+waste_treat+solidwaste_treat+royalties+operator_profit-tax_credit+CO2_OandMcost+Proc_CO2_taxpYear + Upstream_CO2_taxpYear,-2)</f>
        <v>77872900</v>
      </c>
      <c r="F159" s="951"/>
      <c r="G159" s="1409"/>
    </row>
    <row r="160" spans="1:7" s="33" customFormat="1">
      <c r="A160" s="441"/>
    </row>
    <row r="161" spans="1:1" s="33" customFormat="1">
      <c r="A161" s="441"/>
    </row>
    <row r="162" spans="1:1" s="33" customFormat="1">
      <c r="A162" s="441"/>
    </row>
    <row r="163" spans="1:1" s="33" customFormat="1">
      <c r="A163" s="441"/>
    </row>
    <row r="164" spans="1:1" s="33" customFormat="1">
      <c r="A164" s="441"/>
    </row>
    <row r="165" spans="1:1" s="33" customFormat="1">
      <c r="A165" s="441"/>
    </row>
    <row r="166" spans="1:1" s="33" customFormat="1">
      <c r="A166" s="441"/>
    </row>
    <row r="167" spans="1:1" s="33" customFormat="1">
      <c r="A167" s="441"/>
    </row>
    <row r="168" spans="1:1" s="33" customFormat="1">
      <c r="A168" s="441"/>
    </row>
    <row r="169" spans="1:1" s="33" customFormat="1">
      <c r="A169" s="441"/>
    </row>
    <row r="170" spans="1:1" s="33" customFormat="1">
      <c r="A170" s="441"/>
    </row>
    <row r="171" spans="1:1" s="33" customFormat="1">
      <c r="A171" s="441"/>
    </row>
    <row r="172" spans="1:1" s="33" customFormat="1">
      <c r="A172" s="441"/>
    </row>
    <row r="173" spans="1:1" s="33" customFormat="1">
      <c r="A173" s="441"/>
    </row>
    <row r="174" spans="1:1" s="33" customFormat="1">
      <c r="A174" s="441"/>
    </row>
    <row r="175" spans="1:1" s="33" customFormat="1">
      <c r="A175" s="441"/>
    </row>
    <row r="176" spans="1:1" s="33" customFormat="1">
      <c r="A176" s="441"/>
    </row>
    <row r="177" spans="1:4" s="33" customFormat="1">
      <c r="A177" s="441"/>
    </row>
    <row r="178" spans="1:4" s="33" customFormat="1">
      <c r="A178" s="441"/>
    </row>
    <row r="179" spans="1:4" s="33" customFormat="1">
      <c r="A179" s="441"/>
    </row>
    <row r="180" spans="1:4" s="33" customFormat="1">
      <c r="A180" s="441"/>
    </row>
    <row r="181" spans="1:4" s="33" customFormat="1">
      <c r="A181" s="441"/>
    </row>
    <row r="182" spans="1:4" s="33" customFormat="1">
      <c r="A182" s="441"/>
    </row>
    <row r="183" spans="1:4" s="33" customFormat="1">
      <c r="A183" s="441"/>
    </row>
    <row r="184" spans="1:4" s="33" customFormat="1">
      <c r="A184" s="441"/>
    </row>
    <row r="185" spans="1:4" s="33" customFormat="1">
      <c r="A185" s="441"/>
    </row>
    <row r="186" spans="1:4" s="33" customFormat="1">
      <c r="A186" s="441"/>
      <c r="B186" s="29"/>
      <c r="C186" s="29"/>
      <c r="D186" s="29"/>
    </row>
    <row r="187" spans="1:4" s="33" customFormat="1">
      <c r="A187" s="441"/>
      <c r="B187" s="29"/>
      <c r="C187" s="29"/>
      <c r="D187" s="29"/>
    </row>
    <row r="188" spans="1:4" s="33" customFormat="1">
      <c r="A188" s="441"/>
      <c r="B188" s="29"/>
      <c r="C188" s="29"/>
      <c r="D188" s="29"/>
    </row>
    <row r="189" spans="1:4" s="33" customFormat="1">
      <c r="A189" s="441"/>
      <c r="B189" s="29"/>
      <c r="C189" s="29"/>
      <c r="D189" s="29"/>
    </row>
    <row r="190" spans="1:4" s="33" customFormat="1">
      <c r="A190" s="441"/>
      <c r="B190" s="29"/>
      <c r="C190" s="29"/>
      <c r="D190" s="29"/>
    </row>
    <row r="191" spans="1:4" s="33" customFormat="1">
      <c r="A191" s="441"/>
      <c r="B191" s="29"/>
      <c r="C191" s="29"/>
      <c r="D191" s="29"/>
    </row>
    <row r="192" spans="1:4" s="33" customFormat="1">
      <c r="A192" s="441"/>
      <c r="B192" s="29"/>
      <c r="C192" s="29"/>
      <c r="D192" s="29"/>
    </row>
    <row r="193" spans="1:4" s="33" customFormat="1">
      <c r="A193" s="441"/>
      <c r="B193" s="29"/>
      <c r="C193" s="29"/>
      <c r="D193" s="29"/>
    </row>
    <row r="194" spans="1:4" s="33" customFormat="1">
      <c r="A194" s="441"/>
      <c r="B194" s="29"/>
      <c r="C194" s="29"/>
      <c r="D194" s="29"/>
    </row>
    <row r="195" spans="1:4" s="33" customFormat="1">
      <c r="A195" s="441"/>
      <c r="B195" s="29"/>
      <c r="C195" s="29"/>
      <c r="D195" s="29"/>
    </row>
    <row r="196" spans="1:4" s="33" customFormat="1">
      <c r="A196" s="441"/>
      <c r="B196" s="29"/>
      <c r="C196" s="29"/>
      <c r="D196" s="29"/>
    </row>
    <row r="197" spans="1:4" s="33" customFormat="1">
      <c r="A197" s="441"/>
      <c r="B197" s="29"/>
      <c r="C197" s="29"/>
      <c r="D197" s="29"/>
    </row>
    <row r="198" spans="1:4" s="33" customFormat="1">
      <c r="A198" s="441"/>
      <c r="B198" s="29"/>
      <c r="C198" s="29"/>
      <c r="D198" s="29"/>
    </row>
    <row r="199" spans="1:4" s="33" customFormat="1">
      <c r="A199" s="441"/>
      <c r="B199" s="29"/>
      <c r="C199" s="29"/>
      <c r="D199" s="29"/>
    </row>
    <row r="200" spans="1:4" s="33" customFormat="1">
      <c r="A200" s="441"/>
      <c r="B200" s="29"/>
      <c r="C200" s="29"/>
      <c r="D200" s="29"/>
    </row>
    <row r="201" spans="1:4" s="33" customFormat="1">
      <c r="A201" s="441"/>
      <c r="B201" s="29"/>
      <c r="C201" s="29"/>
      <c r="D201" s="29"/>
    </row>
    <row r="202" spans="1:4" s="33" customFormat="1">
      <c r="A202" s="441"/>
      <c r="B202" s="29"/>
      <c r="C202" s="29"/>
      <c r="D202" s="29"/>
    </row>
    <row r="203" spans="1:4" s="33" customFormat="1">
      <c r="A203" s="441"/>
      <c r="B203" s="29"/>
      <c r="C203" s="29"/>
      <c r="D203" s="29"/>
    </row>
    <row r="204" spans="1:4" s="33" customFormat="1">
      <c r="A204" s="441"/>
      <c r="B204" s="29"/>
      <c r="C204" s="29"/>
      <c r="D204" s="29"/>
    </row>
    <row r="205" spans="1:4" s="33" customFormat="1">
      <c r="A205" s="441"/>
      <c r="B205" s="29"/>
      <c r="C205" s="29"/>
      <c r="D205" s="29"/>
    </row>
    <row r="206" spans="1:4" s="33" customFormat="1">
      <c r="A206" s="441"/>
      <c r="B206" s="29"/>
      <c r="C206" s="29"/>
      <c r="D206" s="29"/>
    </row>
    <row r="207" spans="1:4" s="33" customFormat="1">
      <c r="A207" s="441"/>
      <c r="B207" s="29"/>
      <c r="C207" s="29"/>
      <c r="D207" s="29"/>
    </row>
    <row r="208" spans="1:4" s="33" customFormat="1">
      <c r="A208" s="441"/>
      <c r="B208" s="29"/>
      <c r="C208" s="29"/>
      <c r="D208" s="29"/>
    </row>
    <row r="209" spans="1:4" s="33" customFormat="1">
      <c r="A209" s="441"/>
      <c r="B209" s="29"/>
      <c r="C209" s="29"/>
      <c r="D209" s="29"/>
    </row>
    <row r="210" spans="1:4" s="33" customFormat="1">
      <c r="A210" s="441"/>
      <c r="B210" s="29"/>
      <c r="C210" s="29"/>
      <c r="D210" s="29"/>
    </row>
    <row r="211" spans="1:4" s="33" customFormat="1">
      <c r="A211" s="441"/>
      <c r="B211" s="29"/>
      <c r="C211" s="29"/>
      <c r="D211" s="29"/>
    </row>
    <row r="212" spans="1:4" s="33" customFormat="1">
      <c r="A212" s="441"/>
      <c r="B212" s="29"/>
      <c r="C212" s="29"/>
      <c r="D212" s="29"/>
    </row>
    <row r="213" spans="1:4" s="33" customFormat="1">
      <c r="A213" s="441"/>
      <c r="B213" s="29"/>
      <c r="C213" s="29"/>
      <c r="D213" s="29"/>
    </row>
    <row r="214" spans="1:4" s="33" customFormat="1">
      <c r="A214" s="441"/>
      <c r="B214" s="29"/>
      <c r="C214" s="29"/>
      <c r="D214" s="29"/>
    </row>
    <row r="215" spans="1:4" s="33" customFormat="1">
      <c r="A215" s="441"/>
      <c r="B215" s="29"/>
      <c r="C215" s="29"/>
      <c r="D215" s="29"/>
    </row>
    <row r="216" spans="1:4" s="33" customFormat="1">
      <c r="A216" s="441"/>
      <c r="B216" s="29"/>
      <c r="C216" s="29"/>
      <c r="D216" s="29"/>
    </row>
    <row r="217" spans="1:4" s="33" customFormat="1">
      <c r="A217" s="441"/>
      <c r="B217" s="29"/>
      <c r="C217" s="29"/>
      <c r="D217" s="29"/>
    </row>
    <row r="218" spans="1:4" s="33" customFormat="1">
      <c r="A218" s="441"/>
      <c r="B218" s="29"/>
      <c r="C218" s="29"/>
      <c r="D218" s="29"/>
    </row>
    <row r="219" spans="1:4" s="33" customFormat="1">
      <c r="A219" s="441"/>
      <c r="B219" s="29"/>
      <c r="C219" s="29"/>
      <c r="D219" s="29"/>
    </row>
    <row r="220" spans="1:4" s="33" customFormat="1">
      <c r="A220" s="441"/>
      <c r="B220" s="29"/>
      <c r="C220" s="29"/>
      <c r="D220" s="29"/>
    </row>
    <row r="221" spans="1:4" s="33" customFormat="1">
      <c r="A221" s="441"/>
      <c r="B221" s="29"/>
      <c r="C221" s="29"/>
      <c r="D221" s="29"/>
    </row>
  </sheetData>
  <mergeCells count="50">
    <mergeCell ref="E48:G48"/>
    <mergeCell ref="E85:G85"/>
    <mergeCell ref="F59:F68"/>
    <mergeCell ref="E56:G56"/>
    <mergeCell ref="E87:G87"/>
    <mergeCell ref="E53:G53"/>
    <mergeCell ref="E52:G52"/>
    <mergeCell ref="E51:G51"/>
    <mergeCell ref="E55:G55"/>
    <mergeCell ref="E83:G83"/>
    <mergeCell ref="E84:G84"/>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54:G159"/>
    <mergeCell ref="C129:D129"/>
    <mergeCell ref="E142:G142"/>
    <mergeCell ref="D98:D99"/>
    <mergeCell ref="E86:G86"/>
    <mergeCell ref="E139:G141"/>
    <mergeCell ref="E150:G150"/>
    <mergeCell ref="F146:G146"/>
    <mergeCell ref="E143:G143"/>
    <mergeCell ref="E144:G144"/>
  </mergeCells>
  <phoneticPr fontId="2" type="noConversion"/>
  <conditionalFormatting sqref="H16:H17">
    <cfRule type="expression" dxfId="3" priority="10">
      <formula>$H$17 &gt; 0.3</formula>
    </cfRule>
  </conditionalFormatting>
  <dataValidations xWindow="543" yWindow="734" count="17">
    <dataValidation allowBlank="1" showInputMessage="1" showErrorMessage="1" prompt="Tax covers all fuel and utilities.  Result may be negative (credit) for biomass derived feed." sqref="E157" xr:uid="{00000000-0002-0000-0300-000000000000}"/>
    <dataValidation allowBlank="1" showInputMessage="1" showErrorMessage="1" prompt="Enter specific year replacement costs on Replacement Costs sheet" sqref="C150"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6"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7:C88" xr:uid="{00000000-0002-0000-0300-000003000000}"/>
    <dataValidation type="list" allowBlank="1" showInputMessage="1" showErrorMessage="1" sqref="B128"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7024E34C-72B1-4178-9412-6390C22C190A}">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5" r:id="rId4" name="Check Box 201">
              <controlPr defaultSize="0" autoFill="0" autoLine="0" autoPict="0" macro="[0]!CheckBox201_Click" altText="H2A default">
                <anchor moveWithCells="1">
                  <from>
                    <xdr:col>3</xdr:col>
                    <xdr:colOff>152400</xdr:colOff>
                    <xdr:row>29</xdr:row>
                    <xdr:rowOff>0</xdr:rowOff>
                  </from>
                  <to>
                    <xdr:col>3</xdr:col>
                    <xdr:colOff>1066800</xdr:colOff>
                    <xdr:row>30</xdr:row>
                    <xdr:rowOff>0</xdr:rowOff>
                  </to>
                </anchor>
              </controlPr>
            </control>
          </mc:Choice>
        </mc:AlternateContent>
        <mc:AlternateContent xmlns:mc="http://schemas.openxmlformats.org/markup-compatibility/2006">
          <mc:Choice Requires="x14">
            <control shapeId="1226" r:id="rId5" name="Check Box 202">
              <controlPr defaultSize="0" autoFill="0" autoLine="0" autoPict="0" macro="[0]!CheckBox202_Click" altText="H2A default">
                <anchor moveWithCells="1">
                  <from>
                    <xdr:col>3</xdr:col>
                    <xdr:colOff>152400</xdr:colOff>
                    <xdr:row>40</xdr:row>
                    <xdr:rowOff>200025</xdr:rowOff>
                  </from>
                  <to>
                    <xdr:col>3</xdr:col>
                    <xdr:colOff>1066800</xdr:colOff>
                    <xdr:row>41</xdr:row>
                    <xdr:rowOff>200025</xdr:rowOff>
                  </to>
                </anchor>
              </controlPr>
            </control>
          </mc:Choice>
        </mc:AlternateContent>
        <mc:AlternateContent xmlns:mc="http://schemas.openxmlformats.org/markup-compatibility/2006">
          <mc:Choice Requires="x14">
            <control shapeId="1231" r:id="rId6" name="Check Box 203">
              <controlPr defaultSize="0" autoFill="0" autoLine="0" autoPict="0" macro="[0]!CheckBox203_Click" altText="H2A default">
                <anchor moveWithCells="1">
                  <from>
                    <xdr:col>3</xdr:col>
                    <xdr:colOff>152400</xdr:colOff>
                    <xdr:row>42</xdr:row>
                    <xdr:rowOff>0</xdr:rowOff>
                  </from>
                  <to>
                    <xdr:col>3</xdr:col>
                    <xdr:colOff>1066800</xdr:colOff>
                    <xdr:row>43</xdr:row>
                    <xdr:rowOff>0</xdr:rowOff>
                  </to>
                </anchor>
              </controlPr>
            </control>
          </mc:Choice>
        </mc:AlternateContent>
        <mc:AlternateContent xmlns:mc="http://schemas.openxmlformats.org/markup-compatibility/2006">
          <mc:Choice Requires="x14">
            <control shapeId="1233" r:id="rId7" name="Check Box 204">
              <controlPr defaultSize="0" autoFill="0" autoLine="0" autoPict="0" macro="[0]!CheckBox204_Click" altText="H2A default">
                <anchor moveWithCells="1">
                  <from>
                    <xdr:col>3</xdr:col>
                    <xdr:colOff>152400</xdr:colOff>
                    <xdr:row>47</xdr:row>
                    <xdr:rowOff>209550</xdr:rowOff>
                  </from>
                  <to>
                    <xdr:col>3</xdr:col>
                    <xdr:colOff>1066800</xdr:colOff>
                    <xdr:row>48</xdr:row>
                    <xdr:rowOff>209550</xdr:rowOff>
                  </to>
                </anchor>
              </controlPr>
            </control>
          </mc:Choice>
        </mc:AlternateContent>
        <mc:AlternateContent xmlns:mc="http://schemas.openxmlformats.org/markup-compatibility/2006">
          <mc:Choice Requires="x14">
            <control shapeId="1234" r:id="rId8" name="Check Box 205">
              <controlPr defaultSize="0" autoFill="0" autoLine="0" autoPict="0" macro="[0]!CheckBox205_Click" altText="H2A default">
                <anchor moveWithCells="1">
                  <from>
                    <xdr:col>3</xdr:col>
                    <xdr:colOff>152400</xdr:colOff>
                    <xdr:row>49</xdr:row>
                    <xdr:rowOff>0</xdr:rowOff>
                  </from>
                  <to>
                    <xdr:col>3</xdr:col>
                    <xdr:colOff>1066800</xdr:colOff>
                    <xdr:row>50</xdr:row>
                    <xdr:rowOff>0</xdr:rowOff>
                  </to>
                </anchor>
              </controlPr>
            </control>
          </mc:Choice>
        </mc:AlternateContent>
        <mc:AlternateContent xmlns:mc="http://schemas.openxmlformats.org/markup-compatibility/2006">
          <mc:Choice Requires="x14">
            <control shapeId="1235" r:id="rId9" name="Check Box 206">
              <controlPr defaultSize="0" autoFill="0" autoLine="0" autoPict="0" macro="[0]!CheckBox206_Click" altText="H2A default">
                <anchor moveWithCells="1">
                  <from>
                    <xdr:col>3</xdr:col>
                    <xdr:colOff>152400</xdr:colOff>
                    <xdr:row>50</xdr:row>
                    <xdr:rowOff>0</xdr:rowOff>
                  </from>
                  <to>
                    <xdr:col>3</xdr:col>
                    <xdr:colOff>1066800</xdr:colOff>
                    <xdr:row>51</xdr:row>
                    <xdr:rowOff>0</xdr:rowOff>
                  </to>
                </anchor>
              </controlPr>
            </control>
          </mc:Choice>
        </mc:AlternateContent>
        <mc:AlternateContent xmlns:mc="http://schemas.openxmlformats.org/markup-compatibility/2006">
          <mc:Choice Requires="x14">
            <control shapeId="1236" r:id="rId10" name="Check Box 207">
              <controlPr defaultSize="0" autoFill="0" autoLine="0" autoPict="0" macro="[0]!CheckBox207_Click" altText="H2A default">
                <anchor moveWithCells="1">
                  <from>
                    <xdr:col>3</xdr:col>
                    <xdr:colOff>152400</xdr:colOff>
                    <xdr:row>51</xdr:row>
                    <xdr:rowOff>0</xdr:rowOff>
                  </from>
                  <to>
                    <xdr:col>3</xdr:col>
                    <xdr:colOff>1066800</xdr:colOff>
                    <xdr:row>52</xdr:row>
                    <xdr:rowOff>0</xdr:rowOff>
                  </to>
                </anchor>
              </controlPr>
            </control>
          </mc:Choice>
        </mc:AlternateContent>
        <mc:AlternateContent xmlns:mc="http://schemas.openxmlformats.org/markup-compatibility/2006">
          <mc:Choice Requires="x14">
            <control shapeId="1237" r:id="rId11" name="Check Box 208">
              <controlPr defaultSize="0" autoFill="0" autoLine="0" autoPict="0" macro="[0]!CheckBox208_Click" altText="H2A default">
                <anchor moveWithCells="1">
                  <from>
                    <xdr:col>3</xdr:col>
                    <xdr:colOff>152400</xdr:colOff>
                    <xdr:row>52</xdr:row>
                    <xdr:rowOff>0</xdr:rowOff>
                  </from>
                  <to>
                    <xdr:col>3</xdr:col>
                    <xdr:colOff>1066800</xdr:colOff>
                    <xdr:row>53</xdr:row>
                    <xdr:rowOff>0</xdr:rowOff>
                  </to>
                </anchor>
              </controlPr>
            </control>
          </mc:Choice>
        </mc:AlternateContent>
        <mc:AlternateContent xmlns:mc="http://schemas.openxmlformats.org/markup-compatibility/2006">
          <mc:Choice Requires="x14">
            <control shapeId="1238" r:id="rId12" name="Check Box 209">
              <controlPr defaultSize="0" autoFill="0" autoLine="0" autoPict="0" macro="[0]!CheckBox209_Click" altText="H2A default">
                <anchor moveWithCells="1">
                  <from>
                    <xdr:col>3</xdr:col>
                    <xdr:colOff>152400</xdr:colOff>
                    <xdr:row>53</xdr:row>
                    <xdr:rowOff>0</xdr:rowOff>
                  </from>
                  <to>
                    <xdr:col>3</xdr:col>
                    <xdr:colOff>1066800</xdr:colOff>
                    <xdr:row>54</xdr:row>
                    <xdr:rowOff>0</xdr:rowOff>
                  </to>
                </anchor>
              </controlPr>
            </control>
          </mc:Choice>
        </mc:AlternateContent>
        <mc:AlternateContent xmlns:mc="http://schemas.openxmlformats.org/markup-compatibility/2006">
          <mc:Choice Requires="x14">
            <control shapeId="1239" r:id="rId13" name="Check Box 210">
              <controlPr defaultSize="0" autoFill="0" autoLine="0" autoPict="0" macro="[0]!CheckBox210_Click" altText="H2A default">
                <anchor moveWithCells="1">
                  <from>
                    <xdr:col>3</xdr:col>
                    <xdr:colOff>152400</xdr:colOff>
                    <xdr:row>54</xdr:row>
                    <xdr:rowOff>190500</xdr:rowOff>
                  </from>
                  <to>
                    <xdr:col>3</xdr:col>
                    <xdr:colOff>1066800</xdr:colOff>
                    <xdr:row>55</xdr:row>
                    <xdr:rowOff>190500</xdr:rowOff>
                  </to>
                </anchor>
              </controlPr>
            </control>
          </mc:Choice>
        </mc:AlternateContent>
        <mc:AlternateContent xmlns:mc="http://schemas.openxmlformats.org/markup-compatibility/2006">
          <mc:Choice Requires="x14">
            <control shapeId="1242" r:id="rId14" name="Check Box 211">
              <controlPr defaultSize="0" autoFill="0" autoLine="0" autoPict="0" macro="[0]!CheckBox211_Click" altText="H2A default">
                <anchor moveWithCells="1">
                  <from>
                    <xdr:col>3</xdr:col>
                    <xdr:colOff>152400</xdr:colOff>
                    <xdr:row>111</xdr:row>
                    <xdr:rowOff>0</xdr:rowOff>
                  </from>
                  <to>
                    <xdr:col>3</xdr:col>
                    <xdr:colOff>1066800</xdr:colOff>
                    <xdr:row>112</xdr:row>
                    <xdr:rowOff>0</xdr:rowOff>
                  </to>
                </anchor>
              </controlPr>
            </control>
          </mc:Choice>
        </mc:AlternateContent>
        <mc:AlternateContent xmlns:mc="http://schemas.openxmlformats.org/markup-compatibility/2006">
          <mc:Choice Requires="x14">
            <control shapeId="1243" r:id="rId15" name="Check Box 212">
              <controlPr defaultSize="0" autoFill="0" autoLine="0" autoPict="0" macro="[0]!CheckBox212_Click" altText="H2A default">
                <anchor moveWithCells="1">
                  <from>
                    <xdr:col>3</xdr:col>
                    <xdr:colOff>152400</xdr:colOff>
                    <xdr:row>114</xdr:row>
                    <xdr:rowOff>9525</xdr:rowOff>
                  </from>
                  <to>
                    <xdr:col>3</xdr:col>
                    <xdr:colOff>1066800</xdr:colOff>
                    <xdr:row>114</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AA83B17-A414-4DDC-8FFF-337C73061990}">
            <xm:f>$C$30=Lists!$P$4</xm:f>
            <x14:dxf>
              <font>
                <b val="0"/>
                <i val="0"/>
                <color auto="1"/>
              </font>
              <numFmt numFmtId="0" formatCode="General"/>
            </x14:dxf>
          </x14:cfRule>
          <xm:sqref>D30</xm:sqref>
        </x14:conditionalFormatting>
      </x14:conditionalFormattings>
    </ex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78" zoomScaleNormal="115" workbookViewId="0">
      <selection activeCell="J29" sqref="J29"/>
    </sheetView>
  </sheetViews>
  <sheetFormatPr defaultColWidth="9.140625" defaultRowHeight="12.75"/>
  <cols>
    <col min="1" max="1" width="16.28515625" style="198" customWidth="1"/>
    <col min="2" max="2" width="17.42578125" style="198" customWidth="1"/>
    <col min="3" max="5" width="19.5703125" style="198" customWidth="1"/>
    <col min="6" max="6" width="19.42578125" style="198" customWidth="1"/>
    <col min="7" max="7" width="21.85546875" style="198" customWidth="1"/>
    <col min="8" max="8" width="23.28515625" style="198" customWidth="1"/>
    <col min="9" max="10" width="19.140625" style="198" customWidth="1"/>
    <col min="11" max="11" width="47.28515625" style="198" customWidth="1"/>
    <col min="12" max="12" width="30.28515625" style="198" customWidth="1"/>
    <col min="13" max="13" width="40.140625" style="198" customWidth="1"/>
    <col min="14" max="14" width="20" style="198" customWidth="1"/>
    <col min="15" max="16384" width="9.140625" style="198"/>
  </cols>
  <sheetData>
    <row r="1" spans="1:12">
      <c r="B1"/>
      <c r="C1"/>
      <c r="D1"/>
      <c r="E1"/>
      <c r="F1"/>
      <c r="G1"/>
    </row>
    <row r="2" spans="1:12" ht="22.5">
      <c r="A2" s="755" t="s">
        <v>1023</v>
      </c>
      <c r="B2"/>
      <c r="C2"/>
      <c r="D2"/>
      <c r="E2"/>
      <c r="F2"/>
      <c r="G2"/>
    </row>
    <row r="3" spans="1:12">
      <c r="B3" s="37"/>
      <c r="C3" s="37"/>
      <c r="D3" s="37"/>
      <c r="E3" s="37"/>
      <c r="F3" s="37"/>
      <c r="G3" s="40"/>
      <c r="H3" s="199"/>
      <c r="I3" s="199"/>
      <c r="J3" s="199"/>
    </row>
    <row r="4" spans="1:12">
      <c r="B4" s="37"/>
      <c r="C4" s="37"/>
      <c r="D4" s="37"/>
      <c r="E4" s="37"/>
      <c r="F4" s="37"/>
      <c r="G4" s="40"/>
      <c r="H4" s="199"/>
      <c r="I4" s="199"/>
      <c r="J4" s="199"/>
    </row>
    <row r="5" spans="1:12" customFormat="1" ht="15.75">
      <c r="C5" s="757" t="s">
        <v>232</v>
      </c>
      <c r="D5" s="757"/>
      <c r="E5" s="757"/>
    </row>
    <row r="6" spans="1:12" customFormat="1"/>
    <row r="7" spans="1:12" customFormat="1"/>
    <row r="8" spans="1:12" customFormat="1"/>
    <row r="9" spans="1:12" customFormat="1">
      <c r="A9" s="756" t="str">
        <f>"NOTE: Enter costs in year "&amp;TEXT(BasisYear,"0")&amp;" $ - Do not inflate"</f>
        <v>NOTE: Enter costs in year 2016 $ - Do not inflate</v>
      </c>
    </row>
    <row r="10" spans="1:12" customFormat="1">
      <c r="A10" s="756" t="s">
        <v>1024</v>
      </c>
    </row>
    <row r="11" spans="1:12" customFormat="1"/>
    <row r="12" spans="1:12" ht="13.5" thickBot="1">
      <c r="A12" s="1"/>
      <c r="B12" s="1"/>
      <c r="C12" s="1"/>
      <c r="D12" s="1"/>
      <c r="E12" s="1"/>
      <c r="F12" s="1"/>
      <c r="G12" s="1"/>
      <c r="H12" s="200"/>
      <c r="I12" s="200"/>
      <c r="J12" s="200"/>
    </row>
    <row r="13" spans="1:12" ht="14.25" thickTop="1" thickBot="1">
      <c r="A13" s="317" t="s">
        <v>1025</v>
      </c>
      <c r="B13" s="318"/>
      <c r="C13" s="319"/>
      <c r="D13" s="319"/>
      <c r="E13" s="319"/>
      <c r="F13" s="320"/>
      <c r="G13" s="321"/>
    </row>
    <row r="14" spans="1:12" ht="14.25" thickTop="1" thickBot="1">
      <c r="A14" s="322"/>
      <c r="B14" s="323"/>
      <c r="C14" s="324" t="s">
        <v>1026</v>
      </c>
      <c r="D14" s="324"/>
      <c r="E14" s="324"/>
      <c r="F14" s="324" t="s">
        <v>1027</v>
      </c>
      <c r="G14" s="325" t="s">
        <v>1028</v>
      </c>
    </row>
    <row r="15" spans="1:12" s="197" customFormat="1" ht="90.75" thickTop="1" thickBot="1">
      <c r="A15" s="326" t="s">
        <v>183</v>
      </c>
      <c r="B15" s="504">
        <f>replace_factor</f>
        <v>5.0000000000000001E-3</v>
      </c>
      <c r="C15" s="327"/>
      <c r="D15" s="327"/>
      <c r="E15" s="327"/>
      <c r="F15" s="328"/>
      <c r="G15" s="329" t="s">
        <v>1029</v>
      </c>
      <c r="I15" s="208"/>
      <c r="J15" s="198"/>
      <c r="K15" s="201"/>
    </row>
    <row r="16" spans="1:12" ht="52.5" thickTop="1" thickBot="1">
      <c r="A16" s="330" t="s">
        <v>1030</v>
      </c>
      <c r="B16" s="331" t="s">
        <v>40</v>
      </c>
      <c r="C16" s="332" t="s">
        <v>1031</v>
      </c>
      <c r="D16" s="332" t="s">
        <v>1032</v>
      </c>
      <c r="E16" s="332" t="s">
        <v>1289</v>
      </c>
      <c r="F16" s="332" t="s">
        <v>1032</v>
      </c>
      <c r="G16" s="332" t="s">
        <v>1033</v>
      </c>
      <c r="H16" s="332" t="s">
        <v>1071</v>
      </c>
      <c r="I16" s="332" t="s">
        <v>1072</v>
      </c>
      <c r="J16" s="332" t="s">
        <v>1073</v>
      </c>
      <c r="K16" s="333" t="s">
        <v>1074</v>
      </c>
      <c r="L16" s="334" t="s">
        <v>1075</v>
      </c>
    </row>
    <row r="17" spans="1:12" ht="14.25" thickTop="1" thickBot="1">
      <c r="A17" s="335"/>
      <c r="B17" s="336"/>
      <c r="C17" s="336"/>
      <c r="D17" s="336" t="str">
        <f>"Year "&amp;TEXT(BasisYear,"0")&amp;" $"</f>
        <v>Year 2016 $</v>
      </c>
      <c r="E17" s="336" t="str">
        <f>"Year "&amp;TEXT(ref_year,"0")&amp;" $"</f>
        <v>Year 2016 $</v>
      </c>
      <c r="F17" s="336" t="str">
        <f>"Year "&amp;TEXT(ref_year,"0")&amp;" $"</f>
        <v>Year 2016 $</v>
      </c>
      <c r="G17" s="336" t="str">
        <f>"Year "&amp;TEXT(ref_year,"0")&amp;" $"</f>
        <v>Year 2016 $</v>
      </c>
      <c r="H17" s="336" t="s">
        <v>1076</v>
      </c>
      <c r="I17" s="336"/>
      <c r="J17" s="336"/>
      <c r="K17" s="337"/>
      <c r="L17" s="338"/>
    </row>
    <row r="18" spans="1:12" ht="13.5" thickTop="1">
      <c r="A18" s="87">
        <f>IF(C18&lt;&gt;"",'Cash Flow Analysis'!A65,"")</f>
        <v>2014</v>
      </c>
      <c r="B18" s="294">
        <f>construct+1</f>
        <v>2</v>
      </c>
      <c r="C18" s="294">
        <v>1</v>
      </c>
      <c r="D18" s="458"/>
      <c r="E18" s="202">
        <f>+'Carbon Sequestration'!$C$100*(C18&lt;=anal_period)</f>
        <v>0</v>
      </c>
      <c r="F18" s="202">
        <f t="shared" ref="F18:F57" si="0">(D18)*CPIinflator*CEPCIinflator+E18</f>
        <v>0</v>
      </c>
      <c r="G18" s="202">
        <f ca="1">IF(C18&gt;anal_period,0,IF(replace_factor&lt;&gt;"",replace_factor*depr_cap,0))</f>
        <v>430801.41760000004</v>
      </c>
      <c r="H18" s="203">
        <f ca="1">(F18+G18)*((1+inflation_rate)^(startup_year-ref_year))</f>
        <v>422768.81020608451</v>
      </c>
      <c r="I18" s="339"/>
      <c r="J18" s="340"/>
      <c r="K18" s="341"/>
      <c r="L18" s="342"/>
    </row>
    <row r="19" spans="1:12">
      <c r="A19" s="89">
        <f>IF(C19&lt;&gt;"",'Cash Flow Analysis'!A66,"")</f>
        <v>2015</v>
      </c>
      <c r="B19" s="295">
        <f t="shared" ref="B19:B57" si="1">IF(B18&lt;anal_period+construct,B18+1,"")</f>
        <v>3</v>
      </c>
      <c r="C19" s="295">
        <f t="shared" ref="C19:C57" si="2">IF(B19="","",C18+1)</f>
        <v>2</v>
      </c>
      <c r="D19" s="459"/>
      <c r="E19" s="204">
        <f>+'Carbon Sequestration'!$C$100*(C19&lt;=anal_period)</f>
        <v>0</v>
      </c>
      <c r="F19" s="204">
        <f t="shared" si="0"/>
        <v>0</v>
      </c>
      <c r="G19" s="204">
        <f t="shared" ref="G19:G57" ca="1" si="3">IF(C19&gt;anal_period,0,IF(replace_factor&lt;&gt;"",replace_factor*depr_cap,0))</f>
        <v>430801.41760000004</v>
      </c>
      <c r="H19" s="205">
        <f t="shared" ref="H19:H57" ca="1" si="4">(F19+G19)*((1+inflation_rate)^(startup_year-ref_year))</f>
        <v>422768.81020608451</v>
      </c>
      <c r="I19" s="343"/>
      <c r="J19" s="344"/>
      <c r="K19" s="345"/>
      <c r="L19" s="346"/>
    </row>
    <row r="20" spans="1:12">
      <c r="A20" s="89">
        <f>IF(C20&lt;&gt;"",'Cash Flow Analysis'!A67,"")</f>
        <v>2016</v>
      </c>
      <c r="B20" s="295">
        <f t="shared" si="1"/>
        <v>4</v>
      </c>
      <c r="C20" s="295">
        <f t="shared" si="2"/>
        <v>3</v>
      </c>
      <c r="D20" s="459"/>
      <c r="E20" s="204">
        <f>+'Carbon Sequestration'!$C$100*(C20&lt;=anal_period)</f>
        <v>0</v>
      </c>
      <c r="F20" s="204">
        <f t="shared" si="0"/>
        <v>0</v>
      </c>
      <c r="G20" s="204">
        <f t="shared" ca="1" si="3"/>
        <v>430801.41760000004</v>
      </c>
      <c r="H20" s="205">
        <f t="shared" ca="1" si="4"/>
        <v>422768.81020608451</v>
      </c>
      <c r="I20" s="343"/>
      <c r="J20" s="344"/>
      <c r="K20" s="345"/>
      <c r="L20" s="346"/>
    </row>
    <row r="21" spans="1:12">
      <c r="A21" s="89">
        <f>IF(C21&lt;&gt;"",'Cash Flow Analysis'!A68,"")</f>
        <v>2017</v>
      </c>
      <c r="B21" s="295">
        <f t="shared" si="1"/>
        <v>5</v>
      </c>
      <c r="C21" s="295">
        <f t="shared" si="2"/>
        <v>4</v>
      </c>
      <c r="D21" s="459"/>
      <c r="E21" s="204">
        <f>+'Carbon Sequestration'!$C$100*(C21&lt;=anal_period)</f>
        <v>0</v>
      </c>
      <c r="F21" s="204">
        <f t="shared" si="0"/>
        <v>0</v>
      </c>
      <c r="G21" s="204">
        <f t="shared" ca="1" si="3"/>
        <v>430801.41760000004</v>
      </c>
      <c r="H21" s="205">
        <f t="shared" ca="1" si="4"/>
        <v>422768.81020608451</v>
      </c>
      <c r="I21" s="343"/>
      <c r="J21" s="344"/>
      <c r="K21" s="345"/>
      <c r="L21" s="346"/>
    </row>
    <row r="22" spans="1:12">
      <c r="A22" s="89">
        <f>IF(C22&lt;&gt;"",'Cash Flow Analysis'!A69,"")</f>
        <v>2018</v>
      </c>
      <c r="B22" s="295">
        <f t="shared" si="1"/>
        <v>6</v>
      </c>
      <c r="C22" s="295">
        <f t="shared" si="2"/>
        <v>5</v>
      </c>
      <c r="D22" s="459"/>
      <c r="E22" s="204">
        <f>+'Carbon Sequestration'!$C$100*(C22&lt;=anal_period)</f>
        <v>0</v>
      </c>
      <c r="F22" s="204">
        <f t="shared" si="0"/>
        <v>0</v>
      </c>
      <c r="G22" s="204">
        <f t="shared" ca="1" si="3"/>
        <v>430801.41760000004</v>
      </c>
      <c r="H22" s="205">
        <f t="shared" ca="1" si="4"/>
        <v>422768.81020608451</v>
      </c>
      <c r="I22" s="343"/>
      <c r="J22" s="344"/>
      <c r="K22" s="836"/>
      <c r="L22" s="837"/>
    </row>
    <row r="23" spans="1:12">
      <c r="A23" s="89">
        <f>IF(C23&lt;&gt;"",'Cash Flow Analysis'!A70,"")</f>
        <v>2019</v>
      </c>
      <c r="B23" s="295">
        <f t="shared" si="1"/>
        <v>7</v>
      </c>
      <c r="C23" s="295">
        <f t="shared" si="2"/>
        <v>6</v>
      </c>
      <c r="D23" s="459"/>
      <c r="E23" s="204">
        <f>+'Carbon Sequestration'!$C$100*(C23&lt;=anal_period)</f>
        <v>0</v>
      </c>
      <c r="F23" s="204">
        <f t="shared" si="0"/>
        <v>0</v>
      </c>
      <c r="G23" s="204">
        <f t="shared" ca="1" si="3"/>
        <v>430801.41760000004</v>
      </c>
      <c r="H23" s="205">
        <f t="shared" ca="1" si="4"/>
        <v>422768.81020608451</v>
      </c>
      <c r="I23" s="343"/>
      <c r="J23" s="344"/>
      <c r="K23" s="345"/>
      <c r="L23" s="346"/>
    </row>
    <row r="24" spans="1:12">
      <c r="A24" s="89">
        <f>IF(C24&lt;&gt;"",'Cash Flow Analysis'!A71,"")</f>
        <v>2020</v>
      </c>
      <c r="B24" s="295">
        <f t="shared" si="1"/>
        <v>8</v>
      </c>
      <c r="C24" s="295">
        <f t="shared" si="2"/>
        <v>7</v>
      </c>
      <c r="D24" s="459"/>
      <c r="E24" s="204">
        <f>+'Carbon Sequestration'!$C$100*(C24&lt;=anal_period)</f>
        <v>0</v>
      </c>
      <c r="F24" s="204">
        <f t="shared" si="0"/>
        <v>0</v>
      </c>
      <c r="G24" s="204">
        <f t="shared" ca="1" si="3"/>
        <v>430801.41760000004</v>
      </c>
      <c r="H24" s="205">
        <f t="shared" ca="1" si="4"/>
        <v>422768.81020608451</v>
      </c>
      <c r="I24" s="343"/>
      <c r="J24" s="344"/>
      <c r="K24" s="345"/>
      <c r="L24" s="346"/>
    </row>
    <row r="25" spans="1:12" ht="25.5">
      <c r="A25" s="89">
        <f>IF(C25&lt;&gt;"",'Cash Flow Analysis'!A72,"")</f>
        <v>2021</v>
      </c>
      <c r="B25" s="295">
        <f t="shared" si="1"/>
        <v>9</v>
      </c>
      <c r="C25" s="295">
        <f t="shared" si="2"/>
        <v>8</v>
      </c>
      <c r="D25" s="459">
        <f ca="1">0.15*direct_cap/(CPIinflator*CEPCIinflator)</f>
        <v>9101438.4000000004</v>
      </c>
      <c r="E25" s="204">
        <f>+'Carbon Sequestration'!$C$100*(C25&lt;=anal_period)</f>
        <v>0</v>
      </c>
      <c r="F25" s="204">
        <f t="shared" ca="1" si="0"/>
        <v>9101438.4000000004</v>
      </c>
      <c r="G25" s="204">
        <f t="shared" ca="1" si="3"/>
        <v>430801.41760000004</v>
      </c>
      <c r="H25" s="205">
        <f t="shared" ca="1" si="4"/>
        <v>9354504.2370951939</v>
      </c>
      <c r="I25" s="343"/>
      <c r="J25" s="344"/>
      <c r="K25" s="1404" t="s">
        <v>1430</v>
      </c>
      <c r="L25" s="346"/>
    </row>
    <row r="26" spans="1:12">
      <c r="A26" s="89">
        <f>IF(C26&lt;&gt;"",'Cash Flow Analysis'!A73,"")</f>
        <v>2022</v>
      </c>
      <c r="B26" s="295">
        <f t="shared" si="1"/>
        <v>10</v>
      </c>
      <c r="C26" s="295">
        <f t="shared" si="2"/>
        <v>9</v>
      </c>
      <c r="D26" s="459"/>
      <c r="E26" s="204">
        <f>+'Carbon Sequestration'!$C$100*(C26&lt;=anal_period)</f>
        <v>0</v>
      </c>
      <c r="F26" s="204">
        <f t="shared" si="0"/>
        <v>0</v>
      </c>
      <c r="G26" s="204">
        <f t="shared" ca="1" si="3"/>
        <v>430801.41760000004</v>
      </c>
      <c r="H26" s="205">
        <f t="shared" ca="1" si="4"/>
        <v>422768.81020608451</v>
      </c>
      <c r="I26" s="343"/>
      <c r="J26" s="344"/>
      <c r="K26" s="345"/>
      <c r="L26" s="346"/>
    </row>
    <row r="27" spans="1:12">
      <c r="A27" s="89">
        <f>IF(C27&lt;&gt;"",'Cash Flow Analysis'!A74,"")</f>
        <v>2023</v>
      </c>
      <c r="B27" s="295">
        <f t="shared" si="1"/>
        <v>11</v>
      </c>
      <c r="C27" s="295">
        <f t="shared" si="2"/>
        <v>10</v>
      </c>
      <c r="D27" s="459"/>
      <c r="E27" s="204">
        <f>+'Carbon Sequestration'!$C$100*(C27&lt;=anal_period)</f>
        <v>0</v>
      </c>
      <c r="F27" s="204">
        <f t="shared" si="0"/>
        <v>0</v>
      </c>
      <c r="G27" s="204">
        <f t="shared" ca="1" si="3"/>
        <v>430801.41760000004</v>
      </c>
      <c r="H27" s="205">
        <f t="shared" ca="1" si="4"/>
        <v>422768.81020608451</v>
      </c>
      <c r="I27" s="343"/>
      <c r="J27" s="344"/>
      <c r="K27" s="345"/>
      <c r="L27" s="346"/>
    </row>
    <row r="28" spans="1:12">
      <c r="A28" s="89">
        <f>IF(C28&lt;&gt;"",'Cash Flow Analysis'!A75,"")</f>
        <v>2024</v>
      </c>
      <c r="B28" s="295">
        <f t="shared" si="1"/>
        <v>12</v>
      </c>
      <c r="C28" s="295">
        <f t="shared" si="2"/>
        <v>11</v>
      </c>
      <c r="D28" s="459"/>
      <c r="E28" s="204">
        <f>+'Carbon Sequestration'!$C$100*(C28&lt;=anal_period)</f>
        <v>0</v>
      </c>
      <c r="F28" s="204">
        <f t="shared" si="0"/>
        <v>0</v>
      </c>
      <c r="G28" s="204">
        <f t="shared" ca="1" si="3"/>
        <v>430801.41760000004</v>
      </c>
      <c r="H28" s="205">
        <f t="shared" ca="1" si="4"/>
        <v>422768.81020608451</v>
      </c>
      <c r="I28" s="343"/>
      <c r="J28" s="344"/>
      <c r="K28" s="345"/>
      <c r="L28" s="346"/>
    </row>
    <row r="29" spans="1:12">
      <c r="A29" s="89">
        <f>IF(C29&lt;&gt;"",'Cash Flow Analysis'!A76,"")</f>
        <v>2025</v>
      </c>
      <c r="B29" s="295">
        <f t="shared" si="1"/>
        <v>13</v>
      </c>
      <c r="C29" s="295">
        <f t="shared" si="2"/>
        <v>12</v>
      </c>
      <c r="D29" s="459"/>
      <c r="E29" s="204">
        <f>+'Carbon Sequestration'!$C$100*(C29&lt;=anal_period)</f>
        <v>0</v>
      </c>
      <c r="F29" s="204">
        <f t="shared" si="0"/>
        <v>0</v>
      </c>
      <c r="G29" s="204">
        <f t="shared" ca="1" si="3"/>
        <v>430801.41760000004</v>
      </c>
      <c r="H29" s="205">
        <f t="shared" ca="1" si="4"/>
        <v>422768.81020608451</v>
      </c>
      <c r="I29" s="343"/>
      <c r="J29" s="344"/>
      <c r="K29" s="345"/>
      <c r="L29" s="346"/>
    </row>
    <row r="30" spans="1:12">
      <c r="A30" s="89">
        <f>IF(C30&lt;&gt;"",'Cash Flow Analysis'!A77,"")</f>
        <v>2026</v>
      </c>
      <c r="B30" s="295">
        <f t="shared" si="1"/>
        <v>14</v>
      </c>
      <c r="C30" s="295">
        <f t="shared" si="2"/>
        <v>13</v>
      </c>
      <c r="D30" s="459"/>
      <c r="E30" s="204">
        <f>+'Carbon Sequestration'!$C$100*(C30&lt;=anal_period)</f>
        <v>0</v>
      </c>
      <c r="F30" s="204">
        <f t="shared" si="0"/>
        <v>0</v>
      </c>
      <c r="G30" s="204">
        <f t="shared" ca="1" si="3"/>
        <v>430801.41760000004</v>
      </c>
      <c r="H30" s="205">
        <f t="shared" ca="1" si="4"/>
        <v>422768.81020608451</v>
      </c>
      <c r="I30" s="343"/>
      <c r="J30" s="344"/>
      <c r="K30" s="345"/>
      <c r="L30" s="346"/>
    </row>
    <row r="31" spans="1:12">
      <c r="A31" s="89">
        <f>IF(C31&lt;&gt;"",'Cash Flow Analysis'!A78,"")</f>
        <v>2027</v>
      </c>
      <c r="B31" s="295">
        <f t="shared" si="1"/>
        <v>15</v>
      </c>
      <c r="C31" s="295">
        <f t="shared" si="2"/>
        <v>14</v>
      </c>
      <c r="D31" s="459"/>
      <c r="E31" s="204">
        <f>+'Carbon Sequestration'!$C$100*(C31&lt;=anal_period)</f>
        <v>0</v>
      </c>
      <c r="F31" s="204">
        <f t="shared" si="0"/>
        <v>0</v>
      </c>
      <c r="G31" s="204">
        <f t="shared" ca="1" si="3"/>
        <v>430801.41760000004</v>
      </c>
      <c r="H31" s="205">
        <f t="shared" ca="1" si="4"/>
        <v>422768.81020608451</v>
      </c>
      <c r="I31" s="343"/>
      <c r="J31" s="344"/>
      <c r="K31" s="345"/>
      <c r="L31" s="346"/>
    </row>
    <row r="32" spans="1:12" ht="25.5">
      <c r="A32" s="89">
        <f>IF(C32&lt;&gt;"",'Cash Flow Analysis'!A79,"")</f>
        <v>2028</v>
      </c>
      <c r="B32" s="295">
        <f t="shared" si="1"/>
        <v>16</v>
      </c>
      <c r="C32" s="295">
        <f t="shared" si="2"/>
        <v>15</v>
      </c>
      <c r="D32" s="459">
        <f ca="1">0.15*direct_cap/(CPIinflator*CEPCIinflator)</f>
        <v>9101438.4000000004</v>
      </c>
      <c r="E32" s="204">
        <f>+'Carbon Sequestration'!$C$100*(C32&lt;=anal_period)</f>
        <v>0</v>
      </c>
      <c r="F32" s="204">
        <f t="shared" ca="1" si="0"/>
        <v>9101438.4000000004</v>
      </c>
      <c r="G32" s="204">
        <f t="shared" ca="1" si="3"/>
        <v>430801.41760000004</v>
      </c>
      <c r="H32" s="205">
        <f t="shared" ca="1" si="4"/>
        <v>9354504.2370951939</v>
      </c>
      <c r="I32" s="343"/>
      <c r="J32" s="344"/>
      <c r="K32" s="1404" t="s">
        <v>1430</v>
      </c>
      <c r="L32" s="346"/>
    </row>
    <row r="33" spans="1:12">
      <c r="A33" s="89">
        <f>IF(C33&lt;&gt;"",'Cash Flow Analysis'!A80,"")</f>
        <v>2029</v>
      </c>
      <c r="B33" s="295">
        <f t="shared" si="1"/>
        <v>17</v>
      </c>
      <c r="C33" s="295">
        <f t="shared" si="2"/>
        <v>16</v>
      </c>
      <c r="D33" s="459"/>
      <c r="E33" s="204">
        <f>+'Carbon Sequestration'!$C$100*(C33&lt;=anal_period)</f>
        <v>0</v>
      </c>
      <c r="F33" s="204">
        <f t="shared" si="0"/>
        <v>0</v>
      </c>
      <c r="G33" s="204">
        <f t="shared" ca="1" si="3"/>
        <v>430801.41760000004</v>
      </c>
      <c r="H33" s="205">
        <f t="shared" ca="1" si="4"/>
        <v>422768.81020608451</v>
      </c>
      <c r="I33" s="343"/>
      <c r="J33" s="344"/>
      <c r="K33" s="345"/>
      <c r="L33" s="346"/>
    </row>
    <row r="34" spans="1:12">
      <c r="A34" s="89">
        <f>IF(C34&lt;&gt;"",'Cash Flow Analysis'!A81,"")</f>
        <v>2030</v>
      </c>
      <c r="B34" s="295">
        <f t="shared" si="1"/>
        <v>18</v>
      </c>
      <c r="C34" s="295">
        <f t="shared" si="2"/>
        <v>17</v>
      </c>
      <c r="D34" s="459"/>
      <c r="E34" s="204">
        <f>+'Carbon Sequestration'!$C$100*(C34&lt;=anal_period)</f>
        <v>0</v>
      </c>
      <c r="F34" s="204">
        <f t="shared" si="0"/>
        <v>0</v>
      </c>
      <c r="G34" s="204">
        <f t="shared" ca="1" si="3"/>
        <v>430801.41760000004</v>
      </c>
      <c r="H34" s="205">
        <f t="shared" ca="1" si="4"/>
        <v>422768.81020608451</v>
      </c>
      <c r="I34" s="343"/>
      <c r="J34" s="344"/>
      <c r="K34" s="345"/>
      <c r="L34" s="346"/>
    </row>
    <row r="35" spans="1:12">
      <c r="A35" s="89">
        <f>IF(C35&lt;&gt;"",'Cash Flow Analysis'!A82,"")</f>
        <v>2031</v>
      </c>
      <c r="B35" s="295">
        <f t="shared" si="1"/>
        <v>19</v>
      </c>
      <c r="C35" s="295">
        <f t="shared" si="2"/>
        <v>18</v>
      </c>
      <c r="D35" s="459"/>
      <c r="E35" s="204">
        <f>+'Carbon Sequestration'!$C$100*(C35&lt;=anal_period)</f>
        <v>0</v>
      </c>
      <c r="F35" s="204">
        <f t="shared" si="0"/>
        <v>0</v>
      </c>
      <c r="G35" s="204">
        <f t="shared" ca="1" si="3"/>
        <v>430801.41760000004</v>
      </c>
      <c r="H35" s="205">
        <f t="shared" ca="1" si="4"/>
        <v>422768.81020608451</v>
      </c>
      <c r="I35" s="343"/>
      <c r="J35" s="344"/>
      <c r="K35" s="345"/>
      <c r="L35" s="346"/>
    </row>
    <row r="36" spans="1:12">
      <c r="A36" s="89">
        <f>IF(C36&lt;&gt;"",'Cash Flow Analysis'!A83,"")</f>
        <v>2032</v>
      </c>
      <c r="B36" s="295">
        <f t="shared" si="1"/>
        <v>20</v>
      </c>
      <c r="C36" s="295">
        <f t="shared" si="2"/>
        <v>19</v>
      </c>
      <c r="D36" s="459"/>
      <c r="E36" s="204">
        <f>+'Carbon Sequestration'!$C$100*(C36&lt;=anal_period)</f>
        <v>0</v>
      </c>
      <c r="F36" s="204">
        <f t="shared" si="0"/>
        <v>0</v>
      </c>
      <c r="G36" s="204">
        <f t="shared" ca="1" si="3"/>
        <v>430801.41760000004</v>
      </c>
      <c r="H36" s="205">
        <f t="shared" ca="1" si="4"/>
        <v>422768.81020608451</v>
      </c>
      <c r="I36" s="343"/>
      <c r="J36" s="344"/>
      <c r="K36" s="345"/>
      <c r="L36" s="346"/>
    </row>
    <row r="37" spans="1:12">
      <c r="A37" s="89">
        <f>IF(C37&lt;&gt;"",'Cash Flow Analysis'!A84,"")</f>
        <v>2033</v>
      </c>
      <c r="B37" s="295">
        <f t="shared" si="1"/>
        <v>21</v>
      </c>
      <c r="C37" s="295">
        <f t="shared" si="2"/>
        <v>20</v>
      </c>
      <c r="D37" s="459"/>
      <c r="E37" s="204">
        <f>+'Carbon Sequestration'!$C$100*(C37&lt;=anal_period)</f>
        <v>0</v>
      </c>
      <c r="F37" s="204">
        <f t="shared" si="0"/>
        <v>0</v>
      </c>
      <c r="G37" s="204">
        <f t="shared" ca="1" si="3"/>
        <v>430801.41760000004</v>
      </c>
      <c r="H37" s="205">
        <f t="shared" ca="1" si="4"/>
        <v>422768.81020608451</v>
      </c>
      <c r="I37" s="343"/>
      <c r="J37" s="344"/>
      <c r="K37" s="345"/>
      <c r="L37" s="346"/>
    </row>
    <row r="38" spans="1:12">
      <c r="A38" s="89">
        <f>IF(C38&lt;&gt;"",'Cash Flow Analysis'!A85,"")</f>
        <v>2034</v>
      </c>
      <c r="B38" s="295">
        <f t="shared" si="1"/>
        <v>22</v>
      </c>
      <c r="C38" s="295">
        <f t="shared" si="2"/>
        <v>21</v>
      </c>
      <c r="D38" s="459"/>
      <c r="E38" s="204">
        <f>+'Carbon Sequestration'!$C$100*(C38&lt;=anal_period)</f>
        <v>0</v>
      </c>
      <c r="F38" s="204">
        <f t="shared" si="0"/>
        <v>0</v>
      </c>
      <c r="G38" s="204">
        <f t="shared" ca="1" si="3"/>
        <v>430801.41760000004</v>
      </c>
      <c r="H38" s="205">
        <f t="shared" ca="1" si="4"/>
        <v>422768.81020608451</v>
      </c>
      <c r="I38" s="343"/>
      <c r="J38" s="344"/>
      <c r="K38" s="345"/>
      <c r="L38" s="346"/>
    </row>
    <row r="39" spans="1:12" ht="25.5">
      <c r="A39" s="89">
        <f>IF(C39&lt;&gt;"",'Cash Flow Analysis'!A86,"")</f>
        <v>2035</v>
      </c>
      <c r="B39" s="295">
        <f t="shared" si="1"/>
        <v>23</v>
      </c>
      <c r="C39" s="295">
        <f t="shared" si="2"/>
        <v>22</v>
      </c>
      <c r="D39" s="459">
        <f ca="1">0.15*direct_cap/(CPIinflator*CEPCIinflator)</f>
        <v>9101438.4000000004</v>
      </c>
      <c r="E39" s="204">
        <f>+'Carbon Sequestration'!$C$100*(C39&lt;=anal_period)</f>
        <v>0</v>
      </c>
      <c r="F39" s="204">
        <f t="shared" ca="1" si="0"/>
        <v>9101438.4000000004</v>
      </c>
      <c r="G39" s="204">
        <f t="shared" ca="1" si="3"/>
        <v>430801.41760000004</v>
      </c>
      <c r="H39" s="205">
        <f t="shared" ca="1" si="4"/>
        <v>9354504.2370951939</v>
      </c>
      <c r="I39" s="343"/>
      <c r="J39" s="344"/>
      <c r="K39" s="1404" t="s">
        <v>1430</v>
      </c>
      <c r="L39" s="346"/>
    </row>
    <row r="40" spans="1:12">
      <c r="A40" s="89">
        <f>IF(C40&lt;&gt;"",'Cash Flow Analysis'!A87,"")</f>
        <v>2036</v>
      </c>
      <c r="B40" s="295">
        <f t="shared" si="1"/>
        <v>24</v>
      </c>
      <c r="C40" s="295">
        <f t="shared" si="2"/>
        <v>23</v>
      </c>
      <c r="D40" s="459"/>
      <c r="E40" s="204">
        <f>+'Carbon Sequestration'!$C$100*(C40&lt;=anal_period)</f>
        <v>0</v>
      </c>
      <c r="F40" s="204">
        <f t="shared" si="0"/>
        <v>0</v>
      </c>
      <c r="G40" s="204">
        <f t="shared" ca="1" si="3"/>
        <v>430801.41760000004</v>
      </c>
      <c r="H40" s="205">
        <f t="shared" ca="1" si="4"/>
        <v>422768.81020608451</v>
      </c>
      <c r="I40" s="343"/>
      <c r="J40" s="344"/>
      <c r="K40" s="345"/>
      <c r="L40" s="346"/>
    </row>
    <row r="41" spans="1:12">
      <c r="A41" s="89">
        <f>IF(C41&lt;&gt;"",'Cash Flow Analysis'!A88,"")</f>
        <v>2037</v>
      </c>
      <c r="B41" s="295">
        <f t="shared" si="1"/>
        <v>25</v>
      </c>
      <c r="C41" s="295">
        <f t="shared" si="2"/>
        <v>24</v>
      </c>
      <c r="D41" s="459"/>
      <c r="E41" s="204">
        <f>+'Carbon Sequestration'!$C$100*(C41&lt;=anal_period)</f>
        <v>0</v>
      </c>
      <c r="F41" s="204">
        <f t="shared" si="0"/>
        <v>0</v>
      </c>
      <c r="G41" s="204">
        <f t="shared" ca="1" si="3"/>
        <v>430801.41760000004</v>
      </c>
      <c r="H41" s="205">
        <f t="shared" ca="1" si="4"/>
        <v>422768.81020608451</v>
      </c>
      <c r="I41" s="343"/>
      <c r="J41" s="344"/>
      <c r="K41" s="345"/>
      <c r="L41" s="346"/>
    </row>
    <row r="42" spans="1:12">
      <c r="A42" s="89">
        <f>IF(C42&lt;&gt;"",'Cash Flow Analysis'!A89,"")</f>
        <v>2038</v>
      </c>
      <c r="B42" s="295">
        <f t="shared" si="1"/>
        <v>26</v>
      </c>
      <c r="C42" s="295">
        <f t="shared" si="2"/>
        <v>25</v>
      </c>
      <c r="D42" s="459"/>
      <c r="E42" s="204">
        <f>+'Carbon Sequestration'!$C$100*(C42&lt;=anal_period)</f>
        <v>0</v>
      </c>
      <c r="F42" s="204">
        <f t="shared" si="0"/>
        <v>0</v>
      </c>
      <c r="G42" s="204">
        <f t="shared" ca="1" si="3"/>
        <v>430801.41760000004</v>
      </c>
      <c r="H42" s="205">
        <f t="shared" ca="1" si="4"/>
        <v>422768.81020608451</v>
      </c>
      <c r="I42" s="343"/>
      <c r="J42" s="344"/>
      <c r="K42" s="345"/>
      <c r="L42" s="346"/>
    </row>
    <row r="43" spans="1:12">
      <c r="A43" s="89">
        <f>IF(C43&lt;&gt;"",'Cash Flow Analysis'!A90,"")</f>
        <v>2039</v>
      </c>
      <c r="B43" s="295">
        <f t="shared" si="1"/>
        <v>27</v>
      </c>
      <c r="C43" s="295">
        <f t="shared" si="2"/>
        <v>26</v>
      </c>
      <c r="D43" s="459"/>
      <c r="E43" s="204">
        <f>+'Carbon Sequestration'!$C$100*(C43&lt;=anal_period)</f>
        <v>0</v>
      </c>
      <c r="F43" s="204">
        <f t="shared" si="0"/>
        <v>0</v>
      </c>
      <c r="G43" s="204">
        <f t="shared" ca="1" si="3"/>
        <v>430801.41760000004</v>
      </c>
      <c r="H43" s="205">
        <f t="shared" ca="1" si="4"/>
        <v>422768.81020608451</v>
      </c>
      <c r="I43" s="343"/>
      <c r="J43" s="344"/>
      <c r="K43" s="345"/>
      <c r="L43" s="346"/>
    </row>
    <row r="44" spans="1:12">
      <c r="A44" s="89">
        <f>IF(C44&lt;&gt;"",'Cash Flow Analysis'!A91,"")</f>
        <v>2040</v>
      </c>
      <c r="B44" s="295">
        <f t="shared" si="1"/>
        <v>28</v>
      </c>
      <c r="C44" s="295">
        <f t="shared" si="2"/>
        <v>27</v>
      </c>
      <c r="D44" s="459"/>
      <c r="E44" s="204">
        <f>+'Carbon Sequestration'!$C$100*(C44&lt;=anal_period)</f>
        <v>0</v>
      </c>
      <c r="F44" s="204">
        <f t="shared" si="0"/>
        <v>0</v>
      </c>
      <c r="G44" s="204">
        <f t="shared" ca="1" si="3"/>
        <v>430801.41760000004</v>
      </c>
      <c r="H44" s="205">
        <f t="shared" ca="1" si="4"/>
        <v>422768.81020608451</v>
      </c>
      <c r="I44" s="343"/>
      <c r="J44" s="344"/>
      <c r="K44" s="345"/>
      <c r="L44" s="346"/>
    </row>
    <row r="45" spans="1:12">
      <c r="A45" s="89">
        <f>IF(C45&lt;&gt;"",'Cash Flow Analysis'!A92,"")</f>
        <v>2041</v>
      </c>
      <c r="B45" s="295">
        <f t="shared" si="1"/>
        <v>29</v>
      </c>
      <c r="C45" s="295">
        <f t="shared" si="2"/>
        <v>28</v>
      </c>
      <c r="D45" s="459"/>
      <c r="E45" s="204">
        <f>+'Carbon Sequestration'!$C$100*(C45&lt;=anal_period)</f>
        <v>0</v>
      </c>
      <c r="F45" s="204">
        <f t="shared" si="0"/>
        <v>0</v>
      </c>
      <c r="G45" s="204">
        <f t="shared" ca="1" si="3"/>
        <v>430801.41760000004</v>
      </c>
      <c r="H45" s="205">
        <f t="shared" ca="1" si="4"/>
        <v>422768.81020608451</v>
      </c>
      <c r="I45" s="343"/>
      <c r="J45" s="344"/>
      <c r="K45" s="345"/>
      <c r="L45" s="346"/>
    </row>
    <row r="46" spans="1:12" ht="25.5">
      <c r="A46" s="89">
        <f>IF(C46&lt;&gt;"",'Cash Flow Analysis'!A93,"")</f>
        <v>2042</v>
      </c>
      <c r="B46" s="295">
        <f t="shared" si="1"/>
        <v>30</v>
      </c>
      <c r="C46" s="295">
        <f t="shared" si="2"/>
        <v>29</v>
      </c>
      <c r="D46" s="459">
        <f ca="1">0.15*direct_cap/(CPIinflator*CEPCIinflator)</f>
        <v>9101438.4000000004</v>
      </c>
      <c r="E46" s="204">
        <f>+'Carbon Sequestration'!$C$100*(C46&lt;=anal_period)</f>
        <v>0</v>
      </c>
      <c r="F46" s="204">
        <f t="shared" ca="1" si="0"/>
        <v>9101438.4000000004</v>
      </c>
      <c r="G46" s="204">
        <f t="shared" ca="1" si="3"/>
        <v>430801.41760000004</v>
      </c>
      <c r="H46" s="205">
        <f t="shared" ca="1" si="4"/>
        <v>9354504.2370951939</v>
      </c>
      <c r="I46" s="343"/>
      <c r="J46" s="344"/>
      <c r="K46" s="1404" t="s">
        <v>1430</v>
      </c>
      <c r="L46" s="346"/>
    </row>
    <row r="47" spans="1:12">
      <c r="A47" s="89">
        <f>IF(C47&lt;&gt;"",'Cash Flow Analysis'!A94,"")</f>
        <v>2043</v>
      </c>
      <c r="B47" s="295">
        <f t="shared" si="1"/>
        <v>31</v>
      </c>
      <c r="C47" s="295">
        <f t="shared" si="2"/>
        <v>30</v>
      </c>
      <c r="D47" s="459"/>
      <c r="E47" s="204">
        <f>+'Carbon Sequestration'!$C$100*(C47&lt;=anal_period)</f>
        <v>0</v>
      </c>
      <c r="F47" s="204">
        <f t="shared" si="0"/>
        <v>0</v>
      </c>
      <c r="G47" s="204">
        <f t="shared" ca="1" si="3"/>
        <v>430801.41760000004</v>
      </c>
      <c r="H47" s="205">
        <f t="shared" ca="1" si="4"/>
        <v>422768.81020608451</v>
      </c>
      <c r="I47" s="343"/>
      <c r="J47" s="344"/>
      <c r="K47" s="345"/>
      <c r="L47" s="346"/>
    </row>
    <row r="48" spans="1:12">
      <c r="A48" s="89">
        <f>IF(C48&lt;&gt;"",'Cash Flow Analysis'!A95,"")</f>
        <v>2044</v>
      </c>
      <c r="B48" s="295">
        <f t="shared" si="1"/>
        <v>32</v>
      </c>
      <c r="C48" s="295">
        <f t="shared" si="2"/>
        <v>31</v>
      </c>
      <c r="D48" s="459"/>
      <c r="E48" s="204">
        <f>+'Carbon Sequestration'!$C$100*(C48&lt;=anal_period)</f>
        <v>0</v>
      </c>
      <c r="F48" s="204">
        <f t="shared" si="0"/>
        <v>0</v>
      </c>
      <c r="G48" s="204">
        <f t="shared" ca="1" si="3"/>
        <v>430801.41760000004</v>
      </c>
      <c r="H48" s="205">
        <f t="shared" ca="1" si="4"/>
        <v>422768.81020608451</v>
      </c>
      <c r="I48" s="343"/>
      <c r="J48" s="344"/>
      <c r="K48" s="345"/>
      <c r="L48" s="346"/>
    </row>
    <row r="49" spans="1:12">
      <c r="A49" s="89">
        <f>IF(C49&lt;&gt;"",'Cash Flow Analysis'!A96,"")</f>
        <v>2045</v>
      </c>
      <c r="B49" s="295">
        <f t="shared" si="1"/>
        <v>33</v>
      </c>
      <c r="C49" s="295">
        <f t="shared" si="2"/>
        <v>32</v>
      </c>
      <c r="D49" s="459"/>
      <c r="E49" s="204">
        <f>+'Carbon Sequestration'!$C$100*(C49&lt;=anal_period)</f>
        <v>0</v>
      </c>
      <c r="F49" s="204">
        <f t="shared" si="0"/>
        <v>0</v>
      </c>
      <c r="G49" s="204">
        <f t="shared" ca="1" si="3"/>
        <v>430801.41760000004</v>
      </c>
      <c r="H49" s="205">
        <f t="shared" ca="1" si="4"/>
        <v>422768.81020608451</v>
      </c>
      <c r="I49" s="343"/>
      <c r="J49" s="344"/>
      <c r="K49" s="345"/>
      <c r="L49" s="346"/>
    </row>
    <row r="50" spans="1:12">
      <c r="A50" s="89">
        <f>IF(C50&lt;&gt;"",'Cash Flow Analysis'!A97,"")</f>
        <v>2046</v>
      </c>
      <c r="B50" s="295">
        <f t="shared" si="1"/>
        <v>34</v>
      </c>
      <c r="C50" s="295">
        <f t="shared" si="2"/>
        <v>33</v>
      </c>
      <c r="D50" s="459"/>
      <c r="E50" s="204">
        <f>+'Carbon Sequestration'!$C$100*(C50&lt;=anal_period)</f>
        <v>0</v>
      </c>
      <c r="F50" s="204">
        <f t="shared" si="0"/>
        <v>0</v>
      </c>
      <c r="G50" s="204">
        <f t="shared" ca="1" si="3"/>
        <v>430801.41760000004</v>
      </c>
      <c r="H50" s="205">
        <f t="shared" ca="1" si="4"/>
        <v>422768.81020608451</v>
      </c>
      <c r="I50" s="343"/>
      <c r="J50" s="344"/>
      <c r="K50" s="345"/>
      <c r="L50" s="346"/>
    </row>
    <row r="51" spans="1:12">
      <c r="A51" s="89">
        <f>IF(C51&lt;&gt;"",'Cash Flow Analysis'!A98,"")</f>
        <v>2047</v>
      </c>
      <c r="B51" s="295">
        <f t="shared" si="1"/>
        <v>35</v>
      </c>
      <c r="C51" s="295">
        <f t="shared" si="2"/>
        <v>34</v>
      </c>
      <c r="D51" s="459"/>
      <c r="E51" s="204">
        <f>+'Carbon Sequestration'!$C$100*(C51&lt;=anal_period)</f>
        <v>0</v>
      </c>
      <c r="F51" s="204">
        <f t="shared" si="0"/>
        <v>0</v>
      </c>
      <c r="G51" s="204">
        <f t="shared" ca="1" si="3"/>
        <v>430801.41760000004</v>
      </c>
      <c r="H51" s="205">
        <f t="shared" ca="1" si="4"/>
        <v>422768.81020608451</v>
      </c>
      <c r="I51" s="343"/>
      <c r="J51" s="344"/>
      <c r="K51" s="345"/>
      <c r="L51" s="346"/>
    </row>
    <row r="52" spans="1:12">
      <c r="A52" s="89">
        <f>IF(C52&lt;&gt;"",'Cash Flow Analysis'!A99,"")</f>
        <v>2048</v>
      </c>
      <c r="B52" s="295">
        <f t="shared" si="1"/>
        <v>36</v>
      </c>
      <c r="C52" s="295">
        <f t="shared" si="2"/>
        <v>35</v>
      </c>
      <c r="D52" s="459"/>
      <c r="E52" s="204">
        <f>+'Carbon Sequestration'!$C$100*(C52&lt;=anal_period)</f>
        <v>0</v>
      </c>
      <c r="F52" s="204">
        <f t="shared" si="0"/>
        <v>0</v>
      </c>
      <c r="G52" s="204">
        <f t="shared" ca="1" si="3"/>
        <v>430801.41760000004</v>
      </c>
      <c r="H52" s="205">
        <f t="shared" ca="1" si="4"/>
        <v>422768.81020608451</v>
      </c>
      <c r="I52" s="343"/>
      <c r="J52" s="344"/>
      <c r="K52" s="345"/>
      <c r="L52" s="346"/>
    </row>
    <row r="53" spans="1:12" ht="25.5">
      <c r="A53" s="89">
        <f>IF(C53&lt;&gt;"",'Cash Flow Analysis'!A100,"")</f>
        <v>2049</v>
      </c>
      <c r="B53" s="295">
        <f t="shared" si="1"/>
        <v>37</v>
      </c>
      <c r="C53" s="295">
        <f t="shared" si="2"/>
        <v>36</v>
      </c>
      <c r="D53" s="459">
        <f ca="1">0.15*direct_cap/(CPIinflator*CEPCIinflator)</f>
        <v>9101438.4000000004</v>
      </c>
      <c r="E53" s="204">
        <f>+'Carbon Sequestration'!$C$100*(C53&lt;=anal_period)</f>
        <v>0</v>
      </c>
      <c r="F53" s="204">
        <f t="shared" ca="1" si="0"/>
        <v>9101438.4000000004</v>
      </c>
      <c r="G53" s="204">
        <f t="shared" ca="1" si="3"/>
        <v>430801.41760000004</v>
      </c>
      <c r="H53" s="205">
        <f t="shared" ca="1" si="4"/>
        <v>9354504.2370951939</v>
      </c>
      <c r="I53" s="343"/>
      <c r="J53" s="344"/>
      <c r="K53" s="1404" t="s">
        <v>1430</v>
      </c>
      <c r="L53" s="346"/>
    </row>
    <row r="54" spans="1:12">
      <c r="A54" s="89">
        <f>IF(C54&lt;&gt;"",'Cash Flow Analysis'!A101,"")</f>
        <v>2050</v>
      </c>
      <c r="B54" s="295">
        <f t="shared" si="1"/>
        <v>38</v>
      </c>
      <c r="C54" s="295">
        <f t="shared" si="2"/>
        <v>37</v>
      </c>
      <c r="D54" s="459"/>
      <c r="E54" s="204">
        <f>+'Carbon Sequestration'!$C$100*(C54&lt;=anal_period)</f>
        <v>0</v>
      </c>
      <c r="F54" s="204">
        <f t="shared" si="0"/>
        <v>0</v>
      </c>
      <c r="G54" s="204">
        <f t="shared" ca="1" si="3"/>
        <v>430801.41760000004</v>
      </c>
      <c r="H54" s="205">
        <f t="shared" ca="1" si="4"/>
        <v>422768.81020608451</v>
      </c>
      <c r="I54" s="343"/>
      <c r="J54" s="344"/>
      <c r="K54" s="345"/>
      <c r="L54" s="346"/>
    </row>
    <row r="55" spans="1:12">
      <c r="A55" s="89">
        <f>IF(C55&lt;&gt;"",'Cash Flow Analysis'!A102,"")</f>
        <v>2051</v>
      </c>
      <c r="B55" s="295">
        <f t="shared" si="1"/>
        <v>39</v>
      </c>
      <c r="C55" s="295">
        <f t="shared" si="2"/>
        <v>38</v>
      </c>
      <c r="D55" s="459"/>
      <c r="E55" s="204">
        <f>+'Carbon Sequestration'!$C$100*(C55&lt;=anal_period)</f>
        <v>0</v>
      </c>
      <c r="F55" s="204">
        <f t="shared" si="0"/>
        <v>0</v>
      </c>
      <c r="G55" s="204">
        <f t="shared" ca="1" si="3"/>
        <v>430801.41760000004</v>
      </c>
      <c r="H55" s="205">
        <f t="shared" ca="1" si="4"/>
        <v>422768.81020608451</v>
      </c>
      <c r="I55" s="343"/>
      <c r="J55" s="344"/>
      <c r="K55" s="345"/>
      <c r="L55" s="346"/>
    </row>
    <row r="56" spans="1:12">
      <c r="A56" s="89">
        <f>IF(C56&lt;&gt;"",'Cash Flow Analysis'!A103,"")</f>
        <v>2052</v>
      </c>
      <c r="B56" s="295">
        <f t="shared" si="1"/>
        <v>40</v>
      </c>
      <c r="C56" s="295">
        <f t="shared" si="2"/>
        <v>39</v>
      </c>
      <c r="D56" s="459"/>
      <c r="E56" s="204">
        <f>+'Carbon Sequestration'!$C$100*(C56&lt;=anal_period)</f>
        <v>0</v>
      </c>
      <c r="F56" s="204">
        <f t="shared" si="0"/>
        <v>0</v>
      </c>
      <c r="G56" s="204">
        <f t="shared" ca="1" si="3"/>
        <v>430801.41760000004</v>
      </c>
      <c r="H56" s="205">
        <f t="shared" ca="1" si="4"/>
        <v>422768.81020608451</v>
      </c>
      <c r="I56" s="343"/>
      <c r="J56" s="344"/>
      <c r="K56" s="345"/>
      <c r="L56" s="346"/>
    </row>
    <row r="57" spans="1:12" ht="13.5" thickBot="1">
      <c r="A57" s="91">
        <f>IF(C57&lt;&gt;"",'Cash Flow Analysis'!A104,"")</f>
        <v>2053</v>
      </c>
      <c r="B57" s="296">
        <f t="shared" si="1"/>
        <v>41</v>
      </c>
      <c r="C57" s="296">
        <f t="shared" si="2"/>
        <v>40</v>
      </c>
      <c r="D57" s="460"/>
      <c r="E57" s="206">
        <f>+'Carbon Sequestration'!$C$100*(C57&lt;=anal_period)</f>
        <v>0</v>
      </c>
      <c r="F57" s="206">
        <f t="shared" si="0"/>
        <v>0</v>
      </c>
      <c r="G57" s="206">
        <f t="shared" ca="1" si="3"/>
        <v>430801.41760000004</v>
      </c>
      <c r="H57" s="207">
        <f t="shared" ca="1" si="4"/>
        <v>422768.81020608451</v>
      </c>
      <c r="I57" s="347"/>
      <c r="J57" s="348"/>
      <c r="K57" s="349"/>
      <c r="L57" s="350"/>
    </row>
    <row r="58" spans="1:12" ht="13.5" thickTop="1"/>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37"/>
  <sheetViews>
    <sheetView topLeftCell="C10" workbookViewId="0">
      <selection activeCell="E19" sqref="E19"/>
    </sheetView>
  </sheetViews>
  <sheetFormatPr defaultRowHeight="12.75"/>
  <cols>
    <col min="2" max="2" width="35" customWidth="1"/>
    <col min="3" max="3" width="19.7109375" customWidth="1"/>
    <col min="4" max="5" width="18.7109375" customWidth="1"/>
    <col min="6" max="6" width="22.5703125" customWidth="1"/>
    <col min="7" max="7" width="51.140625" customWidth="1"/>
    <col min="8" max="8" width="27.140625" customWidth="1"/>
  </cols>
  <sheetData>
    <row r="2" spans="2:8" ht="22.5" customHeight="1">
      <c r="B2" s="758" t="s">
        <v>83</v>
      </c>
      <c r="F2" s="1452"/>
      <c r="G2" s="1452"/>
      <c r="H2" s="1452"/>
    </row>
    <row r="3" spans="2:8">
      <c r="F3" s="1452"/>
      <c r="G3" s="1452"/>
      <c r="H3" s="1452"/>
    </row>
    <row r="4" spans="2:8" ht="15.75">
      <c r="C4" s="757" t="s">
        <v>232</v>
      </c>
      <c r="F4" s="1452"/>
      <c r="G4" s="1452"/>
      <c r="H4" s="1452"/>
    </row>
    <row r="5" spans="2:8" ht="15.75">
      <c r="C5" s="757"/>
    </row>
    <row r="6" spans="2:8" ht="16.5" thickBot="1">
      <c r="C6" s="757"/>
    </row>
    <row r="7" spans="2:8" ht="26.25" thickBot="1">
      <c r="B7" s="822" t="s">
        <v>826</v>
      </c>
      <c r="C7" s="912">
        <f ca="1">design_cap</f>
        <v>56499.999999999993</v>
      </c>
      <c r="D7" s="1453" t="s">
        <v>827</v>
      </c>
      <c r="E7" s="1454"/>
      <c r="F7" s="1454"/>
      <c r="G7" s="1454"/>
      <c r="H7" s="1455"/>
    </row>
    <row r="8" spans="2:8" ht="13.5" thickBot="1">
      <c r="D8" s="1451" t="s">
        <v>1026</v>
      </c>
      <c r="E8" s="1449"/>
      <c r="F8" s="1449"/>
      <c r="G8" s="1449"/>
      <c r="H8" s="1449"/>
    </row>
    <row r="9" spans="2:8">
      <c r="B9" s="1" t="s">
        <v>838</v>
      </c>
      <c r="C9" s="932">
        <f>BasisYear</f>
        <v>2016</v>
      </c>
      <c r="D9" s="1456"/>
      <c r="E9" s="1457"/>
      <c r="F9" s="1457"/>
      <c r="G9" s="1457"/>
      <c r="H9" s="1458"/>
    </row>
    <row r="10" spans="2:8">
      <c r="B10" s="1" t="s">
        <v>772</v>
      </c>
      <c r="C10" s="910">
        <v>2016</v>
      </c>
      <c r="D10" s="1445"/>
      <c r="E10" s="1446"/>
      <c r="F10" s="1446"/>
      <c r="G10" s="1446"/>
      <c r="H10" s="1447"/>
    </row>
    <row r="11" spans="2:8">
      <c r="B11" s="1" t="str">
        <f>"CEPCI Inflator ("&amp;BasisYear&amp;" to "&amp;CurrentYear&amp;")"</f>
        <v>CEPCI Inflator (2016 to 2016)</v>
      </c>
      <c r="C11" s="930">
        <f>VLOOKUP(CurrentYear,Tbl_PlantCostIndexes,2,FALSE)/VLOOKUP(BasisYear,Tbl_PlantCostIndexes,2,FALSE)</f>
        <v>1</v>
      </c>
      <c r="D11" s="1445" t="s">
        <v>819</v>
      </c>
      <c r="E11" s="1446"/>
      <c r="F11" s="1446"/>
      <c r="G11" s="1446"/>
      <c r="H11" s="1447"/>
    </row>
    <row r="12" spans="2:8" ht="13.5" thickBot="1">
      <c r="B12" s="1" t="str">
        <f>"Consumer Price Inflator ("&amp;CurrentYear&amp;" to "&amp;ref_year&amp;")"</f>
        <v>Consumer Price Inflator (2016 to 2016)</v>
      </c>
      <c r="C12" s="931">
        <f>VLOOKUP(ref_year,DeflatorTable,2,FALSE)/VLOOKUP(CurrentYear,DeflatorTable,2,FALSE)</f>
        <v>1</v>
      </c>
      <c r="D12" s="1448" t="s">
        <v>820</v>
      </c>
      <c r="E12" s="1449"/>
      <c r="F12" s="1449"/>
      <c r="G12" s="1449"/>
      <c r="H12" s="1450"/>
    </row>
    <row r="13" spans="2:8" ht="13.5" thickBot="1"/>
    <row r="14" spans="2:8" ht="17.25" thickTop="1" thickBot="1">
      <c r="B14" s="897" t="str">
        <f xml:space="preserve"> "CAPITAL INVESTMENT (Inputs REQUIRED in Basis Year, (" &amp; BasisYear &amp; ") $)"</f>
        <v>CAPITAL INVESTMENT (Inputs REQUIRED in Basis Year, (2016) $)</v>
      </c>
      <c r="C14" s="898"/>
      <c r="D14" s="898"/>
      <c r="E14" s="898"/>
      <c r="F14" s="898"/>
      <c r="G14" s="898"/>
      <c r="H14" s="899"/>
    </row>
    <row r="15" spans="2:8" ht="40.5" thickTop="1" thickBot="1">
      <c r="B15" s="489" t="s">
        <v>666</v>
      </c>
      <c r="C15" s="490" t="str">
        <f>"Baseline Uninstalled Costs $"&amp;BasisYear&amp;" Dollars"</f>
        <v>Baseline Uninstalled Costs $2016 Dollars</v>
      </c>
      <c r="D15" s="490" t="str">
        <f>"Baseline Uninstalled Costs $"&amp;ref_year&amp;" Dollars"</f>
        <v>Baseline Uninstalled Costs $2016 Dollars</v>
      </c>
      <c r="E15" s="490" t="s">
        <v>667</v>
      </c>
      <c r="F15" s="465" t="s">
        <v>1056</v>
      </c>
      <c r="G15" s="490" t="s">
        <v>1026</v>
      </c>
      <c r="H15" s="495" t="s">
        <v>669</v>
      </c>
    </row>
    <row r="16" spans="2:8">
      <c r="B16" s="1182" t="s">
        <v>1427</v>
      </c>
      <c r="C16" s="1358">
        <f ca="1">ProcessFlow!E32*ProcessFlow!E20*100^2</f>
        <v>40612000</v>
      </c>
      <c r="D16" s="493">
        <f ca="1">C16*CEPCIinflator*CPIinflator</f>
        <v>40612000</v>
      </c>
      <c r="E16" s="1184">
        <v>1.1200000000000001</v>
      </c>
      <c r="F16" s="493">
        <f ca="1">D16*E16</f>
        <v>45485440.000000007</v>
      </c>
      <c r="G16" s="1402" t="s">
        <v>1428</v>
      </c>
      <c r="H16" s="702"/>
    </row>
    <row r="17" spans="2:8" ht="25.5">
      <c r="B17" s="1183" t="s">
        <v>1414</v>
      </c>
      <c r="C17" s="1359">
        <f ca="1">ProcessFlow!E33*ProcessFlow!E17</f>
        <v>4293999.9999999991</v>
      </c>
      <c r="D17" s="493">
        <f t="shared" ref="D17:D35" ca="1" si="0">C17*CEPCIinflator*CPIinflator</f>
        <v>4293999.9999999991</v>
      </c>
      <c r="E17" s="1185">
        <v>1</v>
      </c>
      <c r="F17" s="493">
        <f t="shared" ref="F17:F35" ca="1" si="1">D17*E17</f>
        <v>4293999.9999999991</v>
      </c>
      <c r="G17" s="1403" t="s">
        <v>1429</v>
      </c>
      <c r="H17" s="703"/>
    </row>
    <row r="18" spans="2:8">
      <c r="B18" s="1183" t="s">
        <v>1416</v>
      </c>
      <c r="C18" s="1359">
        <f ca="1">ProcessFlow!E34*ProcessFlow!E27*1000</f>
        <v>9729300</v>
      </c>
      <c r="D18" s="493">
        <f t="shared" ca="1" si="0"/>
        <v>9729300</v>
      </c>
      <c r="E18" s="1185">
        <v>1.1200000000000001</v>
      </c>
      <c r="F18" s="493">
        <f t="shared" ca="1" si="1"/>
        <v>10896816.000000002</v>
      </c>
      <c r="G18" s="502"/>
      <c r="H18" s="703"/>
    </row>
    <row r="19" spans="2:8">
      <c r="B19" s="1183"/>
      <c r="C19" s="1359"/>
      <c r="D19" s="493">
        <f t="shared" si="0"/>
        <v>0</v>
      </c>
      <c r="E19" s="1185">
        <v>1</v>
      </c>
      <c r="F19" s="493">
        <f t="shared" si="1"/>
        <v>0</v>
      </c>
      <c r="G19" s="502"/>
      <c r="H19" s="703"/>
    </row>
    <row r="20" spans="2:8">
      <c r="B20" s="1183"/>
      <c r="C20" s="1359"/>
      <c r="D20" s="493">
        <f t="shared" si="0"/>
        <v>0</v>
      </c>
      <c r="E20" s="1185">
        <v>1</v>
      </c>
      <c r="F20" s="493">
        <f t="shared" si="1"/>
        <v>0</v>
      </c>
      <c r="G20" s="502"/>
      <c r="H20" s="703"/>
    </row>
    <row r="21" spans="2:8">
      <c r="B21" s="1183"/>
      <c r="C21" s="1359"/>
      <c r="D21" s="493">
        <f t="shared" si="0"/>
        <v>0</v>
      </c>
      <c r="E21" s="1185">
        <v>1</v>
      </c>
      <c r="F21" s="493">
        <f t="shared" si="1"/>
        <v>0</v>
      </c>
      <c r="G21" s="502"/>
      <c r="H21" s="703"/>
    </row>
    <row r="22" spans="2:8">
      <c r="B22" s="1183"/>
      <c r="C22" s="1359"/>
      <c r="D22" s="493">
        <f t="shared" si="0"/>
        <v>0</v>
      </c>
      <c r="E22" s="1185">
        <v>1</v>
      </c>
      <c r="F22" s="493">
        <f t="shared" si="1"/>
        <v>0</v>
      </c>
      <c r="G22" s="502"/>
      <c r="H22" s="703"/>
    </row>
    <row r="23" spans="2:8">
      <c r="B23" s="1183"/>
      <c r="C23" s="1359"/>
      <c r="D23" s="493">
        <f t="shared" si="0"/>
        <v>0</v>
      </c>
      <c r="E23" s="1185"/>
      <c r="F23" s="493">
        <f t="shared" si="1"/>
        <v>0</v>
      </c>
      <c r="G23" s="502"/>
      <c r="H23" s="703"/>
    </row>
    <row r="24" spans="2:8">
      <c r="B24" s="1183"/>
      <c r="C24" s="1360"/>
      <c r="D24" s="493">
        <f t="shared" si="0"/>
        <v>0</v>
      </c>
      <c r="E24" s="1185"/>
      <c r="F24" s="493">
        <f t="shared" si="1"/>
        <v>0</v>
      </c>
      <c r="G24" s="502"/>
      <c r="H24" s="703"/>
    </row>
    <row r="25" spans="2:8">
      <c r="B25" s="1183"/>
      <c r="C25" s="1360"/>
      <c r="D25" s="493">
        <f t="shared" si="0"/>
        <v>0</v>
      </c>
      <c r="E25" s="1185"/>
      <c r="F25" s="493">
        <f t="shared" si="1"/>
        <v>0</v>
      </c>
      <c r="G25" s="502"/>
      <c r="H25" s="703"/>
    </row>
    <row r="26" spans="2:8">
      <c r="B26" s="1183"/>
      <c r="C26" s="1360"/>
      <c r="D26" s="493">
        <f t="shared" si="0"/>
        <v>0</v>
      </c>
      <c r="E26" s="1185"/>
      <c r="F26" s="493">
        <f t="shared" si="1"/>
        <v>0</v>
      </c>
      <c r="G26" s="502"/>
      <c r="H26" s="703"/>
    </row>
    <row r="27" spans="2:8">
      <c r="B27" s="1183"/>
      <c r="C27" s="1360"/>
      <c r="D27" s="493">
        <f t="shared" si="0"/>
        <v>0</v>
      </c>
      <c r="E27" s="1185"/>
      <c r="F27" s="493">
        <f t="shared" si="1"/>
        <v>0</v>
      </c>
      <c r="G27" s="502"/>
      <c r="H27" s="703"/>
    </row>
    <row r="28" spans="2:8">
      <c r="B28" s="1183"/>
      <c r="C28" s="1360"/>
      <c r="D28" s="493">
        <f t="shared" si="0"/>
        <v>0</v>
      </c>
      <c r="E28" s="904"/>
      <c r="F28" s="493">
        <f t="shared" si="1"/>
        <v>0</v>
      </c>
      <c r="G28" s="502"/>
      <c r="H28" s="703"/>
    </row>
    <row r="29" spans="2:8">
      <c r="B29" s="831"/>
      <c r="C29" s="907"/>
      <c r="D29" s="493">
        <f t="shared" si="0"/>
        <v>0</v>
      </c>
      <c r="E29" s="904"/>
      <c r="F29" s="493">
        <f t="shared" si="1"/>
        <v>0</v>
      </c>
      <c r="G29" s="502"/>
      <c r="H29" s="703"/>
    </row>
    <row r="30" spans="2:8">
      <c r="B30" s="831"/>
      <c r="C30" s="906"/>
      <c r="D30" s="493">
        <f t="shared" si="0"/>
        <v>0</v>
      </c>
      <c r="E30" s="903"/>
      <c r="F30" s="493">
        <f t="shared" si="1"/>
        <v>0</v>
      </c>
      <c r="G30" s="502"/>
      <c r="H30" s="703"/>
    </row>
    <row r="31" spans="2:8">
      <c r="B31" s="831"/>
      <c r="C31" s="906"/>
      <c r="D31" s="493">
        <f t="shared" si="0"/>
        <v>0</v>
      </c>
      <c r="E31" s="903"/>
      <c r="F31" s="493">
        <f t="shared" si="1"/>
        <v>0</v>
      </c>
      <c r="G31" s="502"/>
      <c r="H31" s="703"/>
    </row>
    <row r="32" spans="2:8">
      <c r="B32" s="831"/>
      <c r="C32" s="906"/>
      <c r="D32" s="493">
        <f t="shared" si="0"/>
        <v>0</v>
      </c>
      <c r="E32" s="903"/>
      <c r="F32" s="493">
        <f t="shared" si="1"/>
        <v>0</v>
      </c>
      <c r="G32" s="502"/>
      <c r="H32" s="703"/>
    </row>
    <row r="33" spans="2:8">
      <c r="B33" s="831"/>
      <c r="C33" s="906"/>
      <c r="D33" s="493">
        <f t="shared" si="0"/>
        <v>0</v>
      </c>
      <c r="E33" s="903"/>
      <c r="F33" s="493">
        <f t="shared" si="1"/>
        <v>0</v>
      </c>
      <c r="G33" s="502"/>
      <c r="H33" s="703"/>
    </row>
    <row r="34" spans="2:8">
      <c r="B34" s="831"/>
      <c r="C34" s="906"/>
      <c r="D34" s="493">
        <f t="shared" si="0"/>
        <v>0</v>
      </c>
      <c r="E34" s="903"/>
      <c r="F34" s="493">
        <f t="shared" si="1"/>
        <v>0</v>
      </c>
      <c r="G34" s="502"/>
      <c r="H34" s="703"/>
    </row>
    <row r="35" spans="2:8" ht="13.5" thickBot="1">
      <c r="B35" s="832"/>
      <c r="C35" s="908"/>
      <c r="D35" s="493">
        <f t="shared" si="0"/>
        <v>0</v>
      </c>
      <c r="E35" s="905"/>
      <c r="F35" s="493">
        <f t="shared" si="1"/>
        <v>0</v>
      </c>
      <c r="G35" s="503"/>
      <c r="H35" s="704"/>
    </row>
    <row r="36" spans="2:8" ht="13.5" thickBot="1">
      <c r="B36" s="491"/>
      <c r="C36" s="829">
        <f ca="1">SUM(C16:C35)</f>
        <v>54635300</v>
      </c>
      <c r="D36" s="446">
        <f ca="1">SUM(D16:D35)</f>
        <v>54635300</v>
      </c>
      <c r="E36" s="494"/>
      <c r="F36" s="446">
        <f ca="1">SUM(F16:F35)</f>
        <v>60676256.000000007</v>
      </c>
      <c r="G36" s="328"/>
      <c r="H36" s="497"/>
    </row>
    <row r="37" spans="2:8" ht="13.5" thickTop="1">
      <c r="C37" s="830"/>
    </row>
  </sheetData>
  <mergeCells count="7">
    <mergeCell ref="D11:H11"/>
    <mergeCell ref="D12:H12"/>
    <mergeCell ref="D8:H8"/>
    <mergeCell ref="F2:H4"/>
    <mergeCell ref="D7:H7"/>
    <mergeCell ref="D9:H9"/>
    <mergeCell ref="D10:H10"/>
  </mergeCells>
  <phoneticPr fontId="2" type="noConversion"/>
  <dataValidations count="1">
    <dataValidation type="whole" operator="greaterThan" allowBlank="1" showInputMessage="1" showErrorMessage="1" sqref="C10" xr:uid="{00000000-0002-0000-0500-000000000000}">
      <formula1>1992</formula1>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election activeCell="C7" sqref="C7"/>
    </sheetView>
  </sheetViews>
  <sheetFormatPr defaultColWidth="9.140625" defaultRowHeight="12.75"/>
  <cols>
    <col min="1" max="1" width="9.140625" style="198"/>
    <col min="2" max="2" width="50.7109375" style="198" customWidth="1"/>
    <col min="3" max="3" width="19.7109375" style="198" customWidth="1"/>
    <col min="4" max="4" width="17" style="198" customWidth="1"/>
    <col min="5" max="7" width="18.7109375" style="198" customWidth="1"/>
    <col min="8" max="8" width="16.42578125" style="198" customWidth="1"/>
    <col min="9" max="9" width="38" style="198" customWidth="1"/>
    <col min="10" max="10" width="40.140625" style="198" customWidth="1"/>
    <col min="11" max="11" width="27.140625" style="198" customWidth="1"/>
    <col min="12" max="16384" width="9.140625" style="198"/>
  </cols>
  <sheetData>
    <row r="1" spans="2:11" ht="13.5" thickBot="1">
      <c r="B1" s="198" t="s">
        <v>320</v>
      </c>
    </row>
    <row r="2" spans="2:11" ht="19.5" thickTop="1" thickBot="1">
      <c r="B2" s="724" t="s">
        <v>845</v>
      </c>
      <c r="C2" s="725"/>
      <c r="D2" s="725"/>
      <c r="E2" s="725"/>
      <c r="F2" s="725"/>
      <c r="G2" s="725"/>
      <c r="H2" s="725"/>
      <c r="I2" s="725"/>
      <c r="J2" s="725"/>
      <c r="K2" s="726"/>
    </row>
    <row r="3" spans="2:11" ht="24" customHeight="1" thickBot="1">
      <c r="B3" s="727" t="s">
        <v>672</v>
      </c>
      <c r="C3" s="728">
        <f ca="1">Baseline_Design_Capacity</f>
        <v>56499.999999999993</v>
      </c>
      <c r="D3" s="1461" t="s">
        <v>828</v>
      </c>
      <c r="E3" s="1461"/>
      <c r="F3" s="1461"/>
      <c r="G3" s="729"/>
      <c r="H3" s="729"/>
      <c r="I3" s="729"/>
      <c r="J3" s="729"/>
    </row>
    <row r="4" spans="2:11" ht="29.25" customHeight="1" thickBot="1">
      <c r="B4" s="727" t="s">
        <v>670</v>
      </c>
      <c r="C4" s="730">
        <f ca="1">design_cap/Baseline_Design_Capacity</f>
        <v>1</v>
      </c>
      <c r="D4" s="1462" t="s">
        <v>676</v>
      </c>
      <c r="E4" s="1462"/>
      <c r="F4" s="1462"/>
      <c r="G4" s="729"/>
      <c r="H4" s="729"/>
      <c r="I4" s="729"/>
      <c r="J4" s="729"/>
    </row>
    <row r="5" spans="2:11" ht="29.25" customHeight="1" thickBot="1">
      <c r="B5" s="727" t="s">
        <v>842</v>
      </c>
      <c r="C5" s="730">
        <f ca="1">$G$27/Det_direct_cap</f>
        <v>1</v>
      </c>
      <c r="D5" s="1462" t="s">
        <v>844</v>
      </c>
      <c r="E5" s="1462"/>
      <c r="F5" s="1462"/>
      <c r="G5" s="729"/>
      <c r="H5" s="729"/>
      <c r="I5" s="729"/>
      <c r="J5" s="729"/>
    </row>
    <row r="6" spans="2:11" ht="29.25" customHeight="1" thickBot="1">
      <c r="B6" s="727" t="s">
        <v>1060</v>
      </c>
      <c r="C6" s="732">
        <v>0.6</v>
      </c>
      <c r="D6" s="1462" t="s">
        <v>841</v>
      </c>
      <c r="E6" s="1462"/>
      <c r="F6" s="1462"/>
      <c r="G6" s="729"/>
      <c r="H6" s="729"/>
      <c r="I6" s="729"/>
      <c r="J6" s="729"/>
    </row>
    <row r="7" spans="2:11" ht="41.25" customHeight="1" thickBot="1">
      <c r="B7" s="727" t="s">
        <v>942</v>
      </c>
      <c r="C7" s="733">
        <v>20000</v>
      </c>
      <c r="D7" s="1463" t="s">
        <v>918</v>
      </c>
      <c r="E7" s="1464"/>
      <c r="F7" s="1464"/>
      <c r="G7" s="729"/>
      <c r="H7" s="729"/>
      <c r="I7" s="729"/>
      <c r="J7" s="729"/>
    </row>
    <row r="8" spans="2:11" ht="42.75" customHeight="1" thickBot="1">
      <c r="B8" s="727" t="s">
        <v>943</v>
      </c>
      <c r="C8" s="733">
        <v>200000</v>
      </c>
      <c r="D8" s="1459" t="s">
        <v>917</v>
      </c>
      <c r="E8" s="1460"/>
      <c r="F8" s="1460"/>
      <c r="G8" s="729"/>
      <c r="H8" s="729"/>
      <c r="I8" s="729"/>
      <c r="J8" s="729"/>
    </row>
    <row r="9" spans="2:11" ht="15" customHeight="1">
      <c r="B9" s="727"/>
      <c r="C9" s="734"/>
      <c r="D9" s="731"/>
      <c r="E9" s="731"/>
      <c r="F9" s="731"/>
      <c r="G9" s="729"/>
      <c r="H9" s="729"/>
      <c r="I9" s="729"/>
      <c r="J9" s="729"/>
    </row>
    <row r="10" spans="2:11">
      <c r="B10" s="735"/>
      <c r="C10" s="729"/>
      <c r="D10" s="729"/>
      <c r="E10" s="729"/>
      <c r="F10" s="729"/>
      <c r="G10" s="729"/>
      <c r="H10" s="729"/>
      <c r="I10" s="729"/>
      <c r="J10" s="729"/>
    </row>
    <row r="11" spans="2:11" ht="16.5" thickBot="1">
      <c r="B11" s="461" t="str">
        <f xml:space="preserve"> "CAPITAL INVESTMENT (Inputs REQUIRED in Reference Year, (" &amp; ref_year &amp; ") $)"</f>
        <v>CAPITAL INVESTMENT (Inputs REQUIRED in Reference Year, (2016) $)</v>
      </c>
      <c r="C11" s="462"/>
      <c r="D11" s="462"/>
      <c r="E11" s="462"/>
      <c r="F11" s="462"/>
      <c r="G11" s="463"/>
      <c r="H11" s="463"/>
      <c r="I11" s="463"/>
      <c r="J11" s="464"/>
      <c r="K11" s="736"/>
    </row>
    <row r="12" spans="2:11" ht="27.75" thickTop="1" thickBot="1">
      <c r="B12" s="489" t="s">
        <v>666</v>
      </c>
      <c r="C12" s="490" t="s">
        <v>674</v>
      </c>
      <c r="D12" s="490" t="s">
        <v>668</v>
      </c>
      <c r="E12" s="490" t="s">
        <v>675</v>
      </c>
      <c r="F12" s="490" t="s">
        <v>667</v>
      </c>
      <c r="G12" s="490" t="s">
        <v>843</v>
      </c>
      <c r="H12" s="490" t="s">
        <v>1059</v>
      </c>
      <c r="I12" s="490" t="s">
        <v>1026</v>
      </c>
      <c r="J12" s="495" t="s">
        <v>669</v>
      </c>
    </row>
    <row r="13" spans="2:11">
      <c r="B13" s="719" t="str">
        <f>'Capital Costs'!B16</f>
        <v>Stack Capital Cost</v>
      </c>
      <c r="C13" s="707">
        <f ca="1">'Capital Costs'!D16</f>
        <v>40612000</v>
      </c>
      <c r="D13" s="706"/>
      <c r="E13" s="707">
        <f ca="1">IF($D13="",$C13*Scale_Ratio^Scaling_Factor_Exponent,$C13*Scale_Ratio^$D13)</f>
        <v>40612000</v>
      </c>
      <c r="F13" s="721">
        <f>'Capital Costs'!E16</f>
        <v>1.1200000000000001</v>
      </c>
      <c r="G13" s="708">
        <f ca="1">$E13*$F13</f>
        <v>45485440.000000007</v>
      </c>
      <c r="H13" s="707">
        <f ca="1">C13*F13</f>
        <v>45485440.000000007</v>
      </c>
      <c r="I13" s="709"/>
      <c r="J13" s="498"/>
    </row>
    <row r="14" spans="2:11">
      <c r="B14" s="720" t="str">
        <f>'Capital Costs'!B17</f>
        <v>Mechanical BoP</v>
      </c>
      <c r="C14" s="711">
        <f ca="1">'Capital Costs'!D17</f>
        <v>4293999.9999999991</v>
      </c>
      <c r="D14" s="710"/>
      <c r="E14" s="711">
        <f t="shared" ref="E14:E26" ca="1" si="0">IF($D14="",$C14*Scale_Ratio^Scaling_Factor_Exponent,$C14*Scale_Ratio^$D14)</f>
        <v>4293999.9999999991</v>
      </c>
      <c r="F14" s="722">
        <f>'Capital Costs'!E17</f>
        <v>1</v>
      </c>
      <c r="G14" s="712">
        <f t="shared" ref="G14:G26" ca="1" si="1">$E14*$F14</f>
        <v>4293999.9999999991</v>
      </c>
      <c r="H14" s="711">
        <f t="shared" ref="H14:H26" ca="1" si="2">C14*F14</f>
        <v>4293999.9999999991</v>
      </c>
      <c r="I14" s="713"/>
      <c r="J14" s="499"/>
    </row>
    <row r="15" spans="2:11">
      <c r="B15" s="720" t="str">
        <f>'Capital Costs'!B18</f>
        <v>Electrical BoP</v>
      </c>
      <c r="C15" s="711">
        <f ca="1">'Capital Costs'!D18</f>
        <v>9729300</v>
      </c>
      <c r="D15" s="710"/>
      <c r="E15" s="711">
        <f t="shared" ca="1" si="0"/>
        <v>9729300</v>
      </c>
      <c r="F15" s="722">
        <f>'Capital Costs'!E18</f>
        <v>1.1200000000000001</v>
      </c>
      <c r="G15" s="712">
        <f t="shared" ca="1" si="1"/>
        <v>10896816.000000002</v>
      </c>
      <c r="H15" s="711">
        <f t="shared" ca="1" si="2"/>
        <v>10896816.000000002</v>
      </c>
      <c r="I15" s="713"/>
      <c r="J15" s="499"/>
    </row>
    <row r="16" spans="2:11">
      <c r="B16" s="720">
        <f>'Capital Costs'!B19</f>
        <v>0</v>
      </c>
      <c r="C16" s="711">
        <f>'Capital Costs'!D19</f>
        <v>0</v>
      </c>
      <c r="D16" s="710"/>
      <c r="E16" s="711">
        <f t="shared" ca="1" si="0"/>
        <v>0</v>
      </c>
      <c r="F16" s="722">
        <f>'Capital Costs'!E19</f>
        <v>1</v>
      </c>
      <c r="G16" s="712">
        <f t="shared" ca="1" si="1"/>
        <v>0</v>
      </c>
      <c r="H16" s="711">
        <f t="shared" si="2"/>
        <v>0</v>
      </c>
      <c r="I16" s="713"/>
      <c r="J16" s="499"/>
    </row>
    <row r="17" spans="2:10">
      <c r="B17" s="720">
        <f>'Capital Costs'!B20</f>
        <v>0</v>
      </c>
      <c r="C17" s="711">
        <f>'Capital Costs'!D20</f>
        <v>0</v>
      </c>
      <c r="D17" s="710"/>
      <c r="E17" s="711">
        <f t="shared" ca="1" si="0"/>
        <v>0</v>
      </c>
      <c r="F17" s="722">
        <f>'Capital Costs'!E20</f>
        <v>1</v>
      </c>
      <c r="G17" s="712">
        <f t="shared" ca="1" si="1"/>
        <v>0</v>
      </c>
      <c r="H17" s="711">
        <f t="shared" si="2"/>
        <v>0</v>
      </c>
      <c r="I17" s="713"/>
      <c r="J17" s="499"/>
    </row>
    <row r="18" spans="2:10">
      <c r="B18" s="720">
        <f>'Capital Costs'!B21</f>
        <v>0</v>
      </c>
      <c r="C18" s="711">
        <f>'Capital Costs'!D21</f>
        <v>0</v>
      </c>
      <c r="D18" s="710"/>
      <c r="E18" s="711">
        <f t="shared" ca="1" si="0"/>
        <v>0</v>
      </c>
      <c r="F18" s="722">
        <f>'Capital Costs'!E21</f>
        <v>1</v>
      </c>
      <c r="G18" s="712">
        <f t="shared" ca="1" si="1"/>
        <v>0</v>
      </c>
      <c r="H18" s="711">
        <f t="shared" si="2"/>
        <v>0</v>
      </c>
      <c r="I18" s="713"/>
      <c r="J18" s="499"/>
    </row>
    <row r="19" spans="2:10">
      <c r="B19" s="720">
        <f>'Capital Costs'!B22</f>
        <v>0</v>
      </c>
      <c r="C19" s="711">
        <f>'Capital Costs'!D22</f>
        <v>0</v>
      </c>
      <c r="D19" s="710"/>
      <c r="E19" s="711">
        <f t="shared" ca="1" si="0"/>
        <v>0</v>
      </c>
      <c r="F19" s="722">
        <f>'Capital Costs'!E22</f>
        <v>1</v>
      </c>
      <c r="G19" s="712">
        <f t="shared" ca="1" si="1"/>
        <v>0</v>
      </c>
      <c r="H19" s="711">
        <f t="shared" si="2"/>
        <v>0</v>
      </c>
      <c r="I19" s="713"/>
      <c r="J19" s="499"/>
    </row>
    <row r="20" spans="2:10">
      <c r="B20" s="720">
        <f>'Capital Costs'!B23</f>
        <v>0</v>
      </c>
      <c r="C20" s="711">
        <f>'Capital Costs'!D23</f>
        <v>0</v>
      </c>
      <c r="D20" s="710"/>
      <c r="E20" s="711">
        <f t="shared" ca="1" si="0"/>
        <v>0</v>
      </c>
      <c r="F20" s="722">
        <f>'Capital Costs'!E23</f>
        <v>0</v>
      </c>
      <c r="G20" s="712">
        <f t="shared" ca="1" si="1"/>
        <v>0</v>
      </c>
      <c r="H20" s="711">
        <f t="shared" si="2"/>
        <v>0</v>
      </c>
      <c r="I20" s="713"/>
      <c r="J20" s="499"/>
    </row>
    <row r="21" spans="2:10">
      <c r="B21" s="720">
        <f>'Capital Costs'!B24</f>
        <v>0</v>
      </c>
      <c r="C21" s="711">
        <f>'Capital Costs'!D24</f>
        <v>0</v>
      </c>
      <c r="D21" s="710"/>
      <c r="E21" s="711">
        <f t="shared" ca="1" si="0"/>
        <v>0</v>
      </c>
      <c r="F21" s="722">
        <f>'Capital Costs'!E24</f>
        <v>0</v>
      </c>
      <c r="G21" s="712">
        <f t="shared" ca="1" si="1"/>
        <v>0</v>
      </c>
      <c r="H21" s="711">
        <f t="shared" si="2"/>
        <v>0</v>
      </c>
      <c r="I21" s="713"/>
      <c r="J21" s="499"/>
    </row>
    <row r="22" spans="2:10">
      <c r="B22" s="720">
        <f>'Capital Costs'!B25</f>
        <v>0</v>
      </c>
      <c r="C22" s="711">
        <f>'Capital Costs'!D25</f>
        <v>0</v>
      </c>
      <c r="D22" s="710"/>
      <c r="E22" s="711">
        <f t="shared" ca="1" si="0"/>
        <v>0</v>
      </c>
      <c r="F22" s="722">
        <f>'Capital Costs'!E25</f>
        <v>0</v>
      </c>
      <c r="G22" s="712">
        <f t="shared" ca="1" si="1"/>
        <v>0</v>
      </c>
      <c r="H22" s="711">
        <f t="shared" si="2"/>
        <v>0</v>
      </c>
      <c r="I22" s="713"/>
      <c r="J22" s="499"/>
    </row>
    <row r="23" spans="2:10">
      <c r="B23" s="720">
        <f>'Capital Costs'!B26</f>
        <v>0</v>
      </c>
      <c r="C23" s="711">
        <f>'Capital Costs'!D26</f>
        <v>0</v>
      </c>
      <c r="D23" s="710"/>
      <c r="E23" s="711">
        <f t="shared" ca="1" si="0"/>
        <v>0</v>
      </c>
      <c r="F23" s="722">
        <f>'Capital Costs'!E26</f>
        <v>0</v>
      </c>
      <c r="G23" s="712">
        <f t="shared" ca="1" si="1"/>
        <v>0</v>
      </c>
      <c r="H23" s="711">
        <f t="shared" si="2"/>
        <v>0</v>
      </c>
      <c r="I23" s="713"/>
      <c r="J23" s="499"/>
    </row>
    <row r="24" spans="2:10">
      <c r="B24" s="720">
        <f>'Capital Costs'!B27</f>
        <v>0</v>
      </c>
      <c r="C24" s="711">
        <f>'Capital Costs'!D27</f>
        <v>0</v>
      </c>
      <c r="D24" s="714"/>
      <c r="E24" s="711">
        <f t="shared" ca="1" si="0"/>
        <v>0</v>
      </c>
      <c r="F24" s="722">
        <f>'Capital Costs'!E27</f>
        <v>0</v>
      </c>
      <c r="G24" s="712">
        <f t="shared" ca="1" si="1"/>
        <v>0</v>
      </c>
      <c r="H24" s="711">
        <f t="shared" si="2"/>
        <v>0</v>
      </c>
      <c r="I24" s="713"/>
      <c r="J24" s="499"/>
    </row>
    <row r="25" spans="2:10">
      <c r="B25" s="720">
        <f>'Capital Costs'!B28</f>
        <v>0</v>
      </c>
      <c r="C25" s="711">
        <f>'Capital Costs'!D28</f>
        <v>0</v>
      </c>
      <c r="D25" s="714"/>
      <c r="E25" s="711">
        <f t="shared" ca="1" si="0"/>
        <v>0</v>
      </c>
      <c r="F25" s="722">
        <f>'Capital Costs'!E28</f>
        <v>0</v>
      </c>
      <c r="G25" s="712">
        <f t="shared" ca="1" si="1"/>
        <v>0</v>
      </c>
      <c r="H25" s="711">
        <f t="shared" si="2"/>
        <v>0</v>
      </c>
      <c r="I25" s="713"/>
      <c r="J25" s="499"/>
    </row>
    <row r="26" spans="2:10" ht="13.5" thickBot="1">
      <c r="B26" s="720">
        <f>'Capital Costs'!B29</f>
        <v>0</v>
      </c>
      <c r="C26" s="711">
        <f>'Capital Costs'!D29</f>
        <v>0</v>
      </c>
      <c r="D26" s="715"/>
      <c r="E26" s="716">
        <f t="shared" ca="1" si="0"/>
        <v>0</v>
      </c>
      <c r="F26" s="722">
        <f>'Capital Costs'!E29</f>
        <v>0</v>
      </c>
      <c r="G26" s="717">
        <f t="shared" ca="1" si="1"/>
        <v>0</v>
      </c>
      <c r="H26" s="716">
        <f t="shared" si="2"/>
        <v>0</v>
      </c>
      <c r="I26" s="718"/>
      <c r="J26" s="500"/>
    </row>
    <row r="27" spans="2:10" ht="13.5" thickBot="1">
      <c r="B27" s="491" t="s">
        <v>671</v>
      </c>
      <c r="C27" s="492">
        <f ca="1">SUM(C13:C26)</f>
        <v>54635300</v>
      </c>
      <c r="D27" s="496"/>
      <c r="E27" s="492">
        <f ca="1">SUM(E13:E26)</f>
        <v>54635300</v>
      </c>
      <c r="F27" s="494"/>
      <c r="G27" s="705">
        <f ca="1">SUM(G13:G26)</f>
        <v>60676256.000000007</v>
      </c>
      <c r="H27" s="723">
        <f ca="1">SUM(H13:H26)</f>
        <v>60676256.000000007</v>
      </c>
      <c r="I27" s="328"/>
      <c r="J27" s="497"/>
    </row>
    <row r="28" spans="2:10" ht="13.5" thickTop="1"/>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09"/>
  <sheetViews>
    <sheetView zoomScale="130" zoomScaleNormal="130" workbookViewId="0">
      <selection activeCell="E32" sqref="E32:F32"/>
    </sheetView>
  </sheetViews>
  <sheetFormatPr defaultColWidth="9.140625" defaultRowHeight="12.75"/>
  <cols>
    <col min="1" max="1" width="7.5703125" style="29" customWidth="1"/>
    <col min="2" max="2" width="72.28515625" style="29" customWidth="1"/>
    <col min="3" max="3" width="15.85546875" style="29" customWidth="1"/>
    <col min="4" max="4" width="19.42578125" style="29" customWidth="1"/>
    <col min="5" max="5" width="12.140625" style="29" customWidth="1"/>
    <col min="6" max="6" width="15.85546875" style="29" customWidth="1"/>
    <col min="7" max="7" width="14.7109375" style="29" customWidth="1"/>
    <col min="8" max="8" width="17" style="29" customWidth="1"/>
    <col min="9" max="9" width="17.28515625" style="29" customWidth="1"/>
    <col min="10" max="10" width="23.42578125" style="29" customWidth="1"/>
    <col min="11" max="11" width="16.140625" style="29" customWidth="1"/>
    <col min="12" max="12" width="11.5703125" style="29" bestFit="1" customWidth="1"/>
    <col min="13" max="13" width="12.7109375" style="29" bestFit="1" customWidth="1"/>
    <col min="14" max="14" width="11.5703125" style="29" bestFit="1" customWidth="1"/>
    <col min="15" max="16384" width="9.140625" style="29"/>
  </cols>
  <sheetData>
    <row r="1" spans="1:10">
      <c r="A1" s="1200" t="s">
        <v>1284</v>
      </c>
    </row>
    <row r="2" spans="1:10" ht="22.5">
      <c r="B2" s="759" t="s">
        <v>399</v>
      </c>
    </row>
    <row r="4" spans="1:10" ht="14.25">
      <c r="B4" s="1483" t="s">
        <v>389</v>
      </c>
      <c r="C4" s="1483"/>
      <c r="D4" s="1483"/>
      <c r="E4" s="1483"/>
      <c r="F4" s="1483"/>
      <c r="G4" s="1483"/>
      <c r="H4" s="1483"/>
      <c r="I4" s="1483"/>
      <c r="J4" s="1483"/>
    </row>
    <row r="5" spans="1:10" ht="67.5" customHeight="1">
      <c r="B5" s="1484" t="s">
        <v>409</v>
      </c>
      <c r="C5" s="1485"/>
      <c r="D5" s="1485"/>
      <c r="E5" s="1485"/>
      <c r="F5" s="1485"/>
      <c r="G5" s="1485"/>
      <c r="H5" s="1485"/>
      <c r="I5" s="1485"/>
      <c r="J5" s="1485"/>
    </row>
    <row r="6" spans="1:10">
      <c r="B6" s="513"/>
      <c r="C6" s="513"/>
      <c r="D6" s="513"/>
      <c r="E6" s="513"/>
      <c r="F6" s="513"/>
      <c r="G6" s="513"/>
      <c r="H6" s="513"/>
      <c r="I6" s="513"/>
      <c r="J6" s="513"/>
    </row>
    <row r="7" spans="1:10" ht="22.5">
      <c r="B7" s="760" t="s">
        <v>1063</v>
      </c>
      <c r="C7" s="513"/>
      <c r="D7" s="513"/>
      <c r="E7" s="513"/>
      <c r="F7" s="513"/>
      <c r="G7" s="513"/>
      <c r="H7" s="513"/>
      <c r="I7" s="513"/>
      <c r="J7" s="513"/>
    </row>
    <row r="8" spans="1:10" ht="15.75">
      <c r="B8" s="761" t="s">
        <v>232</v>
      </c>
      <c r="C8" s="513"/>
      <c r="D8" s="513"/>
      <c r="E8" s="513"/>
      <c r="F8" s="513"/>
      <c r="G8" s="513"/>
      <c r="H8" s="513"/>
      <c r="I8" s="513"/>
      <c r="J8" s="513"/>
    </row>
    <row r="9" spans="1:10">
      <c r="B9" s="513"/>
      <c r="C9" s="513"/>
      <c r="D9" s="513"/>
      <c r="E9" s="513"/>
      <c r="F9" s="513"/>
      <c r="G9" s="513"/>
      <c r="H9" s="513"/>
      <c r="I9" s="513"/>
      <c r="J9" s="513"/>
    </row>
    <row r="10" spans="1:10">
      <c r="B10" s="513"/>
      <c r="C10" s="513"/>
      <c r="D10" s="513"/>
      <c r="E10" s="513"/>
      <c r="F10" s="513"/>
      <c r="G10" s="513"/>
      <c r="H10" s="513"/>
      <c r="I10" s="513"/>
      <c r="J10" s="513"/>
    </row>
    <row r="11" spans="1:10" ht="15.75">
      <c r="B11" s="761" t="s">
        <v>233</v>
      </c>
      <c r="C11" s="513"/>
      <c r="D11" s="513"/>
      <c r="E11" s="513"/>
      <c r="F11" s="513"/>
      <c r="G11" s="513"/>
      <c r="H11" s="513"/>
      <c r="I11" s="513"/>
      <c r="J11" s="513"/>
    </row>
    <row r="12" spans="1:10">
      <c r="B12" s="513"/>
      <c r="C12" s="513"/>
      <c r="D12" s="513"/>
      <c r="E12" s="513"/>
      <c r="F12" s="513"/>
      <c r="G12" s="513"/>
      <c r="H12" s="513"/>
      <c r="I12" s="513"/>
      <c r="J12" s="513"/>
    </row>
    <row r="13" spans="1:10">
      <c r="B13" s="513"/>
      <c r="C13" s="513"/>
      <c r="D13" s="513"/>
      <c r="E13" s="513"/>
      <c r="F13" s="513"/>
      <c r="G13" s="513"/>
      <c r="H13" s="513"/>
      <c r="I13" s="513"/>
      <c r="J13" s="513"/>
    </row>
    <row r="14" spans="1:10">
      <c r="B14" s="513"/>
      <c r="C14" s="513"/>
      <c r="D14" s="513"/>
      <c r="E14" s="513"/>
      <c r="F14" s="513"/>
      <c r="G14" s="513"/>
      <c r="H14" s="513"/>
      <c r="I14" s="513"/>
      <c r="J14" s="513"/>
    </row>
    <row r="15" spans="1:10" ht="15">
      <c r="B15" s="763" t="s">
        <v>411</v>
      </c>
      <c r="C15" s="513"/>
      <c r="D15" s="513"/>
      <c r="E15" s="513"/>
      <c r="F15" s="513"/>
      <c r="G15" s="513"/>
      <c r="H15" s="513"/>
      <c r="I15" s="513"/>
      <c r="J15" s="513"/>
    </row>
    <row r="16" spans="1:10" ht="15">
      <c r="B16" s="763" t="s">
        <v>424</v>
      </c>
      <c r="C16" s="513"/>
      <c r="D16" s="513"/>
      <c r="E16" s="513"/>
      <c r="F16" s="513"/>
      <c r="G16" s="513"/>
      <c r="H16" s="513"/>
      <c r="I16" s="513"/>
      <c r="J16" s="513"/>
    </row>
    <row r="17" spans="2:14" ht="15">
      <c r="B17" s="763" t="s">
        <v>432</v>
      </c>
      <c r="C17" s="513"/>
      <c r="D17" s="513"/>
      <c r="E17" s="513"/>
      <c r="F17" s="513"/>
      <c r="G17" s="513"/>
      <c r="H17" s="513"/>
      <c r="I17" s="513"/>
      <c r="J17" s="513"/>
    </row>
    <row r="18" spans="2:14" ht="15.75">
      <c r="B18" s="762"/>
    </row>
    <row r="19" spans="2:14" ht="13.5" thickBot="1"/>
    <row r="20" spans="2:14" ht="44.25" customHeight="1" thickTop="1">
      <c r="B20" s="1247" t="s">
        <v>410</v>
      </c>
      <c r="C20" s="1248"/>
      <c r="D20" s="1249"/>
      <c r="E20" s="1249"/>
      <c r="F20" s="1250"/>
      <c r="H20" s="1488" t="s">
        <v>818</v>
      </c>
      <c r="I20" s="1489"/>
      <c r="J20" s="1489"/>
      <c r="K20" s="1490"/>
    </row>
    <row r="21" spans="2:14" ht="39" customHeight="1">
      <c r="B21" s="527" t="s">
        <v>951</v>
      </c>
      <c r="C21" s="532">
        <f ca="1">Feed_CO2_MTpY</f>
        <v>0</v>
      </c>
      <c r="D21" s="1491" t="s">
        <v>412</v>
      </c>
      <c r="E21" s="1491"/>
      <c r="F21" s="1492"/>
      <c r="H21" s="1479" t="s">
        <v>83</v>
      </c>
      <c r="I21" s="1480"/>
      <c r="J21" s="1251"/>
      <c r="K21" s="1252"/>
    </row>
    <row r="22" spans="2:14" ht="14.25" customHeight="1">
      <c r="B22" s="527" t="s">
        <v>950</v>
      </c>
      <c r="C22" s="533">
        <f>Feed_CO2_kgpkgH2</f>
        <v>0</v>
      </c>
      <c r="D22" s="529"/>
      <c r="E22" s="529"/>
      <c r="F22" s="530"/>
      <c r="H22" s="1465" t="s">
        <v>427</v>
      </c>
      <c r="I22" s="1466"/>
      <c r="J22" s="1270" t="e">
        <f ca="1">SUM(C54:C57)</f>
        <v>#NAME?</v>
      </c>
      <c r="K22" s="1252"/>
    </row>
    <row r="23" spans="2:14" ht="14.25" customHeight="1">
      <c r="B23" s="527" t="s">
        <v>428</v>
      </c>
      <c r="C23" s="1214">
        <f ca="1">Feed_CO2_MTpY/365*CO2_Capture_Efficiency</f>
        <v>0</v>
      </c>
      <c r="D23" s="529"/>
      <c r="E23" s="529"/>
      <c r="F23" s="530"/>
      <c r="H23" s="1465" t="s">
        <v>1229</v>
      </c>
      <c r="I23" s="1466"/>
      <c r="J23" s="1270">
        <f ca="1">C71</f>
        <v>80988.893635198634</v>
      </c>
      <c r="K23" s="1252"/>
      <c r="N23" s="1200"/>
    </row>
    <row r="24" spans="2:14" ht="14.25" customHeight="1">
      <c r="B24" s="527" t="s">
        <v>1282</v>
      </c>
      <c r="C24" s="1210">
        <f ca="1">CO2_flowrate*365/1000000</f>
        <v>0</v>
      </c>
      <c r="D24" s="1211"/>
      <c r="E24" s="1211"/>
      <c r="F24" s="1203"/>
      <c r="H24" s="1465" t="s">
        <v>1232</v>
      </c>
      <c r="I24" s="1466"/>
      <c r="J24" s="1270">
        <f ca="1">SUM(C82:C83)</f>
        <v>0</v>
      </c>
      <c r="K24" s="1252"/>
      <c r="N24" s="1200"/>
    </row>
    <row r="25" spans="2:14" ht="15">
      <c r="B25" s="565" t="s">
        <v>430</v>
      </c>
      <c r="C25" s="566">
        <f ca="1">HLOOKUP(startup_year,INDIRECT(TMP_PriceTable),MATCH("Industrial Electricity",INDIRECT(Energy_Feed_List),0),FALSE)*VLOOKUP("kWh",CC_feedconversion,2,FALSE)</f>
        <v>6.9980611257164108E-2</v>
      </c>
      <c r="D25" s="1493" t="s">
        <v>431</v>
      </c>
      <c r="E25" s="1493"/>
      <c r="F25" s="1494"/>
      <c r="H25" s="1477" t="s">
        <v>1234</v>
      </c>
      <c r="I25" s="1478"/>
      <c r="J25" s="1270">
        <f ca="1">SUM(C93:C95)</f>
        <v>39831626.153846137</v>
      </c>
      <c r="K25" s="1254"/>
      <c r="M25" s="1205"/>
    </row>
    <row r="26" spans="2:14" ht="15.75" thickBot="1">
      <c r="B26" s="531" t="s">
        <v>995</v>
      </c>
      <c r="C26" s="534">
        <f ca="1">IF(C21=0,0,(pump_power)*cap_factor*24*365/output_kgyear)</f>
        <v>0</v>
      </c>
      <c r="D26" s="1486"/>
      <c r="E26" s="1486"/>
      <c r="F26" s="1487"/>
      <c r="H26" s="1495"/>
      <c r="I26" s="1496"/>
      <c r="J26" s="1273">
        <f>IF(CO2_Capture_Efficiency,SUM(J22:J25),0)</f>
        <v>0</v>
      </c>
      <c r="K26" s="1254" t="str">
        <f>"Total ("&amp;ref_year&amp;"$)"</f>
        <v>Total (2016$)</v>
      </c>
    </row>
    <row r="27" spans="2:14" ht="18.75" customHeight="1" thickTop="1" thickBot="1">
      <c r="H27" s="1465" t="s">
        <v>1092</v>
      </c>
      <c r="I27" s="1466"/>
      <c r="J27" s="1270" t="e">
        <f ca="1">IF(CO2_inUse = "To Use Carbon Sequestration Click 'Link to Detail Sheet' in the Input Sheet Capital Cost Section",0,(J23+J24)/1.2+J25/1.5+J22)</f>
        <v>#NAME?</v>
      </c>
      <c r="K27" s="1252"/>
    </row>
    <row r="28" spans="2:14" ht="31.5" customHeight="1" thickTop="1" thickBot="1">
      <c r="B28" s="1243" t="s">
        <v>411</v>
      </c>
      <c r="C28" s="1244"/>
      <c r="D28" s="1245"/>
      <c r="E28" s="1245"/>
      <c r="F28" s="1246"/>
      <c r="H28" s="1481"/>
      <c r="I28" s="1482"/>
      <c r="J28" s="1253"/>
      <c r="K28" s="1252"/>
    </row>
    <row r="29" spans="2:14" ht="15">
      <c r="B29" s="1228" t="s">
        <v>1241</v>
      </c>
      <c r="C29" s="1226"/>
      <c r="D29" s="1227"/>
      <c r="E29" s="1227"/>
      <c r="F29" s="1229"/>
      <c r="H29" s="1255"/>
      <c r="I29" s="1256"/>
      <c r="J29" s="1253"/>
      <c r="K29" s="1252"/>
    </row>
    <row r="30" spans="2:14" ht="15">
      <c r="B30" s="1230" t="s">
        <v>994</v>
      </c>
      <c r="C30" s="1277">
        <v>0</v>
      </c>
      <c r="D30" s="1215"/>
      <c r="E30" s="1467" t="s">
        <v>1283</v>
      </c>
      <c r="F30" s="1468"/>
      <c r="H30" s="1479" t="s">
        <v>816</v>
      </c>
      <c r="I30" s="1480"/>
      <c r="J30" s="1253"/>
      <c r="K30" s="1252"/>
    </row>
    <row r="31" spans="2:14" ht="27.6" customHeight="1">
      <c r="B31" s="1230" t="s">
        <v>548</v>
      </c>
      <c r="C31" s="1241">
        <v>14.7</v>
      </c>
      <c r="D31" s="1215"/>
      <c r="E31" s="1475" t="s">
        <v>1238</v>
      </c>
      <c r="F31" s="1476"/>
      <c r="H31" s="1465" t="s">
        <v>425</v>
      </c>
      <c r="I31" s="1466"/>
      <c r="J31" s="1270">
        <f ca="1">C74</f>
        <v>0</v>
      </c>
      <c r="K31" s="1252"/>
    </row>
    <row r="32" spans="2:14" ht="28.5">
      <c r="B32" s="1230" t="s">
        <v>1213</v>
      </c>
      <c r="C32" s="1216">
        <v>1</v>
      </c>
      <c r="D32" s="1215"/>
      <c r="E32" s="1467"/>
      <c r="F32" s="1469"/>
      <c r="H32" s="1271" t="s">
        <v>426</v>
      </c>
      <c r="I32" s="1272"/>
      <c r="J32" s="1270">
        <v>0</v>
      </c>
      <c r="K32" s="1252"/>
    </row>
    <row r="33" spans="2:11" ht="14.25">
      <c r="B33" s="1230" t="s">
        <v>1212</v>
      </c>
      <c r="C33" s="1217">
        <v>0.75</v>
      </c>
      <c r="D33" s="1215"/>
      <c r="E33" s="1467"/>
      <c r="F33" s="1469"/>
      <c r="H33" s="1465" t="s">
        <v>427</v>
      </c>
      <c r="I33" s="1466"/>
      <c r="J33" s="1270">
        <v>0</v>
      </c>
      <c r="K33" s="1252"/>
    </row>
    <row r="34" spans="2:11" ht="15">
      <c r="B34" s="1230" t="s">
        <v>1204</v>
      </c>
      <c r="C34" s="1218" t="s">
        <v>23</v>
      </c>
      <c r="D34" s="1215"/>
      <c r="E34" s="1467"/>
      <c r="F34" s="1469"/>
      <c r="H34" s="1481"/>
      <c r="I34" s="1482"/>
      <c r="J34" s="1273">
        <f ca="1">SUM(J31:J33)</f>
        <v>0</v>
      </c>
      <c r="K34" s="1254" t="str">
        <f>"Total ("&amp;ref_year&amp;"$)"</f>
        <v>Total (2016$)</v>
      </c>
    </row>
    <row r="35" spans="2:11" ht="15">
      <c r="B35" s="1230" t="s">
        <v>1206</v>
      </c>
      <c r="C35" s="1218" t="s">
        <v>23</v>
      </c>
      <c r="D35" s="1215"/>
      <c r="E35" s="1467"/>
      <c r="F35" s="1469"/>
      <c r="H35" s="1479" t="s">
        <v>817</v>
      </c>
      <c r="I35" s="1480"/>
      <c r="J35" s="1253"/>
      <c r="K35" s="1252"/>
    </row>
    <row r="36" spans="2:11" ht="14.25">
      <c r="B36" s="1230" t="s">
        <v>1239</v>
      </c>
      <c r="C36" s="1216">
        <v>100</v>
      </c>
      <c r="D36" s="1215"/>
      <c r="E36" s="1467"/>
      <c r="F36" s="1469"/>
      <c r="H36" s="1465" t="s">
        <v>959</v>
      </c>
      <c r="I36" s="1466"/>
      <c r="J36" s="1270">
        <f ca="1">-Feed_CO2_MTpY*CO2_Capture_Efficiency*CO2_credit</f>
        <v>0</v>
      </c>
      <c r="K36" s="1252"/>
    </row>
    <row r="37" spans="2:11" ht="14.25">
      <c r="B37" s="1230" t="s">
        <v>1240</v>
      </c>
      <c r="C37" s="1216">
        <v>0</v>
      </c>
      <c r="D37" s="1215"/>
      <c r="E37" s="1467"/>
      <c r="F37" s="1469"/>
      <c r="H37" s="1465" t="s">
        <v>427</v>
      </c>
      <c r="I37" s="1466"/>
      <c r="J37" s="1270">
        <f>+C61</f>
        <v>693420.37890424987</v>
      </c>
      <c r="K37" s="1252"/>
    </row>
    <row r="38" spans="2:11" ht="15" thickBot="1">
      <c r="B38" s="1231" t="s">
        <v>1247</v>
      </c>
      <c r="C38" s="1222" t="e">
        <f ca="1">Pipe_Diameter(CO2_PipeLength,
        C67, C66,
        C37,
        0.5,
        CO2_flowrate,
        CO2_Pipeline_Temp,
        n_CO2_pumps)</f>
        <v>#NAME?</v>
      </c>
      <c r="D38" s="1223"/>
      <c r="E38" s="1473"/>
      <c r="F38" s="1474"/>
      <c r="H38" s="1465" t="s">
        <v>1229</v>
      </c>
      <c r="I38" s="1466"/>
      <c r="J38" s="1270">
        <f ca="1">C78</f>
        <v>3239.5557454079453</v>
      </c>
      <c r="K38" s="1252"/>
    </row>
    <row r="39" spans="2:11" ht="15">
      <c r="B39" s="1470" t="s">
        <v>1242</v>
      </c>
      <c r="C39" s="1471"/>
      <c r="D39" s="1471"/>
      <c r="E39" s="1471"/>
      <c r="F39" s="1472"/>
      <c r="H39" s="1465" t="s">
        <v>1232</v>
      </c>
      <c r="I39" s="1466"/>
      <c r="J39" s="1270">
        <f ca="1">C86</f>
        <v>0</v>
      </c>
      <c r="K39" s="1252"/>
    </row>
    <row r="40" spans="2:11" ht="14.25">
      <c r="B40" s="1230" t="s">
        <v>1218</v>
      </c>
      <c r="C40" s="1216">
        <v>53</v>
      </c>
      <c r="D40" s="1215"/>
      <c r="E40" s="1467" t="s">
        <v>1246</v>
      </c>
      <c r="F40" s="1469"/>
      <c r="H40" s="1477" t="s">
        <v>1233</v>
      </c>
      <c r="I40" s="1478"/>
      <c r="J40" s="1274">
        <f ca="1">SUM(C103:C107)</f>
        <v>2016053.2255769228</v>
      </c>
      <c r="K40" s="1252"/>
    </row>
    <row r="41" spans="2:11" ht="35.450000000000003" customHeight="1" thickBot="1">
      <c r="B41" s="1231" t="s">
        <v>1219</v>
      </c>
      <c r="C41" s="1224">
        <f>denPRCO2(0.00005,AVERAGE(C66:C67)/MPa_to_psi,CO2_Pipeline_Temp)</f>
        <v>865.79471045444359</v>
      </c>
      <c r="D41" s="1223"/>
      <c r="E41" s="1505" t="s">
        <v>1220</v>
      </c>
      <c r="F41" s="1506"/>
      <c r="H41" s="1479"/>
      <c r="I41" s="1480"/>
      <c r="J41" s="1273">
        <f>IF(CO2_Capture_Efficiency&gt;0,SUM(J36:J40),0)</f>
        <v>0</v>
      </c>
      <c r="K41" s="1254" t="str">
        <f>"Total  ("&amp;ref_year&amp;"$)"</f>
        <v>Total  (2016$)</v>
      </c>
    </row>
    <row r="42" spans="2:11" ht="15">
      <c r="B42" s="1470" t="s">
        <v>1243</v>
      </c>
      <c r="C42" s="1471"/>
      <c r="D42" s="1471"/>
      <c r="E42" s="1471"/>
      <c r="F42" s="1472"/>
      <c r="H42" s="1255"/>
      <c r="I42" s="1256"/>
      <c r="J42" s="1253"/>
      <c r="K42" s="1252"/>
    </row>
    <row r="43" spans="2:11" ht="14.45" customHeight="1">
      <c r="B43" s="1230" t="s">
        <v>957</v>
      </c>
      <c r="C43" s="1219">
        <v>0</v>
      </c>
      <c r="D43" s="1215"/>
      <c r="E43" s="1221"/>
      <c r="F43" s="1232"/>
      <c r="H43" s="1465" t="s">
        <v>825</v>
      </c>
      <c r="I43" s="1466"/>
      <c r="J43" s="1273">
        <f>Det_CO2_seq*tax_ins_rate</f>
        <v>0</v>
      </c>
      <c r="K43" s="1254" t="str">
        <f>+K41</f>
        <v>Total  (2016$)</v>
      </c>
    </row>
    <row r="44" spans="2:11" ht="15" customHeight="1" thickBot="1">
      <c r="B44" s="1231" t="s">
        <v>1207</v>
      </c>
      <c r="C44" s="1225">
        <v>0.04</v>
      </c>
      <c r="D44" s="1223"/>
      <c r="E44" s="1507"/>
      <c r="F44" s="1508"/>
      <c r="H44" s="1257"/>
      <c r="I44" s="1258"/>
      <c r="J44" s="1259"/>
      <c r="K44" s="1260"/>
    </row>
    <row r="45" spans="2:11" ht="15" customHeight="1">
      <c r="B45" s="1470" t="s">
        <v>1244</v>
      </c>
      <c r="C45" s="1471"/>
      <c r="D45" s="1471"/>
      <c r="E45" s="1471"/>
      <c r="F45" s="1472"/>
      <c r="H45" s="1499" t="s">
        <v>1235</v>
      </c>
      <c r="I45" s="1500"/>
      <c r="J45" s="1500"/>
      <c r="K45" s="1275" t="e">
        <f ca="1">ROUND(CO2_eCostpY/(Feed_CO2_MTpY*CO2_Capture_Efficiency),1)</f>
        <v>#DIV/0!</v>
      </c>
    </row>
    <row r="46" spans="2:11" ht="15" customHeight="1">
      <c r="B46" s="1230" t="s">
        <v>66</v>
      </c>
      <c r="C46" s="1220">
        <f ca="1">(real_irr*(1+real_irr)^anal_period)/(((real_irr+1)^anal_period)-1)</f>
        <v>8.3860161500585326E-2</v>
      </c>
      <c r="D46" s="1215"/>
      <c r="E46" s="1467"/>
      <c r="F46" s="1469"/>
      <c r="H46" s="1465" t="s">
        <v>1236</v>
      </c>
      <c r="I46" s="1466"/>
      <c r="J46" s="1466"/>
      <c r="K46" s="1276" t="e">
        <f ca="1">ROUND((Det_CO2_OandMcost+ CCS_tax_insurance)/(Feed_CO2_MTpY*CO2_Capture_Efficiency),1)</f>
        <v>#DIV/0!</v>
      </c>
    </row>
    <row r="47" spans="2:11" ht="15" customHeight="1" thickBot="1">
      <c r="B47" s="1230" t="s">
        <v>0</v>
      </c>
      <c r="C47" s="1220">
        <f ca="1">INDEX(MACRS_Table,MATCH("NPV - Real IRR",recovery_year,0),MATCH(depr_length,recovery_period,0))*(1+real_irr)</f>
        <v>0.54674112188719604</v>
      </c>
      <c r="D47" s="1215"/>
      <c r="E47" s="1467"/>
      <c r="F47" s="1469"/>
      <c r="H47" s="1503" t="s">
        <v>1237</v>
      </c>
      <c r="I47" s="1504"/>
      <c r="J47" s="1504"/>
      <c r="K47" s="1279" t="e">
        <f ca="1">ROUND((Det_CO2_seq+(-PV(nominal_irr,plant_life,C100)*(1+nominal_irr)))*CO2_cap_charge_rate/(Feed_CO2_MTpY*CO2_Capture_Efficiency),1)</f>
        <v>#DIV/0!</v>
      </c>
    </row>
    <row r="48" spans="2:11" ht="15" customHeight="1" thickTop="1" thickBot="1">
      <c r="B48" s="1233" t="s">
        <v>1</v>
      </c>
      <c r="C48" s="1242">
        <f ca="1">(CO2_cap_rec*(1-total_tax_rate*CO2_depr_factor))/(1-total_tax_rate)</f>
        <v>9.7035312812405017E-2</v>
      </c>
      <c r="D48" s="1234"/>
      <c r="E48" s="1501"/>
      <c r="F48" s="1502"/>
      <c r="H48" s="1497" t="s">
        <v>1285</v>
      </c>
      <c r="I48" s="1498"/>
      <c r="J48" s="1498"/>
      <c r="K48" s="1278" t="e">
        <f ca="1">SUM(K45:K47)</f>
        <v>#DIV/0!</v>
      </c>
    </row>
    <row r="49" spans="2:11" ht="14.25" thickTop="1" thickBot="1"/>
    <row r="50" spans="2:11" ht="18.75" thickTop="1">
      <c r="B50" s="526" t="s">
        <v>1217</v>
      </c>
      <c r="C50" s="535"/>
      <c r="D50" s="535"/>
      <c r="E50" s="535"/>
      <c r="F50" s="535"/>
      <c r="G50" s="535"/>
      <c r="H50" s="535"/>
      <c r="I50" s="535"/>
      <c r="J50" s="535"/>
      <c r="K50" s="536"/>
    </row>
    <row r="51" spans="2:11" ht="13.9" customHeight="1">
      <c r="B51" s="32" t="str">
        <f>"CO2 Pipeline Costs ("&amp;ref_year&amp;" USD)"</f>
        <v>CO2 Pipeline Costs (2016 USD)</v>
      </c>
      <c r="D51" s="466" t="s">
        <v>1045</v>
      </c>
      <c r="E51" s="1235" t="s">
        <v>1245</v>
      </c>
      <c r="K51" s="537"/>
    </row>
    <row r="52" spans="2:11" ht="12.6" customHeight="1">
      <c r="B52" s="1198" t="s">
        <v>1231</v>
      </c>
      <c r="K52" s="537"/>
    </row>
    <row r="53" spans="2:11" ht="12.6" customHeight="1">
      <c r="B53" s="1261" t="s">
        <v>1203</v>
      </c>
      <c r="C53" s="1262" t="e">
        <f ca="1">IF(CO2_PipeDia&gt;20,1.25, IF(CO2_PipeDia&gt;16,1.18,IF(CO2_PipeDia&gt;12,1.12,1)))</f>
        <v>#NAME?</v>
      </c>
      <c r="D53" s="1263"/>
      <c r="E53" s="1240" t="s">
        <v>1268</v>
      </c>
      <c r="K53" s="537"/>
    </row>
    <row r="54" spans="2:11" ht="12.6" customHeight="1">
      <c r="B54" s="1261" t="s">
        <v>1254</v>
      </c>
      <c r="C54" s="1264" t="e">
        <f ca="1">(35000+CO2_PipeLength*(330.5*CO2_PipeDia^2+687*CO2_PipeDia+26960))*NG_to_CO2Pipeline*VLOOKUP(ref_year,Tbl_PlantCostIndexes,2)/VLOOKUP(2000,Tbl_PlantCostIndexes,2)</f>
        <v>#NAME?</v>
      </c>
      <c r="D54" s="1265" t="str">
        <f>ref_year&amp;"$"</f>
        <v>2016$</v>
      </c>
      <c r="E54" s="1240" t="s">
        <v>1274</v>
      </c>
      <c r="K54" s="537"/>
    </row>
    <row r="55" spans="2:11" ht="12.6" customHeight="1">
      <c r="B55" s="1261" t="s">
        <v>1264</v>
      </c>
      <c r="C55" s="1264" t="e">
        <f ca="1">(185000+CO2_PipeLength*(343*CO2_PipeDia^2+2074*CO2_PipeDia+170013))*NG_to_CO2Pipeline*VLOOKUP(ref_year,Tbl_labor_indexes,2)/VLOOKUP(2000,Tbl_labor_indexes,2)</f>
        <v>#NAME?</v>
      </c>
      <c r="D55" s="1265" t="str">
        <f>ref_year&amp;"$"</f>
        <v>2016$</v>
      </c>
      <c r="E55" s="1240" t="s">
        <v>1275</v>
      </c>
      <c r="K55" s="537"/>
    </row>
    <row r="56" spans="2:11" ht="12.6" customHeight="1">
      <c r="B56" s="1261" t="s">
        <v>1263</v>
      </c>
      <c r="C56" s="1264" t="e">
        <f ca="1">(40000+CO2_PipeLength*(0*CO2_PipeDia^2+577*CO2_PipeDia+29788))*NG_to_CO2Pipeline*(VLOOKUP(ref_year,DeflatorTable,2)/VLOOKUP(2000,DeflatorTable,2))</f>
        <v>#NAME?</v>
      </c>
      <c r="D56" s="1265" t="str">
        <f>ref_year&amp;"$"</f>
        <v>2016$</v>
      </c>
      <c r="E56" s="1240" t="s">
        <v>1276</v>
      </c>
      <c r="K56" s="537"/>
    </row>
    <row r="57" spans="2:11" ht="12.6" customHeight="1">
      <c r="B57" s="1261" t="s">
        <v>1262</v>
      </c>
      <c r="C57" s="1264" t="e">
        <f ca="1">(95000+CO2_PipeLength*(0*CO2_PipeDia^2+8417*CO2_PipeDia+7324))*NG_to_CO2Pipeline*VLOOKUP(ref_year,DeflatorTable,2)/VLOOKUP(2000,DeflatorTable,2)</f>
        <v>#NAME?</v>
      </c>
      <c r="D57" s="1265" t="str">
        <f>ref_year&amp;"$"</f>
        <v>2016$</v>
      </c>
      <c r="E57" s="1240" t="s">
        <v>1277</v>
      </c>
      <c r="K57" s="537"/>
    </row>
    <row r="58" spans="2:11" ht="12.6" customHeight="1">
      <c r="B58" s="1261" t="s">
        <v>1265</v>
      </c>
      <c r="C58" s="1264" t="e">
        <f ca="1">SUM(C54:C57)/CO2_PipeLength</f>
        <v>#NAME?</v>
      </c>
      <c r="D58" s="1265" t="str">
        <f>ref_year&amp;"$/mile"</f>
        <v>2016$/mile</v>
      </c>
      <c r="E58" s="1200"/>
      <c r="K58" s="537"/>
    </row>
    <row r="59" spans="2:11" ht="12.6" customHeight="1">
      <c r="B59" s="1196"/>
      <c r="C59" s="1207"/>
      <c r="E59" s="1200"/>
      <c r="K59" s="537"/>
    </row>
    <row r="60" spans="2:11" ht="12.6" customHeight="1">
      <c r="B60" s="1198" t="s">
        <v>415</v>
      </c>
      <c r="C60" s="1207"/>
      <c r="E60" s="1200"/>
      <c r="K60" s="537"/>
    </row>
    <row r="61" spans="2:11" ht="12.6" customHeight="1">
      <c r="B61" s="1261" t="s">
        <v>1261</v>
      </c>
      <c r="C61" s="1264">
        <f>5000*CO2_PipeLength*(VLOOKUP(ref_year,Tbl_PlantCostIndexes,2)/VLOOKUP(1999,Tbl_PlantCostIndexes,2))</f>
        <v>693420.37890424987</v>
      </c>
      <c r="D61" s="1265" t="str">
        <f>ref_year&amp;"$/year"</f>
        <v>2016$/year</v>
      </c>
      <c r="E61" s="1201" t="s">
        <v>1278</v>
      </c>
      <c r="K61" s="537"/>
    </row>
    <row r="62" spans="2:11" ht="12.6" customHeight="1">
      <c r="B62" s="1196"/>
      <c r="E62" s="1200"/>
      <c r="K62" s="537"/>
    </row>
    <row r="63" spans="2:11" ht="12.6" customHeight="1">
      <c r="B63" s="1196"/>
      <c r="E63" s="1200"/>
      <c r="K63" s="537"/>
    </row>
    <row r="64" spans="2:11" ht="13.9" customHeight="1">
      <c r="B64" s="32" t="s">
        <v>1202</v>
      </c>
      <c r="E64" s="1200"/>
      <c r="K64" s="537"/>
    </row>
    <row r="65" spans="2:11" ht="12.6" customHeight="1">
      <c r="B65" s="1198" t="s">
        <v>83</v>
      </c>
      <c r="E65" s="1200"/>
      <c r="K65" s="537"/>
    </row>
    <row r="66" spans="2:11" ht="12.6" customHeight="1">
      <c r="B66" s="1261" t="s">
        <v>1208</v>
      </c>
      <c r="C66" s="1266">
        <f>CO2_Pin_psia</f>
        <v>14.7</v>
      </c>
      <c r="D66" s="1265" t="s">
        <v>1210</v>
      </c>
      <c r="E66" s="1200"/>
      <c r="K66" s="537"/>
    </row>
    <row r="67" spans="2:11" ht="12.6" customHeight="1">
      <c r="B67" s="1261" t="s">
        <v>1209</v>
      </c>
      <c r="C67" s="1266">
        <f>15*MPa_to_psi</f>
        <v>2175.5700000000002</v>
      </c>
      <c r="D67" s="1265" t="s">
        <v>1210</v>
      </c>
      <c r="E67" s="1200"/>
      <c r="K67" s="537"/>
    </row>
    <row r="68" spans="2:11" ht="15.75">
      <c r="B68" s="1261" t="s">
        <v>1211</v>
      </c>
      <c r="C68" s="1266">
        <f ca="1">(1000*1000000*0.001/ (24*3600))*(CO2_flowrate/cap_factor*(C67-C66)/MPa_to_psi)/(C41*Pump_Eff)</f>
        <v>0</v>
      </c>
      <c r="D68" s="1265" t="s">
        <v>413</v>
      </c>
      <c r="E68" s="1201" t="s">
        <v>1271</v>
      </c>
      <c r="K68" s="537"/>
    </row>
    <row r="69" spans="2:11" ht="12.6" customHeight="1">
      <c r="B69" s="1261" t="s">
        <v>1257</v>
      </c>
      <c r="C69" s="1264">
        <f>70000*VLOOKUP(ref_year,Tbl_PlantCostIndexes,2)/VLOOKUP(2005,Tbl_PlantCostIndexes,2)</f>
        <v>80988.893635198634</v>
      </c>
      <c r="D69" s="1265" t="str">
        <f>ref_year&amp;"$"</f>
        <v>2016$</v>
      </c>
      <c r="E69" s="1201" t="s">
        <v>1272</v>
      </c>
      <c r="K69" s="537"/>
    </row>
    <row r="70" spans="2:11" ht="12.6" customHeight="1">
      <c r="B70" s="1261" t="s">
        <v>1258</v>
      </c>
      <c r="C70" s="1264">
        <f ca="1">1110*C68*VLOOKUP(ref_year,Tbl_PlantCostIndexes,2)/VLOOKUP(2005,Tbl_PlantCostIndexes,2)</f>
        <v>0</v>
      </c>
      <c r="D70" s="1265" t="str">
        <f>ref_year&amp;"$"</f>
        <v>2016$</v>
      </c>
      <c r="E70" s="1201" t="s">
        <v>1270</v>
      </c>
      <c r="K70" s="537"/>
    </row>
    <row r="71" spans="2:11" ht="12.6" customHeight="1">
      <c r="B71" s="1261" t="s">
        <v>1267</v>
      </c>
      <c r="C71" s="1264">
        <f ca="1">SUM(C69:C70)</f>
        <v>80988.893635198634</v>
      </c>
      <c r="D71" s="1265" t="str">
        <f>ref_year&amp;"$"</f>
        <v>2016$</v>
      </c>
      <c r="E71" s="1240" t="s">
        <v>1269</v>
      </c>
      <c r="K71" s="537"/>
    </row>
    <row r="72" spans="2:11" ht="12.6" customHeight="1">
      <c r="B72" s="1197"/>
      <c r="C72" s="1202"/>
      <c r="D72" s="1200"/>
      <c r="E72" s="1200"/>
      <c r="K72" s="537"/>
    </row>
    <row r="73" spans="2:11" ht="12.6" customHeight="1">
      <c r="B73" s="1198" t="s">
        <v>1214</v>
      </c>
      <c r="D73" s="1200"/>
      <c r="E73" s="1200"/>
      <c r="K73" s="537"/>
    </row>
    <row r="74" spans="2:11" ht="12.6" customHeight="1">
      <c r="B74" s="1261" t="s">
        <v>1216</v>
      </c>
      <c r="C74" s="1264">
        <f ca="1">CO2_eCost*pump_power*cap_factor*24*365*n_CO2_pumps</f>
        <v>0</v>
      </c>
      <c r="D74" s="1263" t="str">
        <f>startup_year&amp;"$/year"</f>
        <v>2015$/year</v>
      </c>
      <c r="E74" s="1201" t="s">
        <v>1215</v>
      </c>
      <c r="K74" s="537"/>
    </row>
    <row r="75" spans="2:11" ht="12.6" customHeight="1">
      <c r="B75" s="1261" t="s">
        <v>1255</v>
      </c>
      <c r="C75" s="1267">
        <f ca="1">pump_power*cap_factor*24*365*n_CO2_pumps/output_kgyear</f>
        <v>0</v>
      </c>
      <c r="D75" s="1268" t="s">
        <v>1256</v>
      </c>
      <c r="K75" s="537"/>
    </row>
    <row r="76" spans="2:11" ht="12.6" customHeight="1">
      <c r="B76" s="1196"/>
      <c r="K76" s="537"/>
    </row>
    <row r="77" spans="2:11" ht="12.6" customHeight="1">
      <c r="B77" s="1198" t="s">
        <v>415</v>
      </c>
      <c r="K77" s="537"/>
    </row>
    <row r="78" spans="2:11" ht="12.6" customHeight="1">
      <c r="B78" s="1261" t="s">
        <v>1259</v>
      </c>
      <c r="C78" s="1269">
        <f ca="1">C71*CO2_MaintFactor</f>
        <v>3239.5557454079453</v>
      </c>
      <c r="D78" s="1265" t="str">
        <f>ref_year&amp;"$/year"</f>
        <v>2016$/year</v>
      </c>
      <c r="K78" s="537"/>
    </row>
    <row r="79" spans="2:11" ht="12.6" customHeight="1">
      <c r="B79" s="1196"/>
      <c r="K79" s="537"/>
    </row>
    <row r="80" spans="2:11" ht="15" customHeight="1">
      <c r="B80" s="32" t="s">
        <v>1205</v>
      </c>
      <c r="K80" s="537"/>
    </row>
    <row r="81" spans="2:11" ht="12.6" customHeight="1">
      <c r="B81" s="1198" t="s">
        <v>83</v>
      </c>
      <c r="K81" s="537"/>
    </row>
    <row r="82" spans="2:11" ht="12.6" customHeight="1">
      <c r="B82" s="1261" t="s">
        <v>1206</v>
      </c>
      <c r="C82" s="1264">
        <f ca="1">IF(C35="yes",701600*(CO2_flowrate_GTpY/3.2)^Scaling_Factor_Exponent*(VLOOKUP(ref_year,Tbl_PlantCostIndexes,2)/VLOOKUP(2000,Tbl_PlantCostIndexes,2)),0)</f>
        <v>0</v>
      </c>
      <c r="D82" s="1265" t="str">
        <f>ref_year&amp;"$"</f>
        <v>2016$</v>
      </c>
      <c r="E82" s="1201" t="s">
        <v>1273</v>
      </c>
      <c r="K82" s="537"/>
    </row>
    <row r="83" spans="2:11" ht="12.6" customHeight="1">
      <c r="B83" s="1261" t="s">
        <v>1260</v>
      </c>
      <c r="C83" s="1264">
        <f ca="1">IF(C34="yes",94000*(CO2_flowrate_GTpY/3.2)^Scaling_Factor_Exponent*(VLOOKUP(ref_year,Tbl_PlantCostIndexes,2)/VLOOKUP(2000,Tbl_PlantCostIndexes,2)),0)</f>
        <v>0</v>
      </c>
      <c r="D83" s="1265" t="str">
        <f>ref_year&amp;"$"</f>
        <v>2016$</v>
      </c>
      <c r="E83" s="1201" t="s">
        <v>1273</v>
      </c>
      <c r="K83" s="537"/>
    </row>
    <row r="84" spans="2:11" ht="12.6" customHeight="1">
      <c r="B84" s="1197"/>
      <c r="K84" s="537"/>
    </row>
    <row r="85" spans="2:11" ht="12.6" customHeight="1">
      <c r="B85" s="1198" t="s">
        <v>415</v>
      </c>
      <c r="K85" s="537"/>
    </row>
    <row r="86" spans="2:11" ht="12.6" customHeight="1">
      <c r="B86" s="1261" t="s">
        <v>1259</v>
      </c>
      <c r="C86" s="1264">
        <f ca="1">SUM(C82:C83)*CO2_MaintFactor</f>
        <v>0</v>
      </c>
      <c r="D86" s="1265" t="str">
        <f>ref_year&amp;"$/year"</f>
        <v>2016$/year</v>
      </c>
      <c r="K86" s="537"/>
    </row>
    <row r="87" spans="2:11" ht="12.6" customHeight="1" thickBot="1">
      <c r="B87" s="1204"/>
      <c r="C87" s="538"/>
      <c r="D87" s="538"/>
      <c r="E87" s="538"/>
      <c r="F87" s="538"/>
      <c r="G87" s="538"/>
      <c r="H87" s="538"/>
      <c r="I87" s="538"/>
      <c r="J87" s="538"/>
      <c r="K87" s="539"/>
    </row>
    <row r="88" spans="2:11" ht="12.6" customHeight="1" thickTop="1" thickBot="1">
      <c r="B88" s="1199"/>
    </row>
    <row r="89" spans="2:11" ht="21" customHeight="1" thickTop="1">
      <c r="B89" s="526" t="s">
        <v>1225</v>
      </c>
      <c r="C89" s="535"/>
      <c r="D89" s="535"/>
      <c r="E89" s="535"/>
      <c r="F89" s="535"/>
      <c r="G89" s="535"/>
      <c r="H89" s="535"/>
      <c r="I89" s="535"/>
      <c r="J89" s="535"/>
      <c r="K89" s="536"/>
    </row>
    <row r="90" spans="2:11" ht="12.6" customHeight="1">
      <c r="B90" s="32" t="s">
        <v>1230</v>
      </c>
      <c r="D90" s="466" t="s">
        <v>1045</v>
      </c>
      <c r="E90" s="1235" t="s">
        <v>1245</v>
      </c>
      <c r="K90" s="537"/>
    </row>
    <row r="91" spans="2:11" hidden="1">
      <c r="B91" s="1197" t="s">
        <v>1228</v>
      </c>
      <c r="C91" s="540">
        <f>VLOOKUP(2005,DeflatorTable,2)/VLOOKUP(2008,DeflatorTable,2)</f>
        <v>0.92676070528967247</v>
      </c>
      <c r="K91" s="537"/>
    </row>
    <row r="92" spans="2:11" ht="12.6" customHeight="1">
      <c r="B92" s="1198" t="str">
        <f>"Capital Costs by Stage (Annual Cost of "&amp;plant_life&amp;" year project in "&amp;ref_year&amp;"$)"</f>
        <v>Capital Costs by Stage (Annual Cost of 40 year project in 2016$)</v>
      </c>
      <c r="E92" s="1201" t="s">
        <v>1281</v>
      </c>
      <c r="K92" s="537"/>
    </row>
    <row r="93" spans="2:11" ht="12.6" customHeight="1">
      <c r="B93" s="1261" t="s">
        <v>1221</v>
      </c>
      <c r="C93" s="1264">
        <f>94000*VLOOKUP(ref_year,Tbl_labor_indexes,2)/VLOOKUP(2008,Tbl_labor_indexes,2)</f>
        <v>109497.94871794869</v>
      </c>
      <c r="D93" s="1265" t="str">
        <f>ref_year&amp;"$"</f>
        <v>2016$</v>
      </c>
      <c r="K93" s="537"/>
    </row>
    <row r="94" spans="2:11" ht="12.6" customHeight="1">
      <c r="B94" s="1261" t="s">
        <v>1222</v>
      </c>
      <c r="C94" s="1264">
        <f ca="1">(-16600*CO2_flowrate_GTpY^2+53500*CO2_flowrate_GTpY+20300)*1000*VLOOKUP(ref_year,Tbl_labor_indexes,2)/VLOOKUP(2008,Tbl_labor_indexes,2)</f>
        <v>23646897.435897429</v>
      </c>
      <c r="D94" s="1265" t="str">
        <f>ref_year&amp;"$"</f>
        <v>2016$</v>
      </c>
      <c r="K94" s="537"/>
    </row>
    <row r="95" spans="2:11" ht="12.6" customHeight="1">
      <c r="B95" s="1261" t="s">
        <v>169</v>
      </c>
      <c r="C95" s="1264">
        <f ca="1" xml:space="preserve"> (-400*CO2_flowrate_GTpY^2 + 2200*CO2_flowrate_GTpY + 13800)*1000*VLOOKUP(ref_year,Tbl_labor_indexes,2)/VLOOKUP(2008,Tbl_labor_indexes,2)</f>
        <v>16075230.769230762</v>
      </c>
      <c r="D95" s="1265" t="str">
        <f>ref_year&amp;"$"</f>
        <v>2016$</v>
      </c>
      <c r="K95" s="537"/>
    </row>
    <row r="96" spans="2:11" ht="12.6" customHeight="1">
      <c r="B96" s="1197"/>
      <c r="C96" s="1212"/>
      <c r="K96" s="537"/>
    </row>
    <row r="97" spans="2:11" ht="12.6" customHeight="1">
      <c r="B97" s="1198" t="s">
        <v>1253</v>
      </c>
      <c r="C97" s="1212"/>
      <c r="E97" s="1201"/>
      <c r="K97" s="537"/>
    </row>
    <row r="98" spans="2:11" ht="12.6" customHeight="1">
      <c r="B98" s="1261" t="s">
        <v>1279</v>
      </c>
      <c r="C98" s="1264">
        <f ca="1">(-36000*CO2_flowrate_GTpY^2+224000*CO2_flowrate_GTpY+47000)*1000*(VLOOKUP(ref_year,Tbl_labor_indexes,2)/VLOOKUP(2008,Tbl_labor_indexes,2))/plant_life</f>
        <v>1368724.3589743585</v>
      </c>
      <c r="D98" s="1265" t="str">
        <f>ref_year&amp;"$/year"</f>
        <v>2016$/year</v>
      </c>
      <c r="K98" s="537"/>
    </row>
    <row r="99" spans="2:11" ht="12.6" customHeight="1">
      <c r="B99" s="1261" t="s">
        <v>1224</v>
      </c>
      <c r="C99" s="1264">
        <f ca="1">(-18000*CO2_flowrate_GTpY^2 + 183000*CO2_flowrate_GTpY+ 40000)*1000*(VLOOKUP(ref_year,Tbl_labor_indexes,2)/VLOOKUP(2008,Tbl_labor_indexes,2))/plant_life</f>
        <v>1164871.7948717945</v>
      </c>
      <c r="D99" s="1265" t="str">
        <f>ref_year&amp;"$/year"</f>
        <v>2016$/year</v>
      </c>
      <c r="K99" s="537"/>
    </row>
    <row r="100" spans="2:11" ht="12.6" customHeight="1">
      <c r="B100" s="1261" t="s">
        <v>1280</v>
      </c>
      <c r="C100" s="1280">
        <f>+IF(CO2_Capture_Efficiency,SUM(C98:C99),0)</f>
        <v>0</v>
      </c>
      <c r="D100" s="1265" t="str">
        <f>ref_year&amp;"$/year"</f>
        <v>2016$/year</v>
      </c>
      <c r="K100" s="537"/>
    </row>
    <row r="101" spans="2:11" ht="12.6" customHeight="1">
      <c r="B101" s="1198"/>
      <c r="C101" s="1212"/>
      <c r="K101" s="537"/>
    </row>
    <row r="102" spans="2:11" ht="12.6" customHeight="1">
      <c r="B102" s="1198" t="s">
        <v>1226</v>
      </c>
      <c r="C102" s="1212"/>
      <c r="E102" s="1201"/>
      <c r="K102" s="537"/>
    </row>
    <row r="103" spans="2:11" ht="12.6" customHeight="1">
      <c r="B103" s="1261" t="s">
        <v>1221</v>
      </c>
      <c r="C103" s="1264">
        <f>0*(VLOOKUP(ref_year,Tbl_labor_indexes,2)/VLOOKUP(2008,Tbl_labor_indexes,2))</f>
        <v>0</v>
      </c>
      <c r="D103" s="1265" t="str">
        <f>ref_year&amp;"$/year"</f>
        <v>2016$/year</v>
      </c>
      <c r="K103" s="537"/>
    </row>
    <row r="104" spans="2:11" ht="12.6" customHeight="1">
      <c r="B104" s="1261" t="s">
        <v>1222</v>
      </c>
      <c r="C104" s="1264">
        <f>395000*(VLOOKUP(ref_year,Tbl_labor_indexes,2)/VLOOKUP(2008,Tbl_labor_indexes,2))/plant_life</f>
        <v>11503.108974358973</v>
      </c>
      <c r="D104" s="1265" t="str">
        <f>ref_year&amp;"$/year"</f>
        <v>2016$/year</v>
      </c>
      <c r="K104" s="537"/>
    </row>
    <row r="105" spans="2:11" ht="12.6" customHeight="1">
      <c r="B105" s="1261" t="s">
        <v>169</v>
      </c>
      <c r="C105" s="1264">
        <f>100000*(VLOOKUP(ref_year,Tbl_labor_indexes,2)/VLOOKUP(2008,Tbl_labor_indexes,2))/plant_life</f>
        <v>2912.1794871794864</v>
      </c>
      <c r="D105" s="1265" t="str">
        <f>ref_year&amp;"$/year"</f>
        <v>2016$/year</v>
      </c>
      <c r="K105" s="537"/>
    </row>
    <row r="106" spans="2:11" ht="12.6" customHeight="1">
      <c r="B106" s="1261" t="s">
        <v>1223</v>
      </c>
      <c r="C106" s="1264">
        <f ca="1" xml:space="preserve"> (-30000*CO2_flowrate_GTpY^2 + 143000*CO2_flowrate_GTpY + 41000)*1000*(VLOOKUP(ref_year,Tbl_labor_indexes,2)/VLOOKUP(2008,Tbl_labor_indexes,2))/plant_life</f>
        <v>1193993.5897435895</v>
      </c>
      <c r="D106" s="1265" t="str">
        <f>ref_year&amp;"$/year"</f>
        <v>2016$/year</v>
      </c>
      <c r="K106" s="537"/>
    </row>
    <row r="107" spans="2:11" ht="12.6" customHeight="1">
      <c r="B107" s="1261" t="s">
        <v>1224</v>
      </c>
      <c r="C107" s="1264">
        <f ca="1">(111200*CO2_flowrate_GTpY+27733.33)*1000*(VLOOKUP(ref_year,Tbl_labor_indexes,2)/VLOOKUP(2008,Tbl_labor_indexes,2))/plant_life</f>
        <v>807644.34737179463</v>
      </c>
      <c r="D107" s="1265" t="str">
        <f>ref_year&amp;"$/year"</f>
        <v>2016$/year</v>
      </c>
      <c r="K107" s="537"/>
    </row>
    <row r="108" spans="2:11" ht="12.6" customHeight="1" thickBot="1">
      <c r="B108" s="1204"/>
      <c r="C108" s="538"/>
      <c r="D108" s="538"/>
      <c r="E108" s="538"/>
      <c r="F108" s="538"/>
      <c r="G108" s="538"/>
      <c r="H108" s="538"/>
      <c r="I108" s="538"/>
      <c r="J108" s="538"/>
      <c r="K108" s="539"/>
    </row>
    <row r="109" spans="2:11" ht="12.6" customHeight="1" thickTop="1">
      <c r="B109" s="1199"/>
      <c r="C109" s="1213"/>
      <c r="D109" s="1200"/>
    </row>
  </sheetData>
  <mergeCells count="48">
    <mergeCell ref="E47:F47"/>
    <mergeCell ref="H48:J48"/>
    <mergeCell ref="H45:J45"/>
    <mergeCell ref="E48:F48"/>
    <mergeCell ref="H41:I41"/>
    <mergeCell ref="H43:I43"/>
    <mergeCell ref="H47:J47"/>
    <mergeCell ref="E41:F41"/>
    <mergeCell ref="E46:F46"/>
    <mergeCell ref="E44:F4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33:F33"/>
    <mergeCell ref="H46:J46"/>
    <mergeCell ref="H38:I38"/>
    <mergeCell ref="H40:I40"/>
    <mergeCell ref="H35:I35"/>
    <mergeCell ref="H39:I39"/>
    <mergeCell ref="H34:I34"/>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s>
  <phoneticPr fontId="2" type="noConversion"/>
  <dataValidations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596" r:id="rId4" name="Check Box 301">
              <controlPr defaultSize="0" autoFill="0" autoLine="0" autoPict="0" macro="[0]!CheckBox301_Click" altText="H2A default">
                <anchor moveWithCells="1">
                  <from>
                    <xdr:col>3</xdr:col>
                    <xdr:colOff>180975</xdr:colOff>
                    <xdr:row>28</xdr:row>
                    <xdr:rowOff>180975</xdr:rowOff>
                  </from>
                  <to>
                    <xdr:col>3</xdr:col>
                    <xdr:colOff>1095375</xdr:colOff>
                    <xdr:row>30</xdr:row>
                    <xdr:rowOff>9525</xdr:rowOff>
                  </to>
                </anchor>
              </controlPr>
            </control>
          </mc:Choice>
        </mc:AlternateContent>
        <mc:AlternateContent xmlns:mc="http://schemas.openxmlformats.org/markup-compatibility/2006">
          <mc:Choice Requires="x14">
            <control shapeId="17597" r:id="rId5" name="Check Box 302">
              <controlPr defaultSize="0" autoFill="0" autoLine="0" autoPict="0" macro="[0]!CheckBox302_Click" altText="H2A default">
                <anchor moveWithCells="1">
                  <from>
                    <xdr:col>3</xdr:col>
                    <xdr:colOff>180975</xdr:colOff>
                    <xdr:row>30</xdr:row>
                    <xdr:rowOff>47625</xdr:rowOff>
                  </from>
                  <to>
                    <xdr:col>3</xdr:col>
                    <xdr:colOff>1095375</xdr:colOff>
                    <xdr:row>30</xdr:row>
                    <xdr:rowOff>257175</xdr:rowOff>
                  </to>
                </anchor>
              </controlPr>
            </control>
          </mc:Choice>
        </mc:AlternateContent>
        <mc:AlternateContent xmlns:mc="http://schemas.openxmlformats.org/markup-compatibility/2006">
          <mc:Choice Requires="x14">
            <control shapeId="17598" r:id="rId6" name="Check Box 303">
              <controlPr defaultSize="0" autoFill="0" autoLine="0" autoPict="0" macro="[0]!CheckBox303_Click" altText="H2A default">
                <anchor moveWithCells="1">
                  <from>
                    <xdr:col>3</xdr:col>
                    <xdr:colOff>180975</xdr:colOff>
                    <xdr:row>31</xdr:row>
                    <xdr:rowOff>47625</xdr:rowOff>
                  </from>
                  <to>
                    <xdr:col>3</xdr:col>
                    <xdr:colOff>1095375</xdr:colOff>
                    <xdr:row>31</xdr:row>
                    <xdr:rowOff>257175</xdr:rowOff>
                  </to>
                </anchor>
              </controlPr>
            </control>
          </mc:Choice>
        </mc:AlternateContent>
        <mc:AlternateContent xmlns:mc="http://schemas.openxmlformats.org/markup-compatibility/2006">
          <mc:Choice Requires="x14">
            <control shapeId="17599" r:id="rId7" name="Check Box 304">
              <controlPr defaultSize="0" autoFill="0" autoLine="0" autoPict="0" macro="[0]!CheckBox304_Click" altText="H2A default">
                <anchor moveWithCells="1">
                  <from>
                    <xdr:col>3</xdr:col>
                    <xdr:colOff>180975</xdr:colOff>
                    <xdr:row>31</xdr:row>
                    <xdr:rowOff>342900</xdr:rowOff>
                  </from>
                  <to>
                    <xdr:col>3</xdr:col>
                    <xdr:colOff>1095375</xdr:colOff>
                    <xdr:row>33</xdr:row>
                    <xdr:rowOff>9525</xdr:rowOff>
                  </to>
                </anchor>
              </controlPr>
            </control>
          </mc:Choice>
        </mc:AlternateContent>
        <mc:AlternateContent xmlns:mc="http://schemas.openxmlformats.org/markup-compatibility/2006">
          <mc:Choice Requires="x14">
            <control shapeId="17600" r:id="rId8" name="Check Box 305">
              <controlPr defaultSize="0" autoFill="0" autoLine="0" autoPict="0" macro="[0]!CheckBox305_Click" altText="H2A default">
                <anchor moveWithCells="1">
                  <from>
                    <xdr:col>3</xdr:col>
                    <xdr:colOff>180975</xdr:colOff>
                    <xdr:row>32</xdr:row>
                    <xdr:rowOff>171450</xdr:rowOff>
                  </from>
                  <to>
                    <xdr:col>3</xdr:col>
                    <xdr:colOff>1095375</xdr:colOff>
                    <xdr:row>34</xdr:row>
                    <xdr:rowOff>9525</xdr:rowOff>
                  </to>
                </anchor>
              </controlPr>
            </control>
          </mc:Choice>
        </mc:AlternateContent>
        <mc:AlternateContent xmlns:mc="http://schemas.openxmlformats.org/markup-compatibility/2006">
          <mc:Choice Requires="x14">
            <control shapeId="17601" r:id="rId9" name="Check Box 306">
              <controlPr defaultSize="0" autoFill="0" autoLine="0" autoPict="0" macro="[0]!CheckBox306_Click" altText="H2A default">
                <anchor moveWithCells="1">
                  <from>
                    <xdr:col>3</xdr:col>
                    <xdr:colOff>180975</xdr:colOff>
                    <xdr:row>33</xdr:row>
                    <xdr:rowOff>180975</xdr:rowOff>
                  </from>
                  <to>
                    <xdr:col>3</xdr:col>
                    <xdr:colOff>1095375</xdr:colOff>
                    <xdr:row>35</xdr:row>
                    <xdr:rowOff>9525</xdr:rowOff>
                  </to>
                </anchor>
              </controlPr>
            </control>
          </mc:Choice>
        </mc:AlternateContent>
        <mc:AlternateContent xmlns:mc="http://schemas.openxmlformats.org/markup-compatibility/2006">
          <mc:Choice Requires="x14">
            <control shapeId="17602" r:id="rId10" name="Check Box 307">
              <controlPr defaultSize="0" autoFill="0" autoLine="0" autoPict="0" macro="[0]!CheckBox307_Click" altText="H2A default">
                <anchor moveWithCells="1">
                  <from>
                    <xdr:col>3</xdr:col>
                    <xdr:colOff>180975</xdr:colOff>
                    <xdr:row>34</xdr:row>
                    <xdr:rowOff>171450</xdr:rowOff>
                  </from>
                  <to>
                    <xdr:col>3</xdr:col>
                    <xdr:colOff>1095375</xdr:colOff>
                    <xdr:row>36</xdr:row>
                    <xdr:rowOff>9525</xdr:rowOff>
                  </to>
                </anchor>
              </controlPr>
            </control>
          </mc:Choice>
        </mc:AlternateContent>
        <mc:AlternateContent xmlns:mc="http://schemas.openxmlformats.org/markup-compatibility/2006">
          <mc:Choice Requires="x14">
            <control shapeId="17603" r:id="rId11" name="Check Box 308">
              <controlPr defaultSize="0" autoFill="0" autoLine="0" autoPict="0" macro="[0]!CheckBox308_Click" altText="H2A default">
                <anchor moveWithCells="1">
                  <from>
                    <xdr:col>3</xdr:col>
                    <xdr:colOff>180975</xdr:colOff>
                    <xdr:row>35</xdr:row>
                    <xdr:rowOff>152400</xdr:rowOff>
                  </from>
                  <to>
                    <xdr:col>3</xdr:col>
                    <xdr:colOff>1095375</xdr:colOff>
                    <xdr:row>37</xdr:row>
                    <xdr:rowOff>9525</xdr:rowOff>
                  </to>
                </anchor>
              </controlPr>
            </control>
          </mc:Choice>
        </mc:AlternateContent>
        <mc:AlternateContent xmlns:mc="http://schemas.openxmlformats.org/markup-compatibility/2006">
          <mc:Choice Requires="x14">
            <control shapeId="17604" r:id="rId12" name="Check Box 309">
              <controlPr defaultSize="0" autoFill="0" autoLine="0" autoPict="0" macro="[0]!CheckBox309_Click" altText="H2A default">
                <anchor moveWithCells="1">
                  <from>
                    <xdr:col>3</xdr:col>
                    <xdr:colOff>180975</xdr:colOff>
                    <xdr:row>38</xdr:row>
                    <xdr:rowOff>171450</xdr:rowOff>
                  </from>
                  <to>
                    <xdr:col>3</xdr:col>
                    <xdr:colOff>1095375</xdr:colOff>
                    <xdr:row>40</xdr:row>
                    <xdr:rowOff>9525</xdr:rowOff>
                  </to>
                </anchor>
              </controlPr>
            </control>
          </mc:Choice>
        </mc:AlternateContent>
        <mc:AlternateContent xmlns:mc="http://schemas.openxmlformats.org/markup-compatibility/2006">
          <mc:Choice Requires="x14">
            <control shapeId="17605" r:id="rId13" name="Check Box 310">
              <controlPr defaultSize="0" autoFill="0" autoLine="0" autoPict="0" macro="[0]!CheckBox310_Click" altText="H2A default">
                <anchor moveWithCells="1">
                  <from>
                    <xdr:col>3</xdr:col>
                    <xdr:colOff>180975</xdr:colOff>
                    <xdr:row>41</xdr:row>
                    <xdr:rowOff>171450</xdr:rowOff>
                  </from>
                  <to>
                    <xdr:col>3</xdr:col>
                    <xdr:colOff>1095375</xdr:colOff>
                    <xdr:row>43</xdr:row>
                    <xdr:rowOff>9525</xdr:rowOff>
                  </to>
                </anchor>
              </controlPr>
            </control>
          </mc:Choice>
        </mc:AlternateContent>
        <mc:AlternateContent xmlns:mc="http://schemas.openxmlformats.org/markup-compatibility/2006">
          <mc:Choice Requires="x14">
            <control shapeId="17606" r:id="rId14" name="Check Box 311">
              <controlPr defaultSize="0" autoFill="0" autoLine="0" autoPict="0" macro="[0]!CheckBox311_Click" altText="H2A default">
                <anchor moveWithCells="1">
                  <from>
                    <xdr:col>3</xdr:col>
                    <xdr:colOff>180975</xdr:colOff>
                    <xdr:row>42</xdr:row>
                    <xdr:rowOff>161925</xdr:rowOff>
                  </from>
                  <to>
                    <xdr:col>3</xdr:col>
                    <xdr:colOff>1095375</xdr:colOff>
                    <xdr:row>44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election activeCell="C26" sqref="C26"/>
    </sheetView>
  </sheetViews>
  <sheetFormatPr defaultRowHeight="12.75"/>
  <cols>
    <col min="2" max="2" width="28.7109375" customWidth="1"/>
    <col min="3" max="3" width="25.28515625" customWidth="1"/>
    <col min="4" max="4" width="22.7109375" customWidth="1"/>
    <col min="5" max="5" width="22.140625" customWidth="1"/>
    <col min="6" max="6" width="20.28515625" customWidth="1"/>
    <col min="7" max="7" width="18.5703125" customWidth="1"/>
    <col min="8" max="8" width="15.7109375" customWidth="1"/>
    <col min="9" max="9" width="16.28515625" customWidth="1"/>
  </cols>
  <sheetData>
    <row r="1" spans="2:9" ht="13.5" thickBot="1"/>
    <row r="2" spans="2:9" ht="15.75" thickTop="1">
      <c r="B2" s="697" t="s">
        <v>1063</v>
      </c>
      <c r="C2" s="698"/>
    </row>
    <row r="3" spans="2:9">
      <c r="B3" s="699" t="s">
        <v>79</v>
      </c>
      <c r="C3" s="658"/>
    </row>
    <row r="4" spans="2:9">
      <c r="B4" s="699" t="s">
        <v>915</v>
      </c>
      <c r="C4" s="658"/>
    </row>
    <row r="5" spans="2:9">
      <c r="B5" s="699" t="s">
        <v>393</v>
      </c>
      <c r="C5" s="658"/>
    </row>
    <row r="6" spans="2:9">
      <c r="B6" s="699" t="s">
        <v>1064</v>
      </c>
      <c r="C6" s="658"/>
    </row>
    <row r="7" spans="2:9">
      <c r="B7" s="699" t="s">
        <v>401</v>
      </c>
      <c r="C7" s="658"/>
    </row>
    <row r="8" spans="2:9">
      <c r="B8" s="699" t="s">
        <v>534</v>
      </c>
      <c r="C8" s="658"/>
    </row>
    <row r="9" spans="2:9">
      <c r="B9" s="699" t="s">
        <v>1065</v>
      </c>
      <c r="C9" s="658"/>
    </row>
    <row r="10" spans="2:9" ht="13.5" thickBot="1">
      <c r="B10" s="700" t="s">
        <v>1066</v>
      </c>
      <c r="C10" s="701"/>
    </row>
    <row r="11" spans="2:9" ht="13.5" thickTop="1"/>
    <row r="12" spans="2:9" ht="26.25">
      <c r="B12" s="411" t="s">
        <v>390</v>
      </c>
      <c r="C12" s="127"/>
      <c r="D12" s="127"/>
      <c r="E12" s="48"/>
      <c r="F12" s="48"/>
      <c r="G12" s="36"/>
      <c r="H12" s="37"/>
      <c r="I12" s="48"/>
    </row>
    <row r="13" spans="2:9">
      <c r="D13" s="127"/>
      <c r="E13" s="128"/>
      <c r="F13" s="48"/>
      <c r="G13" s="36"/>
      <c r="H13" s="37"/>
      <c r="I13" s="48"/>
    </row>
    <row r="14" spans="2:9" ht="23.25" thickBot="1">
      <c r="B14" s="297" t="s">
        <v>391</v>
      </c>
      <c r="D14" s="127"/>
      <c r="E14" s="48"/>
      <c r="F14" s="48"/>
      <c r="G14" s="36"/>
      <c r="H14" s="37"/>
      <c r="I14" s="48"/>
    </row>
    <row r="15" spans="2:9" ht="15.75" thickBot="1">
      <c r="B15" s="960" t="s">
        <v>1091</v>
      </c>
      <c r="C15" s="961">
        <f ca="1">total_cap/(ProcEqpCap+IF(CO2_Capture_Efficiency&gt;0,CCSEqpCap,0))</f>
        <v>1.5815833997433895</v>
      </c>
      <c r="D15" s="127"/>
      <c r="E15" s="48"/>
      <c r="F15" s="48"/>
      <c r="G15" s="36"/>
      <c r="H15" s="37"/>
      <c r="I15" s="48"/>
    </row>
    <row r="16" spans="2:9" ht="13.5" thickBot="1">
      <c r="B16" s="48"/>
      <c r="C16" s="48"/>
      <c r="D16" s="48"/>
      <c r="E16" s="48"/>
      <c r="F16" s="48"/>
      <c r="G16" s="36"/>
      <c r="H16" s="37"/>
      <c r="I16" s="48"/>
    </row>
    <row r="17" spans="2:9" ht="16.5" thickTop="1" thickBot="1">
      <c r="B17" s="44" t="s">
        <v>79</v>
      </c>
      <c r="C17" s="139"/>
      <c r="D17" s="140"/>
      <c r="E17" s="48"/>
      <c r="F17" s="1509" t="str">
        <f>IF(CO2_inUse = "Carbon Sequestration","Approximate Carbon Sequestration Costs*","Carbon Sequestration is not included in this case")</f>
        <v>Approximate Carbon Sequestration Costs*</v>
      </c>
      <c r="G17" s="1510"/>
      <c r="H17" s="1511"/>
      <c r="I17" s="48"/>
    </row>
    <row r="18" spans="2:9" ht="60.75" thickTop="1">
      <c r="B18" s="142" t="s">
        <v>80</v>
      </c>
      <c r="C18" s="51" t="s">
        <v>81</v>
      </c>
      <c r="D18" s="410" t="s">
        <v>82</v>
      </c>
      <c r="E18" s="48"/>
      <c r="F18" s="1187" t="s">
        <v>80</v>
      </c>
      <c r="G18" s="1188" t="s">
        <v>2</v>
      </c>
      <c r="H18" s="1189" t="s">
        <v>3</v>
      </c>
      <c r="I18" s="48"/>
    </row>
    <row r="19" spans="2:9" ht="14.25">
      <c r="B19" s="599" t="s">
        <v>83</v>
      </c>
      <c r="C19" s="777">
        <f ca="1">'Cash Flow Analysis'!D119</f>
        <v>0.40470009522512584</v>
      </c>
      <c r="D19" s="143">
        <f ca="1">'Cash Flow Analysis'!C119</f>
        <v>8.3782904207985537E-2</v>
      </c>
      <c r="E19" s="48"/>
      <c r="F19" s="1190" t="s">
        <v>83</v>
      </c>
      <c r="G19" s="1191">
        <f ca="1">IF(CO2_inUse = "Carbon Sequestration",ROUND((Det_CO2_seq+CO2_aprx_indCap)*CO2_cap_charge_rate/output_kgyear,2),"")</f>
        <v>0</v>
      </c>
      <c r="H19" s="1192" t="e">
        <f ca="1">IF(CO2_inUse = "Carbon Sequestration",CO2_capptonneCO2,"")</f>
        <v>#DIV/0!</v>
      </c>
      <c r="I19" s="48"/>
    </row>
    <row r="20" spans="2:9" ht="14.25">
      <c r="B20" s="599" t="s">
        <v>84</v>
      </c>
      <c r="C20" s="220">
        <f ca="1">'Cash Flow Analysis'!D120</f>
        <v>1.729803202761146E-3</v>
      </c>
      <c r="D20" s="144">
        <f ca="1">'Cash Flow Analysis'!C120</f>
        <v>3.5811193954620504E-4</v>
      </c>
      <c r="E20" s="48"/>
      <c r="F20" s="1190" t="s">
        <v>4</v>
      </c>
      <c r="G20" s="1191">
        <f ca="1">IF(CO2_inUse = "Carbon Sequestration",ROUND(Det_CO2_OandMcost/output_kgyear,2),"")</f>
        <v>0</v>
      </c>
      <c r="H20" s="1192" t="e">
        <f ca="1">IF(CO2_inUse = "Carbon Sequestration",CO2_OandMptonneCO2,"")</f>
        <v>#DIV/0!</v>
      </c>
      <c r="I20" s="48"/>
    </row>
    <row r="21" spans="2:9" ht="14.25">
      <c r="B21" s="599" t="s">
        <v>85</v>
      </c>
      <c r="C21" s="220">
        <f ca="1">'Cash Flow Analysis'!D121</f>
        <v>0.24462142430919601</v>
      </c>
      <c r="D21" s="144">
        <f ca="1">'Cash Flow Analysis'!C121</f>
        <v>5.064266997198847E-2</v>
      </c>
      <c r="E21" s="48"/>
      <c r="F21" s="1190" t="s">
        <v>5</v>
      </c>
      <c r="G21" s="1191">
        <f ca="1">IF(CO2_inUse = "Carbon Sequestration",ROUND(CO2_eCostpY/output_kgyear,2),"")</f>
        <v>0</v>
      </c>
      <c r="H21" s="1192" t="e">
        <f ca="1">IF(CO2_inUse = "Carbon Sequestration",CO2_energyptonneCO2,"")</f>
        <v>#DIV/0!</v>
      </c>
      <c r="I21" s="48"/>
    </row>
    <row r="22" spans="2:9" ht="15.75" thickBot="1">
      <c r="B22" s="599" t="s">
        <v>1000</v>
      </c>
      <c r="C22" s="220">
        <f ca="1">'Cash Flow Analysis'!D122</f>
        <v>0</v>
      </c>
      <c r="D22" s="144">
        <f ca="1">'Cash Flow Analysis'!C122</f>
        <v>0</v>
      </c>
      <c r="E22" s="48"/>
      <c r="F22" s="1193" t="s">
        <v>58</v>
      </c>
      <c r="G22" s="1194">
        <f ca="1">SUM(G19:G21)</f>
        <v>0</v>
      </c>
      <c r="H22" s="1195" t="e">
        <f ca="1">SUM(H19:H21)</f>
        <v>#DIV/0!</v>
      </c>
      <c r="I22" s="48"/>
    </row>
    <row r="23" spans="2:9" ht="27" customHeight="1" thickTop="1">
      <c r="B23" s="599" t="s">
        <v>86</v>
      </c>
      <c r="C23" s="220">
        <f ca="1">'Cash Flow Analysis'!D123</f>
        <v>0</v>
      </c>
      <c r="D23" s="144">
        <f ca="1">'Cash Flow Analysis'!C123</f>
        <v>0</v>
      </c>
      <c r="E23" s="48"/>
      <c r="F23" s="1512" t="s">
        <v>6</v>
      </c>
      <c r="G23" s="1512"/>
      <c r="H23" s="1512"/>
      <c r="I23" s="48"/>
    </row>
    <row r="24" spans="2:9">
      <c r="B24" s="599" t="s">
        <v>87</v>
      </c>
      <c r="C24" s="220">
        <f ca="1">'Cash Flow Analysis'!D124</f>
        <v>0</v>
      </c>
      <c r="D24" s="144">
        <f ca="1">'Cash Flow Analysis'!C124</f>
        <v>0</v>
      </c>
      <c r="E24" s="48"/>
      <c r="F24" s="48"/>
      <c r="I24" s="48"/>
    </row>
    <row r="25" spans="2:9" ht="25.5">
      <c r="B25" s="600" t="s">
        <v>88</v>
      </c>
      <c r="C25" s="220">
        <f ca="1">'Cash Flow Analysis'!D125</f>
        <v>4.1792908461197582</v>
      </c>
      <c r="D25" s="144">
        <f ca="1">'Cash Flow Analysis'!C125</f>
        <v>0.86521631388047981</v>
      </c>
      <c r="E25" s="48"/>
      <c r="F25" s="48"/>
      <c r="I25" s="48"/>
    </row>
    <row r="26" spans="2:9" ht="13.5" thickBot="1">
      <c r="B26" s="601" t="s">
        <v>58</v>
      </c>
      <c r="C26" s="778">
        <f ca="1">SUM(C19:C25)</f>
        <v>4.8303421688568413</v>
      </c>
      <c r="D26" s="542"/>
      <c r="E26" s="48"/>
      <c r="F26" s="48"/>
      <c r="I26" s="48"/>
    </row>
    <row r="27" spans="2:9" ht="13.5" thickTop="1">
      <c r="B27" s="48"/>
      <c r="C27" s="48"/>
      <c r="D27" s="135"/>
      <c r="E27" s="48"/>
      <c r="F27" s="48"/>
      <c r="I27" s="48"/>
    </row>
    <row r="28" spans="2:9" ht="22.5">
      <c r="B28" s="297" t="s">
        <v>392</v>
      </c>
      <c r="C28" s="48"/>
      <c r="D28" s="37"/>
      <c r="E28" s="48"/>
      <c r="F28" s="48"/>
      <c r="G28" s="48"/>
      <c r="H28" s="48"/>
      <c r="I28" s="48"/>
    </row>
    <row r="29" spans="2:9" ht="13.5" thickBot="1">
      <c r="I29" s="48"/>
    </row>
    <row r="30" spans="2:9" ht="17.25" thickTop="1" thickBot="1">
      <c r="B30" s="1513" t="s">
        <v>915</v>
      </c>
      <c r="C30" s="1514"/>
      <c r="D30" s="583"/>
      <c r="E30" s="583"/>
      <c r="F30" s="583"/>
      <c r="G30" s="584"/>
      <c r="H30" s="584"/>
      <c r="I30" s="588"/>
    </row>
    <row r="31" spans="2:9" ht="45.75" thickBot="1">
      <c r="B31" s="589" t="s">
        <v>247</v>
      </c>
      <c r="C31" s="590" t="s">
        <v>919</v>
      </c>
      <c r="D31" s="590" t="s">
        <v>914</v>
      </c>
      <c r="E31" s="591" t="s">
        <v>707</v>
      </c>
      <c r="F31" s="591" t="s">
        <v>263</v>
      </c>
      <c r="G31" s="591" t="s">
        <v>913</v>
      </c>
      <c r="H31" s="591" t="s">
        <v>930</v>
      </c>
      <c r="I31" s="592" t="s">
        <v>1189</v>
      </c>
    </row>
    <row r="32" spans="2:9">
      <c r="B32" s="675" t="str">
        <f>IF('Cash Flow Analysis'!$B$131=0,"",'Cash Flow Analysis'!$B$131)</f>
        <v/>
      </c>
      <c r="C32" s="676" t="str">
        <f>IF($B$32="","",$E$32*$F$32*$H$32)</f>
        <v/>
      </c>
      <c r="D32" s="676" t="str">
        <f>IF($B32="","",$C32*1000*MJ_to_kWh)</f>
        <v/>
      </c>
      <c r="E32" s="677" t="str">
        <f>IF($B$32&lt;&gt;"",VLOOKUP($B$32,MASTER_PROPERTY_TABLE,MATCH("H2A LHV (GJ/ H2A usage input unit)",key_MPTable,0),FALSE),"")</f>
        <v/>
      </c>
      <c r="F32" s="677" t="str">
        <f>IF('Cash Flow Analysis'!$B$133="","",'Cash Flow Analysis'!$B$133)</f>
        <v/>
      </c>
      <c r="G32" s="678" t="str">
        <f>IF($B$32&lt;&gt;"",VLOOKUP($B$32,MASTER_PROPERTY_TABLE,MATCH("H2A Usage Input Unit/ kg H2",key_MPTable,0),FALSE),"")</f>
        <v/>
      </c>
      <c r="H32" s="678" t="str">
        <f>IF($B32="","",IF(VLOOKUP($B32,MASTER_PROPERTY_TABLE,MATCH("Unit System",key_MPTable,0),FALSE)="English",mmBTU_to_GJ,1))</f>
        <v/>
      </c>
      <c r="I32" s="1137" t="str">
        <f>+'Cash Flow Analysis'!$B$233</f>
        <v/>
      </c>
    </row>
    <row r="33" spans="2:9">
      <c r="B33" s="630" t="str">
        <f>IF('Cash Flow Analysis'!$C$131=0,"",'Cash Flow Analysis'!$C$131)</f>
        <v/>
      </c>
      <c r="C33" s="679" t="str">
        <f>IF($B$33="","",$E$33*$F$33*$H$33)</f>
        <v/>
      </c>
      <c r="D33" s="679" t="str">
        <f>IF($B33="","",$C33*1000*MJ_to_kWh)</f>
        <v/>
      </c>
      <c r="E33" s="634" t="str">
        <f>IF($B$33&lt;&gt;"",VLOOKUP($B$33,MASTER_PROPERTY_TABLE,MATCH("H2A LHV (GJ/ H2A usage input unit)",key_MPTable,0),FALSE),"")</f>
        <v/>
      </c>
      <c r="F33" s="634" t="str">
        <f>IF('Cash Flow Analysis'!$C$133="","",'Cash Flow Analysis'!$C$133)</f>
        <v/>
      </c>
      <c r="G33" s="680" t="str">
        <f>IF($B$33&lt;&gt;"",VLOOKUP($B$33,MASTER_PROPERTY_TABLE,MATCH("H2A Usage Input Unit/ kg H2",key_MPTable,0),FALSE),"")</f>
        <v/>
      </c>
      <c r="H33" s="680" t="str">
        <f>IF($B$33="","",IF(VLOOKUP($B$33,MASTER_PROPERTY_TABLE,MATCH("Unit System",key_MPTable,0),FALSE)="English",mmBTU_to_GJ,1))</f>
        <v/>
      </c>
      <c r="I33" s="1138" t="str">
        <f>+'Cash Flow Analysis'!$C$233</f>
        <v/>
      </c>
    </row>
    <row r="34" spans="2:9">
      <c r="B34" s="630" t="str">
        <f>IF('Cash Flow Analysis'!$D$131=0,"",'Cash Flow Analysis'!$D$131)</f>
        <v/>
      </c>
      <c r="C34" s="679" t="str">
        <f>IF($B$34="","",$E$34*$F$34*$H$34)</f>
        <v/>
      </c>
      <c r="D34" s="679" t="str">
        <f>IF($B34="","",$C34*1000*MJ_to_kWh)</f>
        <v/>
      </c>
      <c r="E34" s="634" t="str">
        <f>IF($B$34&lt;&gt;"",VLOOKUP($B$34,MASTER_PROPERTY_TABLE,MATCH("H2A LHV (GJ/ H2A usage input unit)",key_MPTable,0),FALSE),"")</f>
        <v/>
      </c>
      <c r="F34" s="634" t="str">
        <f>IF('Cash Flow Analysis'!$D$133="","",'Cash Flow Analysis'!$D$133)</f>
        <v/>
      </c>
      <c r="G34" s="680" t="str">
        <f>IF($B$34&lt;&gt;"",VLOOKUP($B$34,MASTER_PROPERTY_TABLE,MATCH("H2A Usage Input Unit/ kg H2",key_MPTable,0),FALSE),"")</f>
        <v/>
      </c>
      <c r="H34" s="680" t="str">
        <f>IF($B$34="","",IF(VLOOKUP($B$34,MASTER_PROPERTY_TABLE,MATCH("Unit System",key_MPTable,0),FALSE)="English",mmBTU_to_GJ,1))</f>
        <v/>
      </c>
      <c r="I34" s="1138" t="str">
        <f>+'Cash Flow Analysis'!$D$233</f>
        <v/>
      </c>
    </row>
    <row r="35" spans="2:9" ht="13.5" thickBot="1">
      <c r="B35" s="682" t="str">
        <f>IF('Cash Flow Analysis'!$E$131=0,"",'Cash Flow Analysis'!$E$131)</f>
        <v/>
      </c>
      <c r="C35" s="683" t="str">
        <f>IF($B$35="","",$E$35*$F$35*$H$35)</f>
        <v/>
      </c>
      <c r="D35" s="683" t="str">
        <f>IF($B35="","",$C35*1000*MJ_to_kWh)</f>
        <v/>
      </c>
      <c r="E35" s="684" t="str">
        <f>IF($B$35&lt;&gt;"",VLOOKUP($B$35,MASTER_PROPERTY_TABLE,MATCH("H2A LHV (GJ/ H2A usage input unit)",key_MPTable,0),FALSE),"")</f>
        <v/>
      </c>
      <c r="F35" s="684" t="str">
        <f>IF('Cash Flow Analysis'!$E$133="","",'Cash Flow Analysis'!$E$133)</f>
        <v/>
      </c>
      <c r="G35" s="685" t="str">
        <f>IF($B$35&lt;&gt;"",VLOOKUP($B$35,MASTER_PROPERTY_TABLE,MATCH("H2A Usage Input Unit/ kg H2",key_MPTable,0),FALSE),"")</f>
        <v/>
      </c>
      <c r="H35" s="685" t="str">
        <f>IF($B$35="","",IF(VLOOKUP($B$35,MASTER_PROPERTY_TABLE,MATCH("Unit System",key_MPTable,0),FALSE)="English",mmBTU_to_GJ,1))</f>
        <v/>
      </c>
      <c r="I35" s="1139" t="str">
        <f>+'Cash Flow Analysis'!$E$233</f>
        <v/>
      </c>
    </row>
    <row r="36" spans="2:9" ht="15">
      <c r="B36" s="686" t="s">
        <v>270</v>
      </c>
      <c r="C36" s="687"/>
      <c r="D36" s="687"/>
      <c r="E36" s="596"/>
      <c r="F36" s="596"/>
      <c r="G36" s="597"/>
      <c r="H36" s="597"/>
      <c r="I36" s="1140"/>
    </row>
    <row r="37" spans="2:9">
      <c r="B37" s="630" t="str">
        <f>IF('Cash Flow Analysis'!$F$131=0,"",'Cash Flow Analysis'!$F$131)</f>
        <v>Industrial Electricity</v>
      </c>
      <c r="C37" s="679">
        <f ca="1">IF($B$37="","",$E$37*$F$37*$H$37)</f>
        <v>0.19979999999999998</v>
      </c>
      <c r="D37" s="679">
        <f ca="1">IF($B37="","",$C37*1000*MJ_to_kWh)</f>
        <v>55.5</v>
      </c>
      <c r="E37" s="634">
        <f ca="1">IF($B37&lt;&gt;"",VLOOKUP($B37,MASTER_PROPERTY_TABLE,MATCH("H2A LHV (GJ/ H2A usage input unit)",key_MPTable,0),FALSE),"")</f>
        <v>3.5999999999999995E-3</v>
      </c>
      <c r="F37" s="634">
        <f>IF('Cash Flow Analysis'!$F$133="","",'Cash Flow Analysis'!$F$133)</f>
        <v>55.5</v>
      </c>
      <c r="G37" s="680" t="str">
        <f ca="1">IF($B$37&lt;&gt;"",VLOOKUP($B$37,MASTER_PROPERTY_TABLE,MATCH("H2A Usage Input Unit/ kg H2",key_MPTable,0),FALSE),"")</f>
        <v>kWh</v>
      </c>
      <c r="H37" s="680">
        <f ca="1">IF($B$37="","",IF(VLOOKUP($B$37,MASTER_PROPERTY_TABLE,MATCH("Unit System",key_MPTable,0),FALSE)="English",mmBTU_to_GJ,1))</f>
        <v>1</v>
      </c>
      <c r="I37" s="1138">
        <f ca="1">+'Cash Flow Analysis'!$F$233</f>
        <v>7.6565130375039231E-2</v>
      </c>
    </row>
    <row r="38" spans="2:9">
      <c r="B38" s="630" t="str">
        <f>IF('Cash Flow Analysis'!$G$131=0,"",'Cash Flow Analysis'!$G$131)</f>
        <v/>
      </c>
      <c r="C38" s="679" t="str">
        <f>IF($B$38="","",$E$38*$F$38*$H$38)</f>
        <v/>
      </c>
      <c r="D38" s="679" t="str">
        <f>IF($B38="","",$C38*1000*MJ_to_kWh)</f>
        <v/>
      </c>
      <c r="E38" s="634" t="str">
        <f>IF($B38&lt;&gt;"",VLOOKUP($B38,MASTER_PROPERTY_TABLE,MATCH("H2A LHV (GJ/ H2A usage input unit)",key_MPTable,0),FALSE),"")</f>
        <v/>
      </c>
      <c r="F38" s="634" t="str">
        <f>IF('Cash Flow Analysis'!$G$133="","",'Cash Flow Analysis'!$G$133)</f>
        <v/>
      </c>
      <c r="G38" s="680" t="str">
        <f>IF($B$38&lt;&gt;"",VLOOKUP($B$38,MASTER_PROPERTY_TABLE,MATCH("H2A Usage Input Unit/ kg H2",key_MPTable,0),FALSE),"")</f>
        <v/>
      </c>
      <c r="H38" s="680" t="str">
        <f>IF($B$38="","",IF(VLOOKUP($B$38,MASTER_PROPERTY_TABLE,MATCH("Unit System",key_MPTable,0),FALSE)="English",mmBTU_to_GJ,1))</f>
        <v/>
      </c>
      <c r="I38" s="1138" t="str">
        <f>+'Cash Flow Analysis'!$G$233</f>
        <v/>
      </c>
    </row>
    <row r="39" spans="2:9">
      <c r="B39" s="630" t="str">
        <f>IF('Cash Flow Analysis'!$H$131=0,"",'Cash Flow Analysis'!$H$131)</f>
        <v/>
      </c>
      <c r="C39" s="679" t="str">
        <f>IF($B$39="","",$E$39*$F$39*$H$39)</f>
        <v/>
      </c>
      <c r="D39" s="679" t="str">
        <f>IF($B39="","",$C39*1000*MJ_to_kWh)</f>
        <v/>
      </c>
      <c r="E39" s="634" t="str">
        <f>IF($B39&lt;&gt;"",VLOOKUP($B39,MASTER_PROPERTY_TABLE,MATCH("H2A LHV (GJ/ H2A usage input unit)",key_MPTable,0),FALSE),"")</f>
        <v/>
      </c>
      <c r="F39" s="634" t="str">
        <f>IF('Cash Flow Analysis'!$H$133="","",'Cash Flow Analysis'!$H$133)</f>
        <v/>
      </c>
      <c r="G39" s="680" t="str">
        <f>IF($B$39&lt;&gt;"",VLOOKUP($B$39,MASTER_PROPERTY_TABLE,MATCH("H2A Usage Input Unit/ kg H2",key_MPTable,0),FALSE),"")</f>
        <v/>
      </c>
      <c r="H39" s="680" t="str">
        <f>IF($B$39="","",IF(VLOOKUP($B$39,MASTER_PROPERTY_TABLE,MATCH("Unit System",key_MPTable,0),FALSE)="English",mmBTU_to_GJ,1))</f>
        <v/>
      </c>
      <c r="I39" s="1138" t="str">
        <f>+'Cash Flow Analysis'!$H$233</f>
        <v/>
      </c>
    </row>
    <row r="40" spans="2:9" ht="13.5" thickBot="1">
      <c r="B40" s="682" t="str">
        <f>IF('Cash Flow Analysis'!$I$131=0,"",'Cash Flow Analysis'!$I$131)</f>
        <v/>
      </c>
      <c r="C40" s="683" t="str">
        <f>IF($B$40="","",$E$40*$F$40*$H$40)</f>
        <v/>
      </c>
      <c r="D40" s="683" t="str">
        <f>IF($B40="","",$C40*1000*MJ_to_kWh)</f>
        <v/>
      </c>
      <c r="E40" s="684" t="str">
        <f>IF($B40&lt;&gt;"",VLOOKUP($B40,MASTER_PROPERTY_TABLE,MATCH("H2A LHV (GJ/ H2A usage input unit)",key_MPTable,0),FALSE),"")</f>
        <v/>
      </c>
      <c r="F40" s="684" t="str">
        <f>IF('Cash Flow Analysis'!$I$133="","",'Cash Flow Analysis'!$I$133)</f>
        <v/>
      </c>
      <c r="G40" s="685" t="str">
        <f>IF($B$40&lt;&gt;"",VLOOKUP($B$40,MASTER_PROPERTY_TABLE,MATCH("H2A Usage Input Unit/ kg H2",key_MPTable,0),FALSE),"")</f>
        <v/>
      </c>
      <c r="H40" s="685" t="str">
        <f>IF($B$40="","",IF(VLOOKUP($B$40,MASTER_PROPERTY_TABLE,MATCH("Unit System",key_MPTable,0),FALSE)="English",mmBTU_to_GJ,1))</f>
        <v/>
      </c>
      <c r="I40" s="1139" t="str">
        <f>+'Cash Flow Analysis'!$I$233</f>
        <v/>
      </c>
    </row>
    <row r="41" spans="2:9" ht="15">
      <c r="B41" s="686" t="s">
        <v>399</v>
      </c>
      <c r="C41" s="687"/>
      <c r="D41" s="687"/>
      <c r="E41" s="596"/>
      <c r="F41" s="596"/>
      <c r="G41" s="597"/>
      <c r="H41" s="597"/>
      <c r="I41" s="598"/>
    </row>
    <row r="42" spans="2:9" ht="13.5" thickBot="1">
      <c r="B42" s="585" t="str">
        <f ca="1">IF('Cash Flow Analysis'!$J$131=0,"",'Cash Flow Analysis'!$J$131)</f>
        <v/>
      </c>
      <c r="C42" s="652" t="str">
        <f ca="1">IF($B$42="","",$E$42*$F$42*$H$42)</f>
        <v/>
      </c>
      <c r="D42" s="652" t="str">
        <f ca="1">IF($B42="","",$C42*1000*MJ_to_kWh)</f>
        <v/>
      </c>
      <c r="E42" s="595" t="str">
        <f ca="1">IF($B42&lt;&gt;"",VLOOKUP($B42,MASTER_PROPERTY_TABLE,MATCH("H2A LHV (GJ/ H2A usage input unit)",key_MPTable,0),FALSE),"")</f>
        <v/>
      </c>
      <c r="F42" s="595">
        <f ca="1">CO2_CashFlow_eUse</f>
        <v>0</v>
      </c>
      <c r="G42" s="593" t="str">
        <f ca="1">IF($B$42&lt;&gt;"",VLOOKUP($B$42,MASTER_PROPERTY_TABLE,MATCH("H2A Usage Input Unit/ kg H2",key_MPTable,0),FALSE),"")</f>
        <v/>
      </c>
      <c r="H42" s="593" t="str">
        <f ca="1">IF($B42="","",IF(VLOOKUP($B42,MASTER_PROPERTY_TABLE,MATCH("Unit System",key_MPTable,0),FALSE)="English",mmBTU_to_GJ,1))</f>
        <v/>
      </c>
      <c r="I42" s="594"/>
    </row>
    <row r="43" spans="2:9" ht="46.5" thickTop="1" thickBot="1">
      <c r="B43" s="670"/>
      <c r="C43" s="671" t="s">
        <v>920</v>
      </c>
      <c r="D43" s="672" t="s">
        <v>997</v>
      </c>
      <c r="E43" s="673" t="s">
        <v>707</v>
      </c>
      <c r="F43" s="671" t="s">
        <v>912</v>
      </c>
      <c r="G43" s="673" t="s">
        <v>913</v>
      </c>
      <c r="H43" s="673" t="s">
        <v>930</v>
      </c>
      <c r="I43" s="674"/>
    </row>
    <row r="44" spans="2:9">
      <c r="B44" s="586" t="s">
        <v>921</v>
      </c>
      <c r="C44" s="652">
        <f>kgH2_to_GJ</f>
        <v>0.12021163829516093</v>
      </c>
      <c r="D44" s="652">
        <f>IF($B44="","",$C44*1000*MJ_to_kWh)</f>
        <v>33.392121748655818</v>
      </c>
      <c r="E44" s="595">
        <f>kgH2_to_GJ</f>
        <v>0.12021163829516093</v>
      </c>
      <c r="F44" s="595">
        <v>1</v>
      </c>
      <c r="G44" s="593" t="s">
        <v>267</v>
      </c>
      <c r="H44" s="593">
        <v>1</v>
      </c>
      <c r="I44" s="594"/>
    </row>
    <row r="45" spans="2:9" ht="13.5" thickBot="1">
      <c r="B45" s="586"/>
      <c r="C45" s="653"/>
      <c r="D45" s="653"/>
      <c r="E45" s="595"/>
      <c r="F45" s="595"/>
      <c r="G45" s="593"/>
      <c r="H45" s="593"/>
      <c r="I45" s="594"/>
    </row>
    <row r="46" spans="2:9" ht="15">
      <c r="B46" s="686" t="s">
        <v>916</v>
      </c>
      <c r="C46" s="687"/>
      <c r="D46" s="687"/>
      <c r="E46" s="596"/>
      <c r="F46" s="596"/>
      <c r="G46" s="597"/>
      <c r="H46" s="597"/>
      <c r="I46" s="598"/>
    </row>
    <row r="47" spans="2:9">
      <c r="B47" s="630" t="str">
        <f>IF('Cash Flow Analysis'!$K$131=0,"",'Cash Flow Analysis'!$K$131)</f>
        <v/>
      </c>
      <c r="C47" s="679" t="str">
        <f>IF($B$47="","",$E$47*$F$47*$H$47)</f>
        <v/>
      </c>
      <c r="D47" s="679" t="str">
        <f>IF($B47="","",$C47*1000*MJ_to_kWh)</f>
        <v/>
      </c>
      <c r="E47" s="634" t="str">
        <f>IF($B47&lt;&gt;"",VLOOKUP($B47,MASTER_PROPERTY_TABLE,MATCH("H2A LHV (GJ/ H2A usage input unit)",key_MPTable,0),FALSE),"")</f>
        <v/>
      </c>
      <c r="F47" s="634" t="str">
        <f>IF('Cash Flow Analysis'!$K$133="","",'Cash Flow Analysis'!$K$133)</f>
        <v/>
      </c>
      <c r="G47" s="680" t="str">
        <f>IF($B$47&lt;&gt;"",VLOOKUP($B$47,MASTER_PROPERTY_TABLE,MATCH("H2A Usage Input Unit/ kg H2",key_MPTable,0),FALSE),"")</f>
        <v/>
      </c>
      <c r="H47" s="680" t="str">
        <f>IF($B$47="","",IF(VLOOKUP($B$47,MASTER_PROPERTY_TABLE,MATCH("Unit System",key_MPTable,0),FALSE)="English",mmBTU_to_GJ,1))</f>
        <v/>
      </c>
      <c r="I47" s="681" t="str">
        <f>+'Cash Flow Analysis'!$K$233</f>
        <v/>
      </c>
    </row>
    <row r="48" spans="2:9">
      <c r="B48" s="630" t="str">
        <f>IF('Cash Flow Analysis'!$L$131=0,"",'Cash Flow Analysis'!$L$131)</f>
        <v/>
      </c>
      <c r="C48" s="679" t="str">
        <f>IF($B$48="","",$E$48*$F$48*$H$48)</f>
        <v/>
      </c>
      <c r="D48" s="679" t="str">
        <f>IF($B48="","",$C48*1000*MJ_to_kWh)</f>
        <v/>
      </c>
      <c r="E48" s="634" t="str">
        <f>IF($B48&lt;&gt;"",VLOOKUP($B48,MASTER_PROPERTY_TABLE,MATCH("H2A LHV (GJ/ H2A usage input unit)",key_MPTable,0),FALSE),"")</f>
        <v/>
      </c>
      <c r="F48" s="634" t="str">
        <f>IF('Cash Flow Analysis'!$L$133="","",'Cash Flow Analysis'!$L$133)</f>
        <v/>
      </c>
      <c r="G48" s="680" t="str">
        <f>IF($B$48&lt;&gt;"",VLOOKUP($B$48,MASTER_PROPERTY_TABLE,MATCH("H2A Usage Input Unit/ kg H2",key_MPTable,0),FALSE),"")</f>
        <v/>
      </c>
      <c r="H48" s="680" t="str">
        <f>IF($B$48="","",IF(VLOOKUP($B$48,MASTER_PROPERTY_TABLE,MATCH("Unit System",key_MPTable,0),FALSE)="English",mmBTU_to_GJ,1))</f>
        <v/>
      </c>
      <c r="I48" s="681" t="str">
        <f>+'Cash Flow Analysis'!$L$233</f>
        <v/>
      </c>
    </row>
    <row r="49" spans="2:9">
      <c r="B49" s="630" t="str">
        <f>IF('Cash Flow Analysis'!$M$131=0,"",'Cash Flow Analysis'!$M$131)</f>
        <v/>
      </c>
      <c r="C49" s="679" t="str">
        <f>IF($B$49="","",$E$49*$F$49*$H$49)</f>
        <v/>
      </c>
      <c r="D49" s="679" t="str">
        <f>IF($B49="","",$C49*1000*MJ_to_kWh)</f>
        <v/>
      </c>
      <c r="E49" s="634" t="str">
        <f>IF($B49&lt;&gt;"",VLOOKUP($B49,MASTER_PROPERTY_TABLE,MATCH("H2A LHV (GJ/ H2A usage input unit)",key_MPTable,0),FALSE),"")</f>
        <v/>
      </c>
      <c r="F49" s="634" t="str">
        <f>IF('Cash Flow Analysis'!$M$133="","",'Cash Flow Analysis'!$M$133)</f>
        <v/>
      </c>
      <c r="G49" s="680" t="str">
        <f>IF($B$49&lt;&gt;"",VLOOKUP($B$49,MASTER_PROPERTY_TABLE,MATCH("H2A Usage Input Unit/ kg H2",key_MPTable,0),FALSE),"")</f>
        <v/>
      </c>
      <c r="H49" s="680" t="str">
        <f>IF($B$49="","",IF(VLOOKUP($B$49,MASTER_PROPERTY_TABLE,MATCH("Unit System",key_MPTable,0),FALSE)="English",mmBTU_to_GJ,1))</f>
        <v/>
      </c>
      <c r="I49" s="681" t="str">
        <f>+'Cash Flow Analysis'!$M$233</f>
        <v/>
      </c>
    </row>
    <row r="50" spans="2:9" ht="13.5" thickBot="1">
      <c r="B50" s="631" t="str">
        <f>IF('Cash Flow Analysis'!$N$131=0,"",'Cash Flow Analysis'!$N$131)</f>
        <v/>
      </c>
      <c r="C50" s="688" t="str">
        <f>IF($B$50="","",$E$50*$F$50*$H$50)</f>
        <v/>
      </c>
      <c r="D50" s="688" t="str">
        <f>IF($B50="","",$C50*1000*MJ_to_kWh)</f>
        <v/>
      </c>
      <c r="E50" s="645" t="str">
        <f>IF($B50&lt;&gt;"",VLOOKUP($B50,MASTER_PROPERTY_TABLE,MATCH("H2A LHV (GJ/ H2A usage input unit)",key_MPTable,0),FALSE),"")</f>
        <v/>
      </c>
      <c r="F50" s="645" t="str">
        <f>IF('Cash Flow Analysis'!$N$133="","",'Cash Flow Analysis'!$N$133)</f>
        <v/>
      </c>
      <c r="G50" s="689" t="str">
        <f>IF($B$50&lt;&gt;"",VLOOKUP($B$50,MASTER_PROPERTY_TABLE,MATCH("H2A Usage Input Unit/ kg H2",key_MPTable,0),FALSE),"")</f>
        <v/>
      </c>
      <c r="H50" s="689" t="str">
        <f>IF($B$50="","",IF(VLOOKUP($B$50,MASTER_PROPERTY_TABLE,MATCH("Unit System",key_MPTable,0),FALSE)="English",mmBTU_to_GJ,1))</f>
        <v/>
      </c>
      <c r="I50" s="690" t="str">
        <f>+'Cash Flow Analysis'!$N$233</f>
        <v/>
      </c>
    </row>
    <row r="51" spans="2:9" ht="14.25" thickTop="1" thickBot="1"/>
    <row r="52" spans="2:9" ht="16.5" thickBot="1">
      <c r="B52" s="1515" t="s">
        <v>393</v>
      </c>
      <c r="C52" s="1516"/>
      <c r="D52" s="293">
        <f ca="1">(C56+C57)/(C53+C54+C55)</f>
        <v>0.60165985132713184</v>
      </c>
      <c r="F52" s="28"/>
    </row>
    <row r="53" spans="2:9" ht="25.5">
      <c r="B53" s="543" t="s">
        <v>596</v>
      </c>
      <c r="C53" s="544">
        <f>SUM(C32:C35)</f>
        <v>0</v>
      </c>
      <c r="D53" s="545"/>
    </row>
    <row r="54" spans="2:9">
      <c r="B54" s="546" t="s">
        <v>597</v>
      </c>
      <c r="C54" s="547">
        <f ca="1">SUM(C37:C40)</f>
        <v>0.19979999999999998</v>
      </c>
      <c r="D54" s="548"/>
    </row>
    <row r="55" spans="2:9" ht="25.5">
      <c r="B55" s="546" t="s">
        <v>394</v>
      </c>
      <c r="C55" s="547">
        <f ca="1">IF(C42="",0,C42)</f>
        <v>0</v>
      </c>
      <c r="D55" s="548"/>
    </row>
    <row r="56" spans="2:9">
      <c r="B56" s="546" t="s">
        <v>598</v>
      </c>
      <c r="C56" s="547">
        <f>C44</f>
        <v>0.12021163829516093</v>
      </c>
      <c r="D56" s="548"/>
    </row>
    <row r="57" spans="2:9" ht="26.25" thickBot="1">
      <c r="B57" s="549" t="s">
        <v>599</v>
      </c>
      <c r="C57" s="550">
        <f>SUM(C47:C50)</f>
        <v>0</v>
      </c>
      <c r="D57" s="551"/>
    </row>
    <row r="58" spans="2:9" ht="13.5" thickBot="1"/>
    <row r="59" spans="2:9" ht="16.5" thickTop="1" thickBot="1">
      <c r="B59" s="1513" t="s">
        <v>395</v>
      </c>
      <c r="C59" s="1514"/>
      <c r="D59" s="583"/>
      <c r="E59" s="602"/>
    </row>
    <row r="60" spans="2:9">
      <c r="B60" s="586" t="s">
        <v>247</v>
      </c>
      <c r="C60" s="552" t="s">
        <v>396</v>
      </c>
      <c r="D60" s="552" t="s">
        <v>397</v>
      </c>
      <c r="E60" s="603" t="s">
        <v>398</v>
      </c>
    </row>
    <row r="61" spans="2:9">
      <c r="B61" s="585" t="str">
        <f>B32</f>
        <v/>
      </c>
      <c r="C61" s="648" t="str">
        <f>IF($B61="","",$C32/1000000*VLOOKUP($B61,Tbl_Emissions,3,FALSE))</f>
        <v/>
      </c>
      <c r="D61" s="648" t="str">
        <f>IF($B61="","",$C32/1000000*VLOOKUP($B61,Tbl_Emissions,4,FALSE))</f>
        <v/>
      </c>
      <c r="E61" s="649" t="str">
        <f>IF($B61="","",$C32/1000000*VLOOKUP($B61,Tbl_Emissions,5,FALSE))</f>
        <v/>
      </c>
    </row>
    <row r="62" spans="2:9">
      <c r="B62" s="585" t="str">
        <f>B33</f>
        <v/>
      </c>
      <c r="C62" s="648" t="str">
        <f>IF($B62="","",$C33/1000000*VLOOKUP($B62,Tbl_Emissions,3,FALSE))</f>
        <v/>
      </c>
      <c r="D62" s="648" t="str">
        <f>IF($B62="","",$C33/1000000*VLOOKUP($B62,Tbl_Emissions,4,FALSE))</f>
        <v/>
      </c>
      <c r="E62" s="649" t="str">
        <f>IF($B62="","",$C33/1000000*VLOOKUP($B62,Tbl_Emissions,5,FALSE))</f>
        <v/>
      </c>
    </row>
    <row r="63" spans="2:9">
      <c r="B63" s="585" t="str">
        <f>B34</f>
        <v/>
      </c>
      <c r="C63" s="648" t="str">
        <f>IF($B63="","",$C34/1000000*VLOOKUP($B63,Tbl_Emissions,3,FALSE))</f>
        <v/>
      </c>
      <c r="D63" s="648" t="str">
        <f>IF($B63="","",$C34/1000000*VLOOKUP($B63,Tbl_Emissions,4,FALSE))</f>
        <v/>
      </c>
      <c r="E63" s="649" t="str">
        <f>IF($B63="","",$C34/1000000*VLOOKUP($B63,Tbl_Emissions,5,FALSE))</f>
        <v/>
      </c>
    </row>
    <row r="64" spans="2:9">
      <c r="B64" s="585" t="str">
        <f>B35</f>
        <v/>
      </c>
      <c r="C64" s="648" t="str">
        <f>IF($B64="","",$C35/1000000*VLOOKUP($B64,Tbl_Emissions,3,FALSE))</f>
        <v/>
      </c>
      <c r="D64" s="648" t="str">
        <f>IF($B64="","",$C35/1000000*VLOOKUP($B64,Tbl_Emissions,4,FALSE))</f>
        <v/>
      </c>
      <c r="E64" s="649" t="str">
        <f>IF($B64="","",$C35/1000000*VLOOKUP($B64,Tbl_Emissions,5,FALSE))</f>
        <v/>
      </c>
    </row>
    <row r="65" spans="2:7">
      <c r="B65" s="586" t="s">
        <v>270</v>
      </c>
      <c r="C65" s="691"/>
      <c r="D65" s="691"/>
      <c r="E65" s="692"/>
    </row>
    <row r="66" spans="2:7">
      <c r="B66" s="585" t="str">
        <f>B37</f>
        <v>Industrial Electricity</v>
      </c>
      <c r="C66" s="648">
        <f ca="1">IF($B66="","",$C37/1000000*VLOOKUP($B66,Tbl_Emissions,3,FALSE))</f>
        <v>0.35704259999999993</v>
      </c>
      <c r="D66" s="648">
        <f ca="1">IF($B66="","",$C37/1000000*VLOOKUP($B66,Tbl_Emissions,4,FALSE))</f>
        <v>0.27374819999999994</v>
      </c>
      <c r="E66" s="649">
        <f ca="1">IF($B66="","",$C37/1000000*VLOOKUP($B66,Tbl_Emissions,5,FALSE))</f>
        <v>4.2191099999999999E-3</v>
      </c>
    </row>
    <row r="67" spans="2:7">
      <c r="B67" s="585" t="str">
        <f>B38</f>
        <v/>
      </c>
      <c r="C67" s="648" t="str">
        <f>IF($B67="","",$C38/1000000*VLOOKUP($B67,Tbl_Emissions,3,FALSE))</f>
        <v/>
      </c>
      <c r="D67" s="648" t="str">
        <f>IF($B67="","",$C38/1000000*VLOOKUP($B67,Tbl_Emissions,4,FALSE))</f>
        <v/>
      </c>
      <c r="E67" s="649" t="str">
        <f>IF($B67="","",$C38/1000000*VLOOKUP($B67,Tbl_Emissions,5,FALSE))</f>
        <v/>
      </c>
    </row>
    <row r="68" spans="2:7">
      <c r="B68" s="585" t="str">
        <f>B39</f>
        <v/>
      </c>
      <c r="C68" s="648" t="str">
        <f>IF($B68="","",$C39/1000000*VLOOKUP($B68,Tbl_Emissions,3,FALSE))</f>
        <v/>
      </c>
      <c r="D68" s="648" t="str">
        <f>IF($B68="","",$C39/1000000*VLOOKUP($B68,Tbl_Emissions,4,FALSE))</f>
        <v/>
      </c>
      <c r="E68" s="649" t="str">
        <f>IF($B68="","",$C39/1000000*VLOOKUP($B68,Tbl_Emissions,5,FALSE))</f>
        <v/>
      </c>
    </row>
    <row r="69" spans="2:7">
      <c r="B69" s="585" t="str">
        <f>B40</f>
        <v/>
      </c>
      <c r="C69" s="648" t="str">
        <f>IF($B69="","",$C40/1000000*VLOOKUP($B69,Tbl_Emissions,3,FALSE))</f>
        <v/>
      </c>
      <c r="D69" s="648" t="str">
        <f>IF($B69="","",$C40/1000000*VLOOKUP($B69,Tbl_Emissions,4,FALSE))</f>
        <v/>
      </c>
      <c r="E69" s="649" t="str">
        <f>IF($B69="","",$C40/1000000*VLOOKUP($B69,Tbl_Emissions,5,FALSE))</f>
        <v/>
      </c>
    </row>
    <row r="70" spans="2:7">
      <c r="B70" s="586" t="s">
        <v>399</v>
      </c>
      <c r="C70" s="691"/>
      <c r="D70" s="691"/>
      <c r="E70" s="692"/>
    </row>
    <row r="71" spans="2:7" ht="13.5" thickBot="1">
      <c r="B71" s="587" t="str">
        <f ca="1">B42</f>
        <v/>
      </c>
      <c r="C71" s="650" t="str">
        <f ca="1">IF($B71="","",$C42/1000000*VLOOKUP($B71,Tbl_Emissions,3,FALSE))</f>
        <v/>
      </c>
      <c r="D71" s="650" t="str">
        <f ca="1">IF($B71="","",$C42/1000000*VLOOKUP($B71,Tbl_Emissions,4,FALSE))</f>
        <v/>
      </c>
      <c r="E71" s="651" t="str">
        <f ca="1">IF($B71="","",$C42/1000000*VLOOKUP($B71,Tbl_Emissions,5,FALSE))</f>
        <v/>
      </c>
    </row>
    <row r="72" spans="2:7" ht="13.5" thickTop="1"/>
    <row r="74" spans="2:7" ht="22.5">
      <c r="B74" s="297" t="s">
        <v>400</v>
      </c>
    </row>
    <row r="75" spans="2:7" ht="13.5" thickBot="1"/>
    <row r="76" spans="2:7" ht="16.5" thickTop="1" thickBot="1">
      <c r="B76" s="654" t="s">
        <v>401</v>
      </c>
      <c r="C76" s="655"/>
      <c r="D76" s="656" t="s">
        <v>402</v>
      </c>
      <c r="E76" s="656" t="s">
        <v>403</v>
      </c>
      <c r="F76" s="656" t="s">
        <v>404</v>
      </c>
      <c r="G76" s="657" t="s">
        <v>405</v>
      </c>
    </row>
    <row r="77" spans="2:7">
      <c r="B77" s="1519" t="s">
        <v>538</v>
      </c>
      <c r="C77" s="1520"/>
      <c r="D77" s="659">
        <f ca="1">C121</f>
        <v>27.996197999999996</v>
      </c>
      <c r="E77" s="663">
        <f ca="1">D121</f>
        <v>4.2470908799999992E-2</v>
      </c>
      <c r="F77" s="663">
        <f ca="1">E121</f>
        <v>4.0955448000000005E-4</v>
      </c>
      <c r="G77" s="664">
        <f ca="1">F121</f>
        <v>29.180017955039997</v>
      </c>
    </row>
    <row r="78" spans="2:7">
      <c r="B78" s="1517" t="s">
        <v>537</v>
      </c>
      <c r="C78" s="1518"/>
      <c r="D78" s="660">
        <f ca="1">D89</f>
        <v>0</v>
      </c>
      <c r="E78" s="665">
        <f ca="1">E89</f>
        <v>0</v>
      </c>
      <c r="F78" s="665">
        <f ca="1">F89</f>
        <v>0</v>
      </c>
      <c r="G78" s="666">
        <f ca="1">G89</f>
        <v>0</v>
      </c>
    </row>
    <row r="79" spans="2:7">
      <c r="B79" s="1517"/>
      <c r="C79" s="1518"/>
      <c r="D79" s="661"/>
      <c r="E79" s="501"/>
      <c r="F79" s="501"/>
      <c r="G79" s="667"/>
    </row>
    <row r="80" spans="2:7" ht="13.5" thickBot="1">
      <c r="B80" s="1521" t="s">
        <v>539</v>
      </c>
      <c r="C80" s="1522"/>
      <c r="D80" s="662">
        <f ca="1">SUM(D77:D79)</f>
        <v>27.996197999999996</v>
      </c>
      <c r="E80" s="668">
        <f ca="1">SUM(E77:E79)</f>
        <v>4.2470908799999992E-2</v>
      </c>
      <c r="F80" s="668">
        <f ca="1">SUM(F77:F79)</f>
        <v>4.0955448000000005E-4</v>
      </c>
      <c r="G80" s="669">
        <f ca="1">SUM(G77:G79)</f>
        <v>29.180017955039997</v>
      </c>
    </row>
    <row r="81" spans="2:7" ht="14.25" thickTop="1" thickBot="1"/>
    <row r="82" spans="2:7" ht="16.5" thickTop="1" thickBot="1">
      <c r="B82" s="408" t="s">
        <v>534</v>
      </c>
      <c r="C82" s="409"/>
      <c r="D82" s="618" t="s">
        <v>402</v>
      </c>
      <c r="E82" s="619" t="s">
        <v>403</v>
      </c>
      <c r="F82" s="619" t="s">
        <v>404</v>
      </c>
      <c r="G82" s="620" t="s">
        <v>405</v>
      </c>
    </row>
    <row r="83" spans="2:7">
      <c r="B83" s="1519" t="s">
        <v>234</v>
      </c>
      <c r="C83" s="1520"/>
      <c r="D83" s="621">
        <f ca="1">SUM(C95:C105)</f>
        <v>0</v>
      </c>
      <c r="E83" s="621">
        <f ca="1">SUM(D95:D105)</f>
        <v>0</v>
      </c>
      <c r="F83" s="621">
        <f ca="1">SUM(E95:E105)</f>
        <v>0</v>
      </c>
      <c r="G83" s="622">
        <f ca="1">SUM(F95:F105)</f>
        <v>0</v>
      </c>
    </row>
    <row r="84" spans="2:7">
      <c r="B84" s="1517" t="s">
        <v>235</v>
      </c>
      <c r="C84" s="1518"/>
      <c r="D84" s="623">
        <f ca="1">ROUND(D83*output_kgyear/1000,-2)</f>
        <v>0</v>
      </c>
      <c r="E84" s="623">
        <f ca="1">ROUND(E83*output_kgyear/1000,-2)</f>
        <v>0</v>
      </c>
      <c r="F84" s="623">
        <f ca="1">ROUND(F83*output_kgyear/1000,-2)</f>
        <v>0</v>
      </c>
      <c r="G84" s="624">
        <f ca="1">ROUND(G83*output_kgyear/1000,-2)</f>
        <v>0</v>
      </c>
    </row>
    <row r="85" spans="2:7">
      <c r="B85" s="1517" t="s">
        <v>236</v>
      </c>
      <c r="C85" s="1518"/>
      <c r="D85" s="625">
        <f>SUM(C95:C98)</f>
        <v>0</v>
      </c>
      <c r="E85" s="625">
        <f>SUM(D95:D98)</f>
        <v>0</v>
      </c>
      <c r="F85" s="625">
        <f>SUM(E95:E98)</f>
        <v>0</v>
      </c>
      <c r="G85" s="626">
        <f>SUM(F95:F98)</f>
        <v>0</v>
      </c>
    </row>
    <row r="86" spans="2:7">
      <c r="B86" s="1517" t="s">
        <v>237</v>
      </c>
      <c r="C86" s="1518"/>
      <c r="D86" s="623">
        <f ca="1">ROUND(D85*output_kgyear/1000,-2)</f>
        <v>0</v>
      </c>
      <c r="E86" s="623">
        <f ca="1">ROUND(E85*output_kgyear/1000,-2)</f>
        <v>0</v>
      </c>
      <c r="F86" s="623">
        <f ca="1">ROUND(F85*output_kgyear/1000,-2)</f>
        <v>0</v>
      </c>
      <c r="G86" s="624">
        <f ca="1">ROUND(G85*output_kgyear/1000,-2)</f>
        <v>0</v>
      </c>
    </row>
    <row r="87" spans="2:7">
      <c r="B87" s="738" t="s">
        <v>239</v>
      </c>
      <c r="C87" s="739"/>
      <c r="D87" s="764">
        <f ca="1">IF(CO2_CashFlow_eUse&gt;0,D85*CO2_Capture_Efficiency,0)</f>
        <v>0</v>
      </c>
      <c r="E87" s="623"/>
      <c r="F87" s="623"/>
      <c r="G87" s="765"/>
    </row>
    <row r="88" spans="2:7">
      <c r="B88" s="1517" t="s">
        <v>240</v>
      </c>
      <c r="C88" s="1518"/>
      <c r="D88" s="623">
        <f ca="1">ROUND(D87*output_kgyear/1000,-2)</f>
        <v>0</v>
      </c>
      <c r="E88" s="623"/>
      <c r="F88" s="623"/>
      <c r="G88" s="624"/>
    </row>
    <row r="89" spans="2:7">
      <c r="B89" s="1517" t="s">
        <v>238</v>
      </c>
      <c r="C89" s="1518"/>
      <c r="D89" s="764">
        <f ca="1">D83-D87</f>
        <v>0</v>
      </c>
      <c r="E89" s="623">
        <f ca="1">E83-E87</f>
        <v>0</v>
      </c>
      <c r="F89" s="623">
        <f ca="1">F83-F87</f>
        <v>0</v>
      </c>
      <c r="G89" s="765">
        <f ca="1">D89*GHG_CO2_factor + E89*GHG_CH4_factor + F89*GHG_N2O_factor</f>
        <v>0</v>
      </c>
    </row>
    <row r="90" spans="2:7" ht="13.5" thickBot="1">
      <c r="B90" s="1521" t="s">
        <v>1055</v>
      </c>
      <c r="C90" s="1522"/>
      <c r="D90" s="627">
        <f ca="1">ROUND(D89*output_kgyear/1000,-2)</f>
        <v>0</v>
      </c>
      <c r="E90" s="627">
        <f ca="1">ROUND(E89*output_kgyear/1000,-2)</f>
        <v>0</v>
      </c>
      <c r="F90" s="627">
        <f ca="1">ROUND(F89*output_kgyear/1000,-2)</f>
        <v>0</v>
      </c>
      <c r="G90" s="628">
        <f ca="1">ROUND(G89*output_kgyear/1000,-2)</f>
        <v>0</v>
      </c>
    </row>
    <row r="91" spans="2:7" ht="13.5" thickTop="1">
      <c r="B91" t="s">
        <v>241</v>
      </c>
    </row>
    <row r="92" spans="2:7" ht="13.5" thickBot="1"/>
    <row r="93" spans="2:7" ht="16.5" thickTop="1" thickBot="1">
      <c r="B93" s="1513" t="s">
        <v>535</v>
      </c>
      <c r="C93" s="1514"/>
      <c r="D93" s="583"/>
      <c r="E93" s="583"/>
      <c r="F93" s="602"/>
    </row>
    <row r="94" spans="2:7">
      <c r="B94" s="629" t="s">
        <v>247</v>
      </c>
      <c r="C94" s="632" t="s">
        <v>402</v>
      </c>
      <c r="D94" s="632" t="s">
        <v>403</v>
      </c>
      <c r="E94" s="632" t="s">
        <v>404</v>
      </c>
      <c r="F94" s="633" t="s">
        <v>405</v>
      </c>
    </row>
    <row r="95" spans="2:7">
      <c r="B95" s="630" t="str">
        <f>B32</f>
        <v/>
      </c>
      <c r="C95" s="634" t="str">
        <f>IF($B95="","",VLOOKUP($B95,MASTER_PROPERTY_TABLE,MATCH("CO2 Emissions Factor (kg CO2 produced/GJ feed)",key_MPTable,0),FALSE)*$E32*$F32)</f>
        <v/>
      </c>
      <c r="D95" s="639" t="str">
        <f>IF($B95="","",VLOOKUP($B95,MASTER_PROPERTY_TABLE,MATCH("CH4 Emissions Factor (kg CH4 produced/GJ or mmBtu feed)",key_MPTable,0),FALSE)*$E32*$F32)</f>
        <v/>
      </c>
      <c r="E95" s="639" t="str">
        <f>IF($B95="","",VLOOKUP($B95,MASTER_PROPERTY_TABLE,MATCH("N2O Emissions Factor (kg N2O produced/GJ or mmBtu feed)",key_MPTable,0),FALSE)*$E32*$F32)</f>
        <v/>
      </c>
      <c r="F95" s="642" t="str">
        <f>IF($B95="","",$C95*GHG_CO2_factor+$D95*GHG_CH4_factor+$E95*GHG_N2O_factor)</f>
        <v/>
      </c>
    </row>
    <row r="96" spans="2:7">
      <c r="B96" s="630" t="str">
        <f>B33</f>
        <v/>
      </c>
      <c r="C96" s="634" t="str">
        <f>IF($B96="","",VLOOKUP($B96,MASTER_PROPERTY_TABLE,MATCH("CO2 Emissions Factor (kg CO2 produced/GJ feed)",key_MPTable,0),FALSE)*$E33*$F33)</f>
        <v/>
      </c>
      <c r="D96" s="639" t="str">
        <f>IF($B96="","",VLOOKUP($B96,MASTER_PROPERTY_TABLE,MATCH("CH4 Emissions Factor (kg CH4 produced/GJ or mmBtu feed)",key_MPTable,0),FALSE)*$E33*$F33)</f>
        <v/>
      </c>
      <c r="E96" s="639" t="str">
        <f>IF($B96="","",VLOOKUP($B96,MASTER_PROPERTY_TABLE,MATCH("N2O Emissions Factor (kg N2O produced/GJ or mmBtu feed)",key_MPTable,0),FALSE)*$E33*$F33)</f>
        <v/>
      </c>
      <c r="F96" s="642" t="str">
        <f>IF($B96="","",$C96*GHG_CO2_factor+$D96*GHG_CH4_factor+$E96*GHG_N2O_factor)</f>
        <v/>
      </c>
    </row>
    <row r="97" spans="2:6">
      <c r="B97" s="630" t="str">
        <f>B34</f>
        <v/>
      </c>
      <c r="C97" s="634" t="str">
        <f>IF($B97="","",VLOOKUP($B97,MASTER_PROPERTY_TABLE,MATCH("CO2 Emissions Factor (kg CO2 produced/GJ feed)",key_MPTable,0),FALSE)*$E34*$F34)</f>
        <v/>
      </c>
      <c r="D97" s="639" t="str">
        <f>IF($B97="","",VLOOKUP($B97,MASTER_PROPERTY_TABLE,MATCH("CH4 Emissions Factor (kg CH4 produced/GJ or mmBtu feed)",key_MPTable,0),FALSE)*$E34*$F34)</f>
        <v/>
      </c>
      <c r="E97" s="639" t="str">
        <f>IF($B97="","",VLOOKUP($B97,MASTER_PROPERTY_TABLE,MATCH("N2O Emissions Factor (kg N2O produced/GJ or mmBtu feed)",key_MPTable,0),FALSE)*$E34*$F34)</f>
        <v/>
      </c>
      <c r="F97" s="642" t="str">
        <f>IF($B97="","",$C97*GHG_CO2_factor+$D97*GHG_CH4_factor+$E97*GHG_N2O_factor)</f>
        <v/>
      </c>
    </row>
    <row r="98" spans="2:6">
      <c r="B98" s="630" t="str">
        <f>B35</f>
        <v/>
      </c>
      <c r="C98" s="634" t="str">
        <f>IF($B98="","",VLOOKUP($B98,MASTER_PROPERTY_TABLE,MATCH("CO2 Emissions Factor (kg CO2 produced/GJ feed)",key_MPTable,0),FALSE)*$E35*$F35)</f>
        <v/>
      </c>
      <c r="D98" s="639" t="str">
        <f>IF($B98="","",VLOOKUP($B98,MASTER_PROPERTY_TABLE,MATCH("CH4 Emissions Factor (kg CH4 produced/GJ or mmBtu feed)",key_MPTable,0),FALSE)*$E35*$F35)</f>
        <v/>
      </c>
      <c r="E98" s="639" t="str">
        <f>IF($B98="","",VLOOKUP($B98,MASTER_PROPERTY_TABLE,MATCH("N2O Emissions Factor (kg N2O produced/GJ or mmBtu feed)",key_MPTable,0),FALSE)*$E35*$F35)</f>
        <v/>
      </c>
      <c r="F98" s="642" t="str">
        <f>IF($B98="","",$C98*GHG_CO2_factor+$D98*GHG_CH4_factor+$E98*GHG_N2O_factor)</f>
        <v/>
      </c>
    </row>
    <row r="99" spans="2:6">
      <c r="B99" s="693" t="s">
        <v>270</v>
      </c>
      <c r="C99" s="694"/>
      <c r="D99" s="695"/>
      <c r="E99" s="695"/>
      <c r="F99" s="696"/>
    </row>
    <row r="100" spans="2:6">
      <c r="B100" s="630" t="str">
        <f>B37</f>
        <v>Industrial Electricity</v>
      </c>
      <c r="C100" s="634">
        <f ca="1">IF($B100="","",VLOOKUP($B100,MASTER_PROPERTY_TABLE,MATCH("CO2 Emissions Factor (kg CO2 produced/GJ feed)",key_MPTable,0),FALSE)*$E37*$F37)</f>
        <v>0</v>
      </c>
      <c r="D100" s="639">
        <f ca="1">IF($B100="","",VLOOKUP($B100,MASTER_PROPERTY_TABLE,MATCH("CH4 Emissions Factor (kg CH4 produced/GJ or mmBtu feed)",key_MPTable,0),FALSE)*$E37*$F37)</f>
        <v>0</v>
      </c>
      <c r="E100" s="639">
        <f ca="1">IF($B100="","",VLOOKUP($B100,MASTER_PROPERTY_TABLE,MATCH("N2O Emissions Factor (kg N2O produced/GJ or mmBtu feed)",key_MPTable,0),FALSE)*$E37*$F37)</f>
        <v>0</v>
      </c>
      <c r="F100" s="642">
        <f ca="1">IF($B100="","",$C100*GHG_CO2_factor+$D100*GHG_CH4_factor+$E100*GHG_N2O_factor)</f>
        <v>0</v>
      </c>
    </row>
    <row r="101" spans="2:6">
      <c r="B101" s="630" t="str">
        <f>B38</f>
        <v/>
      </c>
      <c r="C101" s="634" t="str">
        <f>IF($B101="","",VLOOKUP($B101,MASTER_PROPERTY_TABLE,MATCH("CO2 Emissions Factor (kg CO2 produced/GJ feed)",key_MPTable,0),FALSE)*$E38*$F38)</f>
        <v/>
      </c>
      <c r="D101" s="639" t="str">
        <f>IF($B101="","",VLOOKUP($B101,MASTER_PROPERTY_TABLE,MATCH("CH4 Emissions Factor (kg CH4 produced/GJ or mmBtu feed)",key_MPTable,0),FALSE)*$E38*$F38)</f>
        <v/>
      </c>
      <c r="E101" s="639" t="str">
        <f>IF($B101="","",VLOOKUP($B101,MASTER_PROPERTY_TABLE,MATCH("N2O Emissions Factor (kg N2O produced/GJ or mmBtu feed)",key_MPTable,0),FALSE)*$E38*$F38)</f>
        <v/>
      </c>
      <c r="F101" s="642" t="str">
        <f>IF($B101="","",$C101*GHG_CO2_factor+$D101*GHG_CH4_factor+$E101*GHG_N2O_factor)</f>
        <v/>
      </c>
    </row>
    <row r="102" spans="2:6">
      <c r="B102" s="630" t="str">
        <f>B39</f>
        <v/>
      </c>
      <c r="C102" s="634" t="str">
        <f>IF($B102="","",VLOOKUP($B102,MASTER_PROPERTY_TABLE,MATCH("CO2 Emissions Factor (kg CO2 produced/GJ feed)",key_MPTable,0),FALSE)*$E39*$F39)</f>
        <v/>
      </c>
      <c r="D102" s="639" t="str">
        <f>IF($B102="","",VLOOKUP($B102,MASTER_PROPERTY_TABLE,MATCH("CH4 Emissions Factor (kg CH4 produced/GJ or mmBtu feed)",key_MPTable,0),FALSE)*$E39*$F39)</f>
        <v/>
      </c>
      <c r="E102" s="639" t="str">
        <f>IF($B102="","",VLOOKUP($B102,MASTER_PROPERTY_TABLE,MATCH("N2O Emissions Factor (kg N2O produced/GJ or mmBtu feed)",key_MPTable,0),FALSE)*$E39*$F39)</f>
        <v/>
      </c>
      <c r="F102" s="642" t="str">
        <f>IF($B102="","",$C102*GHG_CO2_factor+$D102*GHG_CH4_factor+$E102*GHG_N2O_factor)</f>
        <v/>
      </c>
    </row>
    <row r="103" spans="2:6">
      <c r="B103" s="630" t="str">
        <f>B40</f>
        <v/>
      </c>
      <c r="C103" s="634" t="str">
        <f>IF($B103="","",VLOOKUP($B103,MASTER_PROPERTY_TABLE,MATCH("CO2 Emissions Factor (kg CO2 produced/GJ feed)",key_MPTable,0),FALSE)*$E40*$F40)</f>
        <v/>
      </c>
      <c r="D103" s="639" t="str">
        <f>IF($B103="","",VLOOKUP($B103,MASTER_PROPERTY_TABLE,MATCH("CH4 Emissions Factor (kg CH4 produced/GJ or mmBtu feed)",key_MPTable,0),FALSE)*$E40*$F40)</f>
        <v/>
      </c>
      <c r="E103" s="639" t="str">
        <f>IF($B103="","",VLOOKUP($B103,MASTER_PROPERTY_TABLE,MATCH("N2O Emissions Factor (kg N2O produced/GJ or mmBtu feed)",key_MPTable,0),FALSE)*$E40*$F40)</f>
        <v/>
      </c>
      <c r="F103" s="642" t="str">
        <f>IF($B103="","",$C103*GHG_CO2_factor+$D103*GHG_CH4_factor+$E103*GHG_N2O_factor)</f>
        <v/>
      </c>
    </row>
    <row r="104" spans="2:6">
      <c r="B104" s="693" t="s">
        <v>399</v>
      </c>
      <c r="C104" s="694"/>
      <c r="D104" s="695"/>
      <c r="E104" s="695"/>
      <c r="F104" s="696"/>
    </row>
    <row r="105" spans="2:6" ht="13.5" thickBot="1">
      <c r="B105" s="631" t="str">
        <f ca="1">B42</f>
        <v/>
      </c>
      <c r="C105" s="645" t="str">
        <f ca="1">IF($B105="","",VLOOKUP($B105,MASTER_PROPERTY_TABLE,MATCH("CO2 Emissions Factor (kg CO2 produced/GJ feed)",key_MPTable,0),FALSE)*$E42*$F42)</f>
        <v/>
      </c>
      <c r="D105" s="646" t="str">
        <f ca="1">IF($B105="","",VLOOKUP($B105,MASTER_PROPERTY_TABLE,MATCH("CH4 Emissions Factor (kg CH4 produced/GJ or mmBtu feed)",key_MPTable,0),FALSE)*$E42*$F42)</f>
        <v/>
      </c>
      <c r="E105" s="646" t="str">
        <f ca="1">IF($B105="","",VLOOKUP($B105,MASTER_PROPERTY_TABLE,MATCH("N2O Emissions Factor (kg N2O produced/GJ or mmBtu feed)",key_MPTable,0),FALSE)*$E42*$F42)</f>
        <v/>
      </c>
      <c r="F105" s="647" t="str">
        <f ca="1">IF($B105="","",$C105*GHG_CO2_factor+$D105*GHG_CH4_factor+$E105*GHG_N2O_factor)</f>
        <v/>
      </c>
    </row>
    <row r="106" spans="2:6" ht="13.5" thickTop="1"/>
    <row r="107" spans="2:6" ht="13.5" thickBot="1"/>
    <row r="108" spans="2:6" ht="16.5" thickTop="1" thickBot="1">
      <c r="B108" s="1513" t="s">
        <v>1339</v>
      </c>
      <c r="C108" s="1514"/>
      <c r="D108" s="583"/>
      <c r="E108" s="583"/>
      <c r="F108" s="602"/>
    </row>
    <row r="109" spans="2:6">
      <c r="B109" s="629" t="s">
        <v>247</v>
      </c>
      <c r="C109" s="632" t="s">
        <v>402</v>
      </c>
      <c r="D109" s="632" t="s">
        <v>403</v>
      </c>
      <c r="E109" s="632" t="s">
        <v>404</v>
      </c>
      <c r="F109" s="633" t="s">
        <v>405</v>
      </c>
    </row>
    <row r="110" spans="2:6">
      <c r="B110" s="630" t="str">
        <f>B32</f>
        <v/>
      </c>
      <c r="C110" s="634" t="str">
        <f>IF($B110="","",$C32*VLOOKUP($B110,Tbl_Emissions,6,FALSE))</f>
        <v/>
      </c>
      <c r="D110" s="639" t="str">
        <f>IF($B110="","",$C32*VLOOKUP($B110,Tbl_Emissions,7,FALSE))</f>
        <v/>
      </c>
      <c r="E110" s="639" t="str">
        <f>IF($B110="","",$C32*VLOOKUP($B110,Tbl_Emissions,8,FALSE))</f>
        <v/>
      </c>
      <c r="F110" s="642" t="str">
        <f>IF($B110="","",$C110*GHG_CO2_factor+$D110*GHG_CH4_factor+$E110*GHG_N2O_factor)</f>
        <v/>
      </c>
    </row>
    <row r="111" spans="2:6">
      <c r="B111" s="630" t="str">
        <f>B33</f>
        <v/>
      </c>
      <c r="C111" s="634" t="str">
        <f>IF($B111="","",$C33*VLOOKUP($B111,Tbl_Emissions,6,FALSE))</f>
        <v/>
      </c>
      <c r="D111" s="639" t="str">
        <f>IF($B111="","",$C33*VLOOKUP($B111,Tbl_Emissions,7,FALSE))</f>
        <v/>
      </c>
      <c r="E111" s="639" t="str">
        <f>IF($B111="","",$C33*VLOOKUP($B111,Tbl_Emissions,8,FALSE))</f>
        <v/>
      </c>
      <c r="F111" s="642" t="str">
        <f>IF($B111="","",$C111*GHG_CO2_factor+$D111*GHG_CH4_factor+$E111*GHG_N2O_factor)</f>
        <v/>
      </c>
    </row>
    <row r="112" spans="2:6">
      <c r="B112" s="630" t="str">
        <f>B34</f>
        <v/>
      </c>
      <c r="C112" s="634" t="str">
        <f>IF($B112="","",$C34*VLOOKUP($B112,Tbl_Emissions,6,FALSE))</f>
        <v/>
      </c>
      <c r="D112" s="639" t="str">
        <f>IF($B112="","",$C34*VLOOKUP($B112,Tbl_Emissions,7,FALSE))</f>
        <v/>
      </c>
      <c r="E112" s="639" t="str">
        <f>IF($B112="","",$C34*VLOOKUP($B112,Tbl_Emissions,8,FALSE))</f>
        <v/>
      </c>
      <c r="F112" s="642" t="str">
        <f>IF($B112="","",$C112*GHG_CO2_factor+$D112*GHG_CH4_factor+$E112*GHG_N2O_factor)</f>
        <v/>
      </c>
    </row>
    <row r="113" spans="2:6">
      <c r="B113" s="630" t="str">
        <f>B35</f>
        <v/>
      </c>
      <c r="C113" s="634" t="str">
        <f>IF($B113="","",$C35*VLOOKUP($B113,Tbl_Emissions,6,FALSE))</f>
        <v/>
      </c>
      <c r="D113" s="639" t="str">
        <f>IF($B113="","",$C35*VLOOKUP($B113,Tbl_Emissions,7,FALSE))</f>
        <v/>
      </c>
      <c r="E113" s="639" t="str">
        <f>IF($B113="","",$C35*VLOOKUP($B113,Tbl_Emissions,8,FALSE))</f>
        <v/>
      </c>
      <c r="F113" s="642" t="str">
        <f>IF($B113="","",$C113*GHG_CO2_factor+$D113*GHG_CH4_factor+$E113*GHG_N2O_factor)</f>
        <v/>
      </c>
    </row>
    <row r="114" spans="2:6">
      <c r="B114" s="693" t="s">
        <v>270</v>
      </c>
      <c r="C114" s="694"/>
      <c r="D114" s="695"/>
      <c r="E114" s="695"/>
      <c r="F114" s="696"/>
    </row>
    <row r="115" spans="2:6">
      <c r="B115" s="630" t="str">
        <f>B37</f>
        <v>Industrial Electricity</v>
      </c>
      <c r="C115" s="634">
        <f ca="1">IF($B115="","",$C37*VLOOKUP($B115,Tbl_Emissions,6,FALSE))</f>
        <v>27.996197999999996</v>
      </c>
      <c r="D115" s="639">
        <f ca="1">IF($B115="","",$C37*VLOOKUP($B115,Tbl_Emissions,7,FALSE))</f>
        <v>4.2470908799999992E-2</v>
      </c>
      <c r="E115" s="639">
        <f ca="1">IF($B115="","",$C37*VLOOKUP($B115,Tbl_Emissions,8,FALSE))</f>
        <v>4.0955448000000005E-4</v>
      </c>
      <c r="F115" s="642">
        <f ca="1">IF($B115="","",$C115*GHG_CO2_factor+$D115*GHG_CH4_factor+$E115*GHG_N2O_factor)</f>
        <v>29.180017955039997</v>
      </c>
    </row>
    <row r="116" spans="2:6">
      <c r="B116" s="630" t="str">
        <f>B38</f>
        <v/>
      </c>
      <c r="C116" s="634" t="str">
        <f>IF($B116="","",$C38*VLOOKUP($B116,Tbl_Emissions,6,FALSE))</f>
        <v/>
      </c>
      <c r="D116" s="639" t="str">
        <f>IF($B116="","",$C38*VLOOKUP($B116,Tbl_Emissions,7,FALSE))</f>
        <v/>
      </c>
      <c r="E116" s="639" t="str">
        <f>IF($B116="","",$C38*VLOOKUP($B116,Tbl_Emissions,8,FALSE))</f>
        <v/>
      </c>
      <c r="F116" s="642" t="str">
        <f>IF($B116="","",$C116*GHG_CO2_factor+$D116*GHG_CH4_factor+$E116*GHG_N2O_factor)</f>
        <v/>
      </c>
    </row>
    <row r="117" spans="2:6">
      <c r="B117" s="630" t="str">
        <f>B39</f>
        <v/>
      </c>
      <c r="C117" s="634" t="str">
        <f>IF($B117="","",$C39*VLOOKUP($B117,Tbl_Emissions,6,FALSE))</f>
        <v/>
      </c>
      <c r="D117" s="639" t="str">
        <f>IF($B117="","",$C39*VLOOKUP($B117,Tbl_Emissions,7,FALSE))</f>
        <v/>
      </c>
      <c r="E117" s="639" t="str">
        <f>IF($B117="","",$C39*VLOOKUP($B117,Tbl_Emissions,8,FALSE))</f>
        <v/>
      </c>
      <c r="F117" s="642" t="str">
        <f>IF($B117="","",$C117*GHG_CO2_factor+$D117*GHG_CH4_factor+$E117*GHG_N2O_factor)</f>
        <v/>
      </c>
    </row>
    <row r="118" spans="2:6">
      <c r="B118" s="630" t="str">
        <f>B40</f>
        <v/>
      </c>
      <c r="C118" s="634" t="str">
        <f>IF($B118="","",$C40*VLOOKUP($B118,Tbl_Emissions,6,FALSE))</f>
        <v/>
      </c>
      <c r="D118" s="639" t="str">
        <f>IF($B118="","",$C40*VLOOKUP($B118,Tbl_Emissions,7,FALSE))</f>
        <v/>
      </c>
      <c r="E118" s="639" t="str">
        <f>IF($B118="","",$C40*VLOOKUP($B118,Tbl_Emissions,8,FALSE))</f>
        <v/>
      </c>
      <c r="F118" s="642" t="str">
        <f>IF($B118="","",$C118*GHG_CO2_factor+$D118*GHG_CH4_factor+$E118*GHG_N2O_factor)</f>
        <v/>
      </c>
    </row>
    <row r="119" spans="2:6">
      <c r="B119" s="693" t="s">
        <v>399</v>
      </c>
      <c r="C119" s="694"/>
      <c r="D119" s="695"/>
      <c r="E119" s="695"/>
      <c r="F119" s="696"/>
    </row>
    <row r="120" spans="2:6" ht="13.5" thickBot="1">
      <c r="B120" s="635" t="str">
        <f ca="1">B42</f>
        <v/>
      </c>
      <c r="C120" s="637" t="str">
        <f ca="1">IF($B120="","",$C42*VLOOKUP($B120,Tbl_Emissions,6,FALSE))</f>
        <v/>
      </c>
      <c r="D120" s="640" t="str">
        <f ca="1">IF($B120="","",$C42*VLOOKUP($B120,Tbl_Emissions,7,FALSE))</f>
        <v/>
      </c>
      <c r="E120" s="640" t="str">
        <f ca="1">IF($B120="","",$C42*VLOOKUP($B120,Tbl_Emissions,8,FALSE))</f>
        <v/>
      </c>
      <c r="F120" s="643" t="str">
        <f ca="1">IF($B120="","",$C120*GHG_CO2_factor+$D120*GHG_CH4_factor+$E120*GHG_N2O_factor)</f>
        <v/>
      </c>
    </row>
    <row r="121" spans="2:6" ht="13.5" thickBot="1">
      <c r="B121" s="636" t="s">
        <v>540</v>
      </c>
      <c r="C121" s="638">
        <f ca="1">SUM(C110:C120)</f>
        <v>27.996197999999996</v>
      </c>
      <c r="D121" s="641">
        <f ca="1">SUM(D110:D120)</f>
        <v>4.2470908799999992E-2</v>
      </c>
      <c r="E121" s="641">
        <f ca="1">SUM(E110:E120)</f>
        <v>4.0955448000000005E-4</v>
      </c>
      <c r="F121" s="644">
        <f ca="1">SUM(F110:F120)</f>
        <v>29.180017955039997</v>
      </c>
    </row>
    <row r="122" spans="2:6" ht="13.5" thickTop="1"/>
  </sheetData>
  <mergeCells count="18">
    <mergeCell ref="B108:C108"/>
    <mergeCell ref="B86:C86"/>
    <mergeCell ref="B59:C59"/>
    <mergeCell ref="B77:C77"/>
    <mergeCell ref="B78:C78"/>
    <mergeCell ref="B79:C79"/>
    <mergeCell ref="B80:C80"/>
    <mergeCell ref="B90:C90"/>
    <mergeCell ref="B88:C88"/>
    <mergeCell ref="B83:C83"/>
    <mergeCell ref="B84:C84"/>
    <mergeCell ref="B85:C85"/>
    <mergeCell ref="B89:C89"/>
    <mergeCell ref="F17:H17"/>
    <mergeCell ref="F23:H23"/>
    <mergeCell ref="B30:C30"/>
    <mergeCell ref="B52:C52"/>
    <mergeCell ref="B93:C93"/>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E8" sqref="E8"/>
    </sheetView>
  </sheetViews>
  <sheetFormatPr defaultRowHeight="12.75"/>
  <cols>
    <col min="1" max="1" width="7.140625" customWidth="1"/>
    <col min="2" max="2" width="35.5703125" customWidth="1"/>
    <col min="3" max="3" width="18.85546875" customWidth="1"/>
    <col min="4" max="6" width="20.7109375" customWidth="1"/>
    <col min="7" max="8" width="16.28515625" customWidth="1"/>
    <col min="9" max="9" width="16" bestFit="1" customWidth="1"/>
    <col min="10" max="15" width="12.28515625" customWidth="1"/>
    <col min="16" max="16" width="17.42578125" bestFit="1" customWidth="1"/>
    <col min="17" max="22" width="12.28515625" customWidth="1"/>
    <col min="23" max="23" width="18.42578125" customWidth="1"/>
    <col min="24" max="24" width="12.28515625" customWidth="1"/>
  </cols>
  <sheetData>
    <row r="1" spans="1:73">
      <c r="A1" s="1010"/>
      <c r="B1" s="1010"/>
      <c r="C1" s="1011"/>
      <c r="D1" s="1010"/>
      <c r="E1" s="1010"/>
      <c r="F1" s="1011"/>
      <c r="G1" s="1011"/>
      <c r="H1" s="1010"/>
      <c r="I1" s="1010"/>
      <c r="J1" s="1010"/>
      <c r="K1" s="1010"/>
      <c r="L1" s="1010"/>
      <c r="M1" s="1010"/>
      <c r="N1" s="1010"/>
      <c r="O1" s="1010"/>
      <c r="P1" s="1010"/>
      <c r="Q1" s="1010"/>
      <c r="R1" s="1010"/>
      <c r="S1" s="1010"/>
      <c r="T1" s="1010"/>
      <c r="U1" s="1010"/>
      <c r="V1" s="1010"/>
      <c r="W1" s="1010"/>
      <c r="X1" s="1010"/>
      <c r="Y1" s="1010"/>
      <c r="Z1" s="1010"/>
      <c r="AA1" s="1010"/>
      <c r="AB1" s="1010"/>
      <c r="AC1" s="1010"/>
      <c r="AD1" s="1010"/>
      <c r="AE1" s="1010"/>
      <c r="AF1" s="1010"/>
      <c r="AG1" s="1010"/>
      <c r="AH1" s="1010"/>
      <c r="AI1" s="1010"/>
      <c r="AJ1" s="1010"/>
      <c r="AK1" s="1010"/>
      <c r="AL1" s="1010"/>
      <c r="AM1" s="1010"/>
      <c r="AN1" s="1010"/>
      <c r="AO1" s="1010"/>
      <c r="AP1" s="1010"/>
      <c r="AQ1" s="1010"/>
      <c r="AR1" s="1010"/>
      <c r="AS1" s="1010"/>
      <c r="AT1" s="1010"/>
      <c r="AU1" s="1010"/>
      <c r="AV1" s="1010"/>
      <c r="AW1" s="1010"/>
      <c r="AX1" s="1010"/>
      <c r="AY1" s="1010"/>
      <c r="AZ1" s="1010"/>
      <c r="BA1" s="1010"/>
      <c r="BB1" s="1010"/>
      <c r="BC1" s="1010"/>
      <c r="BD1" s="1010"/>
      <c r="BE1" s="1010"/>
      <c r="BF1" s="1010"/>
      <c r="BG1" s="1010"/>
      <c r="BH1" s="1010"/>
      <c r="BI1" s="1010"/>
      <c r="BJ1" s="1010"/>
      <c r="BK1" s="1010"/>
      <c r="BL1" s="1010"/>
      <c r="BM1" s="1010"/>
      <c r="BN1" s="1010"/>
      <c r="BO1" s="1010"/>
      <c r="BP1" s="1010"/>
      <c r="BQ1" s="1010"/>
      <c r="BR1" s="1010"/>
      <c r="BS1" s="1010"/>
      <c r="BT1" s="1010"/>
      <c r="BU1" s="1010"/>
    </row>
    <row r="2" spans="1:73" ht="38.25">
      <c r="A2" s="1010"/>
      <c r="B2" s="1021" t="s">
        <v>1132</v>
      </c>
      <c r="C2" s="1021" t="s">
        <v>1131</v>
      </c>
      <c r="D2" s="1021" t="s">
        <v>1198</v>
      </c>
      <c r="E2" s="1021" t="s">
        <v>1199</v>
      </c>
      <c r="F2" s="1021" t="s">
        <v>1135</v>
      </c>
      <c r="G2" s="1021" t="s">
        <v>1136</v>
      </c>
      <c r="H2" s="1021" t="s">
        <v>1137</v>
      </c>
      <c r="I2" s="1021" t="s">
        <v>1138</v>
      </c>
      <c r="J2" s="1011"/>
      <c r="K2" s="1011"/>
      <c r="L2" s="1010"/>
      <c r="M2" s="1010"/>
      <c r="N2" s="1010"/>
      <c r="O2" s="1010"/>
      <c r="P2" s="1010"/>
      <c r="Q2" s="1010"/>
      <c r="R2" s="1010"/>
      <c r="S2" s="1010"/>
      <c r="T2" s="1010"/>
      <c r="U2" s="1010"/>
      <c r="V2" s="1010"/>
      <c r="W2" s="1010"/>
      <c r="X2" s="1010"/>
      <c r="Y2" s="1010"/>
      <c r="Z2" s="1010"/>
      <c r="AA2" s="1010"/>
      <c r="AB2" s="1010"/>
      <c r="AC2" s="1010"/>
      <c r="AD2" s="1010"/>
      <c r="AE2" s="1010"/>
      <c r="AF2" s="1010"/>
      <c r="AG2" s="1010"/>
      <c r="AH2" s="1010"/>
      <c r="AI2" s="1010"/>
      <c r="AJ2" s="1010"/>
      <c r="AK2" s="1010"/>
      <c r="AL2" s="1010"/>
      <c r="AM2" s="1010"/>
      <c r="AN2" s="1010"/>
      <c r="AO2" s="1010"/>
      <c r="AP2" s="1010"/>
      <c r="AQ2" s="1010"/>
      <c r="AR2" s="1010"/>
      <c r="AS2" s="1010"/>
      <c r="AT2" s="1010"/>
      <c r="AU2" s="1010"/>
      <c r="AV2" s="1010"/>
      <c r="AW2" s="1010"/>
      <c r="AX2" s="1010"/>
      <c r="AY2" s="1010"/>
      <c r="AZ2" s="1010"/>
      <c r="BA2" s="1010"/>
      <c r="BB2" s="1010"/>
      <c r="BC2" s="1010"/>
      <c r="BD2" s="1010"/>
      <c r="BE2" s="1010"/>
      <c r="BF2" s="1010"/>
      <c r="BG2" s="1010"/>
      <c r="BH2" s="1010"/>
      <c r="BI2" s="1010"/>
      <c r="BJ2" s="1010"/>
      <c r="BK2" s="1010"/>
      <c r="BL2" s="1010"/>
      <c r="BM2" s="1010"/>
      <c r="BN2" s="1010"/>
      <c r="BO2" s="1010"/>
      <c r="BP2" s="1010"/>
      <c r="BQ2" s="1010"/>
      <c r="BR2" s="1010"/>
      <c r="BS2" s="1010"/>
      <c r="BT2" s="1010"/>
      <c r="BU2" s="1010"/>
    </row>
    <row r="3" spans="1:73">
      <c r="A3" s="1010"/>
      <c r="B3" s="1013" t="s">
        <v>1172</v>
      </c>
      <c r="C3" s="1017">
        <f>+cap_factor</f>
        <v>0.97</v>
      </c>
      <c r="D3" s="1016">
        <v>0.05</v>
      </c>
      <c r="E3" s="1016">
        <v>0.05</v>
      </c>
      <c r="F3" s="1025">
        <f>1+D3</f>
        <v>1.05</v>
      </c>
      <c r="G3" s="1023">
        <f>1-E3</f>
        <v>0.95</v>
      </c>
      <c r="H3" s="1015">
        <f t="shared" ref="H3:H9" si="0">+C3*F3</f>
        <v>1.0185</v>
      </c>
      <c r="I3" s="1015">
        <f t="shared" ref="I3:I9" si="1">+C3*G3</f>
        <v>0.92149999999999999</v>
      </c>
      <c r="J3" s="1346"/>
      <c r="K3" s="1346"/>
      <c r="L3" s="1010"/>
      <c r="M3" s="1010"/>
      <c r="N3" s="1010"/>
      <c r="O3" s="1010"/>
      <c r="P3" s="1010"/>
      <c r="Q3" s="1010"/>
      <c r="R3" s="1010"/>
      <c r="S3" s="1010"/>
      <c r="T3" s="1010"/>
      <c r="U3" s="1010"/>
      <c r="V3" s="1010"/>
      <c r="W3" s="1010"/>
      <c r="X3" s="1010"/>
      <c r="Y3" s="1010"/>
      <c r="Z3" s="1010"/>
      <c r="AA3" s="1010"/>
      <c r="AB3" s="1010"/>
      <c r="AC3" s="1010"/>
      <c r="AD3" s="1010"/>
      <c r="AE3" s="1010"/>
      <c r="AF3" s="1010"/>
      <c r="AG3" s="1010"/>
      <c r="AH3" s="1010"/>
      <c r="AI3" s="1010"/>
      <c r="AJ3" s="1010"/>
      <c r="AK3" s="1010"/>
      <c r="AL3" s="1010"/>
      <c r="AM3" s="1010"/>
      <c r="AN3" s="1010"/>
      <c r="AO3" s="1010"/>
      <c r="AP3" s="1010"/>
      <c r="AQ3" s="1010"/>
      <c r="AR3" s="1010"/>
      <c r="AS3" s="1010"/>
      <c r="AT3" s="1010"/>
      <c r="AU3" s="1010"/>
      <c r="AV3" s="1010"/>
      <c r="AW3" s="1010"/>
      <c r="AX3" s="1010"/>
      <c r="AY3" s="1010"/>
      <c r="AZ3" s="1010"/>
      <c r="BA3" s="1010"/>
      <c r="BB3" s="1010"/>
      <c r="BC3" s="1010"/>
      <c r="BD3" s="1010"/>
      <c r="BE3" s="1010"/>
      <c r="BF3" s="1010"/>
      <c r="BG3" s="1010"/>
      <c r="BH3" s="1010"/>
      <c r="BI3" s="1010"/>
      <c r="BJ3" s="1010"/>
      <c r="BK3" s="1010"/>
      <c r="BL3" s="1010"/>
      <c r="BM3" s="1010"/>
      <c r="BN3" s="1010"/>
      <c r="BO3" s="1010"/>
      <c r="BP3" s="1010"/>
      <c r="BQ3" s="1010"/>
      <c r="BR3" s="1010"/>
      <c r="BS3" s="1010"/>
      <c r="BT3" s="1010"/>
      <c r="BU3" s="1010"/>
    </row>
    <row r="4" spans="1:73">
      <c r="A4" s="1010"/>
      <c r="B4" s="1013" t="str">
        <f>+Input_Sheet_Template!B26</f>
        <v>Plant Design Capacity (kg of H2/day)</v>
      </c>
      <c r="C4" s="1018">
        <f ca="1">+design_cap</f>
        <v>56499.999999999993</v>
      </c>
      <c r="D4" s="1016">
        <v>0.05</v>
      </c>
      <c r="E4" s="1016">
        <v>0.05</v>
      </c>
      <c r="F4" s="1025">
        <f>1+D4</f>
        <v>1.05</v>
      </c>
      <c r="G4" s="1023">
        <f>1-E4</f>
        <v>0.95</v>
      </c>
      <c r="H4" s="1020">
        <f t="shared" ca="1" si="0"/>
        <v>59324.999999999993</v>
      </c>
      <c r="I4" s="1020">
        <f t="shared" ca="1" si="1"/>
        <v>53674.999999999993</v>
      </c>
      <c r="J4" s="1346"/>
      <c r="K4" s="1346"/>
      <c r="L4" s="1010"/>
      <c r="M4" s="1010"/>
      <c r="N4" s="1010"/>
      <c r="O4" s="1010"/>
      <c r="P4" s="1010"/>
      <c r="Q4" s="1010"/>
      <c r="R4" s="1010"/>
      <c r="S4" s="1010"/>
      <c r="T4" s="1010"/>
      <c r="U4" s="1010"/>
      <c r="V4" s="1010"/>
      <c r="W4" s="1010"/>
      <c r="X4" s="1010"/>
      <c r="Y4" s="1010"/>
      <c r="Z4" s="1010"/>
      <c r="AA4" s="1010"/>
      <c r="AB4" s="1010"/>
      <c r="AC4" s="1010"/>
      <c r="AD4" s="1010"/>
      <c r="AE4" s="1010"/>
      <c r="AF4" s="1010"/>
      <c r="AG4" s="1010"/>
      <c r="AH4" s="1010"/>
      <c r="AI4" s="1010"/>
      <c r="AJ4" s="1010"/>
      <c r="AK4" s="1010"/>
      <c r="AL4" s="1010"/>
      <c r="AM4" s="1010"/>
      <c r="AN4" s="1010"/>
      <c r="AO4" s="1010"/>
      <c r="AP4" s="1010"/>
      <c r="AQ4" s="1010"/>
      <c r="AR4" s="1010"/>
      <c r="AS4" s="1010"/>
      <c r="AT4" s="1010"/>
      <c r="AU4" s="1010"/>
      <c r="AV4" s="1010"/>
      <c r="AW4" s="1010"/>
      <c r="AX4" s="1010"/>
      <c r="AY4" s="1010"/>
      <c r="AZ4" s="1010"/>
      <c r="BA4" s="1010"/>
      <c r="BB4" s="1010"/>
      <c r="BC4" s="1010"/>
      <c r="BD4" s="1010"/>
      <c r="BE4" s="1010"/>
      <c r="BF4" s="1010"/>
      <c r="BG4" s="1010"/>
      <c r="BH4" s="1010"/>
      <c r="BI4" s="1010"/>
      <c r="BJ4" s="1010"/>
      <c r="BK4" s="1010"/>
      <c r="BL4" s="1010"/>
      <c r="BM4" s="1010"/>
      <c r="BN4" s="1010"/>
      <c r="BO4" s="1010"/>
      <c r="BP4" s="1010"/>
      <c r="BQ4" s="1010"/>
      <c r="BR4" s="1010"/>
      <c r="BS4" s="1010"/>
      <c r="BT4" s="1010"/>
      <c r="BU4" s="1010"/>
    </row>
    <row r="5" spans="1:73">
      <c r="A5" s="1010"/>
      <c r="B5" s="1013" t="s">
        <v>1173</v>
      </c>
      <c r="C5" s="1017">
        <f ca="1">+real_irr</f>
        <v>0.08</v>
      </c>
      <c r="D5" s="1016">
        <v>0.05</v>
      </c>
      <c r="E5" s="1016">
        <v>0.05</v>
      </c>
      <c r="F5" s="1025">
        <f>1-D5</f>
        <v>0.95</v>
      </c>
      <c r="G5" s="1023">
        <f>1+E5</f>
        <v>1.05</v>
      </c>
      <c r="H5" s="1015">
        <f t="shared" ca="1" si="0"/>
        <v>7.5999999999999998E-2</v>
      </c>
      <c r="I5" s="1015">
        <f t="shared" ca="1" si="1"/>
        <v>8.4000000000000005E-2</v>
      </c>
      <c r="J5" s="1346"/>
      <c r="K5" s="1346"/>
      <c r="L5" s="1010"/>
      <c r="M5" s="1010"/>
      <c r="N5" s="1010"/>
      <c r="O5" s="1010"/>
      <c r="P5" s="1010"/>
      <c r="Q5" s="1010"/>
      <c r="R5" s="1010"/>
      <c r="S5" s="1010"/>
      <c r="T5" s="1010"/>
      <c r="U5" s="1010"/>
      <c r="V5" s="1010"/>
      <c r="W5" s="1010"/>
      <c r="X5" s="1010"/>
      <c r="Y5" s="1010"/>
      <c r="Z5" s="1010"/>
      <c r="AA5" s="1010"/>
      <c r="AB5" s="1010"/>
      <c r="AC5" s="1010"/>
      <c r="AD5" s="1010"/>
      <c r="AE5" s="1010"/>
      <c r="AF5" s="1010"/>
      <c r="AG5" s="1010"/>
      <c r="AH5" s="1010"/>
      <c r="AI5" s="1010"/>
      <c r="AJ5" s="1010"/>
      <c r="AK5" s="1010"/>
      <c r="AL5" s="1010"/>
      <c r="AM5" s="1010"/>
      <c r="AN5" s="1010"/>
      <c r="AO5" s="1010"/>
      <c r="AP5" s="1010"/>
      <c r="AQ5" s="1010"/>
      <c r="AR5" s="1010"/>
      <c r="AS5" s="1010"/>
      <c r="AT5" s="1010"/>
      <c r="AU5" s="1010"/>
      <c r="AV5" s="1010"/>
      <c r="AW5" s="1010"/>
      <c r="AX5" s="1010"/>
      <c r="AY5" s="1010"/>
      <c r="AZ5" s="1010"/>
      <c r="BA5" s="1010"/>
      <c r="BB5" s="1010"/>
      <c r="BC5" s="1010"/>
      <c r="BD5" s="1010"/>
      <c r="BE5" s="1010"/>
      <c r="BF5" s="1010"/>
      <c r="BG5" s="1010"/>
      <c r="BH5" s="1010"/>
      <c r="BI5" s="1010"/>
      <c r="BJ5" s="1010"/>
      <c r="BK5" s="1010"/>
      <c r="BL5" s="1010"/>
      <c r="BM5" s="1010"/>
      <c r="BN5" s="1010"/>
      <c r="BO5" s="1010"/>
      <c r="BP5" s="1010"/>
      <c r="BQ5" s="1010"/>
      <c r="BR5" s="1010"/>
      <c r="BS5" s="1010"/>
      <c r="BT5" s="1010"/>
      <c r="BU5" s="1010"/>
    </row>
    <row r="6" spans="1:73">
      <c r="A6" s="1010"/>
      <c r="B6" s="1013" t="s">
        <v>1182</v>
      </c>
      <c r="C6" s="1110">
        <v>1</v>
      </c>
      <c r="D6" s="1016">
        <v>0.05</v>
      </c>
      <c r="E6" s="1016">
        <v>0.05</v>
      </c>
      <c r="F6" s="1025">
        <f>1-D6</f>
        <v>0.95</v>
      </c>
      <c r="G6" s="1023">
        <f t="shared" ref="G6:G9" si="2">1+E6</f>
        <v>1.05</v>
      </c>
      <c r="H6" s="1106">
        <f t="shared" si="0"/>
        <v>0.95</v>
      </c>
      <c r="I6" s="1106">
        <f t="shared" si="1"/>
        <v>1.05</v>
      </c>
      <c r="J6" s="1346"/>
      <c r="K6" s="1346"/>
      <c r="L6" s="1010"/>
      <c r="M6" s="1010"/>
      <c r="N6" s="1010"/>
      <c r="O6" s="1010"/>
      <c r="P6" s="1010"/>
      <c r="Q6" s="1010"/>
      <c r="R6" s="1010"/>
      <c r="S6" s="1010"/>
      <c r="T6" s="1010"/>
      <c r="U6" s="1010"/>
      <c r="V6" s="1010"/>
      <c r="W6" s="1010"/>
      <c r="X6" s="1010"/>
      <c r="Y6" s="1010"/>
      <c r="Z6" s="1010"/>
      <c r="AA6" s="1010"/>
      <c r="AB6" s="1010"/>
      <c r="AC6" s="1010"/>
      <c r="AD6" s="1010"/>
      <c r="AE6" s="1010"/>
      <c r="AF6" s="1010"/>
      <c r="AG6" s="1010"/>
      <c r="AH6" s="1010"/>
      <c r="AI6" s="1010"/>
      <c r="AJ6" s="1010"/>
      <c r="AK6" s="1010"/>
      <c r="AL6" s="1010"/>
      <c r="AM6" s="1010"/>
      <c r="AN6" s="1010"/>
      <c r="AO6" s="1010"/>
      <c r="AP6" s="1010"/>
      <c r="AQ6" s="1010"/>
      <c r="AR6" s="1010"/>
      <c r="AS6" s="1010"/>
      <c r="AT6" s="1010"/>
      <c r="AU6" s="1010"/>
      <c r="AV6" s="1010"/>
      <c r="AW6" s="1010"/>
      <c r="AX6" s="1010"/>
      <c r="AY6" s="1010"/>
      <c r="AZ6" s="1010"/>
      <c r="BA6" s="1010"/>
      <c r="BB6" s="1010"/>
      <c r="BC6" s="1010"/>
      <c r="BD6" s="1010"/>
      <c r="BE6" s="1010"/>
      <c r="BF6" s="1010"/>
      <c r="BG6" s="1010"/>
      <c r="BH6" s="1010"/>
      <c r="BI6" s="1010"/>
      <c r="BJ6" s="1010"/>
      <c r="BK6" s="1010"/>
      <c r="BL6" s="1010"/>
      <c r="BM6" s="1010"/>
      <c r="BN6" s="1010"/>
      <c r="BO6" s="1010"/>
      <c r="BP6" s="1010"/>
      <c r="BQ6" s="1010"/>
      <c r="BR6" s="1010"/>
      <c r="BS6" s="1010"/>
      <c r="BT6" s="1010"/>
      <c r="BU6" s="1010"/>
    </row>
    <row r="7" spans="1:73">
      <c r="A7" s="1010"/>
      <c r="B7" s="1013" t="s">
        <v>1183</v>
      </c>
      <c r="C7" s="1110">
        <v>1</v>
      </c>
      <c r="D7" s="1016">
        <v>0.05</v>
      </c>
      <c r="E7" s="1016">
        <v>0.05</v>
      </c>
      <c r="F7" s="1025">
        <f>1-D7</f>
        <v>0.95</v>
      </c>
      <c r="G7" s="1023">
        <f t="shared" si="2"/>
        <v>1.05</v>
      </c>
      <c r="H7" s="1106">
        <f t="shared" si="0"/>
        <v>0.95</v>
      </c>
      <c r="I7" s="1106">
        <f t="shared" si="1"/>
        <v>1.05</v>
      </c>
      <c r="J7" s="1346"/>
      <c r="K7" s="1346"/>
      <c r="L7" s="1010"/>
      <c r="M7" s="1010"/>
      <c r="N7" s="1010"/>
      <c r="O7" s="1010"/>
      <c r="P7" s="1010"/>
      <c r="Q7" s="1010"/>
      <c r="R7" s="1010"/>
      <c r="S7" s="1010"/>
      <c r="T7" s="1010"/>
      <c r="U7" s="1010"/>
      <c r="V7" s="1010"/>
      <c r="W7" s="1010"/>
      <c r="X7" s="1010"/>
      <c r="Y7" s="1010"/>
      <c r="Z7" s="1010"/>
      <c r="AA7" s="1010"/>
      <c r="AB7" s="1010"/>
      <c r="AC7" s="1010"/>
      <c r="AD7" s="1010"/>
      <c r="AE7" s="1010"/>
      <c r="AF7" s="1010"/>
      <c r="AG7" s="1010"/>
      <c r="AH7" s="1010"/>
      <c r="AI7" s="1010"/>
      <c r="AJ7" s="1010"/>
      <c r="AK7" s="1010"/>
      <c r="AL7" s="1010"/>
      <c r="AM7" s="1010"/>
      <c r="AN7" s="1010"/>
      <c r="AO7" s="1010"/>
      <c r="AP7" s="1010"/>
      <c r="AQ7" s="1010"/>
      <c r="AR7" s="1010"/>
      <c r="AS7" s="1010"/>
      <c r="AT7" s="1010"/>
      <c r="AU7" s="1010"/>
      <c r="AV7" s="1010"/>
      <c r="AW7" s="1010"/>
      <c r="AX7" s="1010"/>
      <c r="AY7" s="1010"/>
      <c r="AZ7" s="1010"/>
      <c r="BA7" s="1010"/>
      <c r="BB7" s="1010"/>
      <c r="BC7" s="1010"/>
      <c r="BD7" s="1010"/>
      <c r="BE7" s="1010"/>
      <c r="BF7" s="1010"/>
      <c r="BG7" s="1010"/>
      <c r="BH7" s="1010"/>
      <c r="BI7" s="1010"/>
      <c r="BJ7" s="1010"/>
      <c r="BK7" s="1010"/>
      <c r="BL7" s="1010"/>
      <c r="BM7" s="1010"/>
      <c r="BN7" s="1010"/>
      <c r="BO7" s="1010"/>
      <c r="BP7" s="1010"/>
      <c r="BQ7" s="1010"/>
      <c r="BR7" s="1010"/>
      <c r="BS7" s="1010"/>
      <c r="BT7" s="1010"/>
      <c r="BU7" s="1010"/>
    </row>
    <row r="8" spans="1:73">
      <c r="A8" s="1010"/>
      <c r="B8" s="1013" t="s">
        <v>117</v>
      </c>
      <c r="C8" s="1018">
        <f ca="1">+total_cap</f>
        <v>86410283.520000011</v>
      </c>
      <c r="D8" s="1016">
        <v>0.05</v>
      </c>
      <c r="E8" s="1016">
        <v>0.05</v>
      </c>
      <c r="F8" s="1025">
        <f>1-D8</f>
        <v>0.95</v>
      </c>
      <c r="G8" s="1023">
        <f t="shared" si="2"/>
        <v>1.05</v>
      </c>
      <c r="H8" s="1020">
        <f t="shared" ca="1" si="0"/>
        <v>82089769.344000012</v>
      </c>
      <c r="I8" s="1020">
        <f t="shared" ca="1" si="1"/>
        <v>90730797.69600001</v>
      </c>
      <c r="J8" s="1346"/>
      <c r="K8" s="1346"/>
      <c r="L8" s="1010"/>
      <c r="M8" s="1010"/>
      <c r="N8" s="1010"/>
      <c r="O8" s="1010"/>
      <c r="P8" s="1010"/>
      <c r="Q8" s="1010"/>
      <c r="R8" s="1010"/>
      <c r="S8" s="1010"/>
      <c r="T8" s="1010"/>
      <c r="U8" s="1010"/>
      <c r="V8" s="1010"/>
      <c r="W8" s="1010"/>
      <c r="X8" s="1010"/>
      <c r="Y8" s="1010"/>
      <c r="Z8" s="1010"/>
      <c r="AA8" s="1010"/>
      <c r="AB8" s="1010"/>
      <c r="AC8" s="1010"/>
      <c r="AD8" s="1010"/>
      <c r="AE8" s="1010"/>
      <c r="AF8" s="1010"/>
      <c r="AG8" s="1010"/>
      <c r="AH8" s="1010"/>
      <c r="AI8" s="1010"/>
      <c r="AJ8" s="1010"/>
      <c r="AK8" s="1010"/>
      <c r="AL8" s="1010"/>
      <c r="AM8" s="1010"/>
      <c r="AN8" s="1010"/>
      <c r="AO8" s="1010"/>
      <c r="AP8" s="1010"/>
      <c r="AQ8" s="1010"/>
      <c r="AR8" s="1010"/>
      <c r="AS8" s="1010"/>
      <c r="AT8" s="1010"/>
      <c r="AU8" s="1010"/>
      <c r="AV8" s="1010"/>
      <c r="AW8" s="1010"/>
      <c r="AX8" s="1010"/>
      <c r="AY8" s="1010"/>
      <c r="AZ8" s="1010"/>
      <c r="BA8" s="1010"/>
      <c r="BB8" s="1010"/>
      <c r="BC8" s="1010"/>
      <c r="BD8" s="1010"/>
      <c r="BE8" s="1010"/>
      <c r="BF8" s="1010"/>
      <c r="BG8" s="1010"/>
      <c r="BH8" s="1010"/>
      <c r="BI8" s="1010"/>
      <c r="BJ8" s="1010"/>
      <c r="BK8" s="1010"/>
      <c r="BL8" s="1010"/>
      <c r="BM8" s="1010"/>
      <c r="BN8" s="1010"/>
      <c r="BO8" s="1010"/>
      <c r="BP8" s="1010"/>
      <c r="BQ8" s="1010"/>
      <c r="BR8" s="1010"/>
      <c r="BS8" s="1010"/>
      <c r="BT8" s="1010"/>
      <c r="BU8" s="1010"/>
    </row>
    <row r="9" spans="1:73">
      <c r="A9" s="1010"/>
      <c r="B9" s="1013" t="s">
        <v>633</v>
      </c>
      <c r="C9" s="1018">
        <f ca="1">+fixed</f>
        <v>4796493.3504000008</v>
      </c>
      <c r="D9" s="1016">
        <v>0.05</v>
      </c>
      <c r="E9" s="1016">
        <v>0.05</v>
      </c>
      <c r="F9" s="1025">
        <f>1-D9</f>
        <v>0.95</v>
      </c>
      <c r="G9" s="1023">
        <f t="shared" si="2"/>
        <v>1.05</v>
      </c>
      <c r="H9" s="1020">
        <f t="shared" ca="1" si="0"/>
        <v>4556668.6828800002</v>
      </c>
      <c r="I9" s="1020">
        <f t="shared" ca="1" si="1"/>
        <v>5036318.0179200014</v>
      </c>
      <c r="J9" s="1346"/>
      <c r="K9" s="1346"/>
      <c r="L9" s="1010"/>
      <c r="M9" s="1010"/>
      <c r="N9" s="1010"/>
      <c r="O9" s="1010"/>
      <c r="P9" s="1010"/>
      <c r="Q9" s="1010"/>
      <c r="R9" s="1010"/>
      <c r="S9" s="1010"/>
      <c r="T9" s="1010"/>
      <c r="U9" s="1010"/>
      <c r="V9" s="1010"/>
      <c r="W9" s="1010"/>
      <c r="X9" s="1010"/>
      <c r="Y9" s="1010"/>
      <c r="Z9" s="1010"/>
      <c r="AA9" s="1010"/>
      <c r="AB9" s="1010"/>
      <c r="AC9" s="1010"/>
      <c r="AD9" s="1010"/>
      <c r="AE9" s="1010"/>
      <c r="AF9" s="1010"/>
      <c r="AG9" s="1010"/>
      <c r="AH9" s="1010"/>
      <c r="AI9" s="1010"/>
      <c r="AJ9" s="1010"/>
      <c r="AK9" s="1010"/>
      <c r="AL9" s="1010"/>
      <c r="AM9" s="1010"/>
      <c r="AN9" s="1010"/>
      <c r="AO9" s="1010"/>
      <c r="AP9" s="1010"/>
      <c r="AQ9" s="1010"/>
      <c r="AR9" s="1010"/>
      <c r="AS9" s="1010"/>
      <c r="AT9" s="1010"/>
      <c r="AU9" s="1010"/>
      <c r="AV9" s="1010"/>
      <c r="AW9" s="1010"/>
      <c r="AX9" s="1010"/>
      <c r="AY9" s="1010"/>
      <c r="AZ9" s="1010"/>
      <c r="BA9" s="1010"/>
      <c r="BB9" s="1010"/>
      <c r="BC9" s="1010"/>
      <c r="BD9" s="1010"/>
      <c r="BE9" s="1010"/>
      <c r="BF9" s="1010"/>
      <c r="BG9" s="1010"/>
      <c r="BH9" s="1010"/>
      <c r="BI9" s="1010"/>
      <c r="BJ9" s="1010"/>
      <c r="BK9" s="1010"/>
      <c r="BL9" s="1010"/>
      <c r="BM9" s="1010"/>
      <c r="BN9" s="1010"/>
      <c r="BO9" s="1010"/>
      <c r="BP9" s="1010"/>
      <c r="BQ9" s="1010"/>
      <c r="BR9" s="1010"/>
      <c r="BS9" s="1010"/>
      <c r="BT9" s="1010"/>
      <c r="BU9" s="1010"/>
    </row>
    <row r="10" spans="1:73">
      <c r="A10" s="1010"/>
      <c r="B10" s="1010"/>
      <c r="C10" s="1010"/>
      <c r="D10" s="1010"/>
      <c r="E10" s="1010"/>
      <c r="F10" s="1010"/>
      <c r="G10" s="1010"/>
      <c r="H10" s="1010"/>
      <c r="I10" s="1010"/>
      <c r="J10" s="1010"/>
      <c r="K10" s="1010"/>
      <c r="L10" s="1010"/>
      <c r="M10" s="1010"/>
      <c r="N10" s="1010"/>
      <c r="O10" s="1010"/>
      <c r="P10" s="1010"/>
      <c r="Q10" s="1010"/>
      <c r="R10" s="1010"/>
      <c r="S10" s="1010"/>
      <c r="T10" s="1010"/>
      <c r="U10" s="1010"/>
      <c r="V10" s="1010"/>
      <c r="W10" s="1010"/>
      <c r="X10" s="1010"/>
      <c r="Y10" s="1010"/>
      <c r="Z10" s="1010"/>
      <c r="AA10" s="1010"/>
      <c r="AB10" s="1010"/>
      <c r="AC10" s="1010"/>
      <c r="AD10" s="1010"/>
      <c r="AE10" s="1010"/>
      <c r="AF10" s="1010"/>
      <c r="AG10" s="1010"/>
      <c r="AH10" s="1010"/>
      <c r="AI10" s="1010"/>
      <c r="AJ10" s="1010"/>
      <c r="AK10" s="1010"/>
      <c r="AL10" s="1010"/>
      <c r="AM10" s="1010"/>
      <c r="AN10" s="1010"/>
      <c r="AO10" s="1010"/>
      <c r="AP10" s="1010"/>
      <c r="AQ10" s="1010"/>
      <c r="AR10" s="1010"/>
      <c r="AS10" s="1010"/>
      <c r="AT10" s="1010"/>
      <c r="AU10" s="1010"/>
      <c r="AV10" s="1010"/>
      <c r="AW10" s="1010"/>
      <c r="AX10" s="1010"/>
      <c r="AY10" s="1010"/>
      <c r="AZ10" s="1010"/>
      <c r="BA10" s="1010"/>
      <c r="BB10" s="1010"/>
      <c r="BC10" s="1010"/>
      <c r="BD10" s="1010"/>
      <c r="BE10" s="1010"/>
      <c r="BF10" s="1010"/>
      <c r="BG10" s="1010"/>
      <c r="BH10" s="1010"/>
      <c r="BI10" s="1010"/>
      <c r="BJ10" s="1010"/>
      <c r="BK10" s="1010"/>
      <c r="BL10" s="1010"/>
      <c r="BM10" s="1010"/>
      <c r="BN10" s="1010"/>
      <c r="BO10" s="1010"/>
      <c r="BP10" s="1010"/>
      <c r="BQ10" s="1010"/>
      <c r="BR10" s="1010"/>
      <c r="BS10" s="1010"/>
      <c r="BT10" s="1010"/>
      <c r="BU10" s="1010"/>
    </row>
    <row r="11" spans="1:73">
      <c r="A11" s="1010"/>
      <c r="B11" s="1523" t="s">
        <v>1357</v>
      </c>
      <c r="C11" s="1523"/>
      <c r="D11" s="1016" t="s">
        <v>23</v>
      </c>
      <c r="E11" s="1357" t="str">
        <f>IF(RunRiskAnalysis="Yes","          Please click Update Charts and Risk Analysis button before using results below","")</f>
        <v xml:space="preserve">          Please click Update Charts and Risk Analysis button before using results below</v>
      </c>
      <c r="F11" s="1010"/>
      <c r="H11" s="1010"/>
      <c r="I11" s="1010"/>
      <c r="J11" s="1010"/>
      <c r="K11" s="1010"/>
      <c r="L11" s="1010"/>
      <c r="M11" s="1010"/>
      <c r="N11" s="1010"/>
      <c r="O11" s="1010"/>
      <c r="P11" s="1010"/>
      <c r="Q11" s="1010"/>
      <c r="R11" s="1010"/>
      <c r="S11" s="1010"/>
      <c r="T11" s="1010"/>
      <c r="U11" s="1010"/>
      <c r="V11" s="1010"/>
      <c r="W11" s="1010"/>
      <c r="X11" s="1010"/>
      <c r="Y11" s="1010"/>
      <c r="Z11" s="1010"/>
      <c r="AA11" s="1010"/>
      <c r="AB11" s="1010"/>
      <c r="AC11" s="1010"/>
      <c r="AD11" s="1010"/>
      <c r="AE11" s="1010"/>
      <c r="AF11" s="1010"/>
      <c r="AG11" s="1010"/>
      <c r="AH11" s="1010"/>
      <c r="AI11" s="1010"/>
      <c r="AJ11" s="1010"/>
      <c r="AK11" s="1010"/>
      <c r="AL11" s="1010"/>
      <c r="AM11" s="1010"/>
      <c r="AN11" s="1010"/>
      <c r="AO11" s="1010"/>
      <c r="AP11" s="1010"/>
      <c r="AQ11" s="1010"/>
      <c r="AR11" s="1010"/>
      <c r="AS11" s="1010"/>
      <c r="AT11" s="1010"/>
      <c r="AU11" s="1010"/>
      <c r="AV11" s="1010"/>
      <c r="AW11" s="1010"/>
      <c r="AX11" s="1010"/>
      <c r="AY11" s="1010"/>
      <c r="AZ11" s="1010"/>
      <c r="BA11" s="1010"/>
      <c r="BB11" s="1010"/>
      <c r="BC11" s="1010"/>
      <c r="BD11" s="1010"/>
      <c r="BE11" s="1010"/>
      <c r="BF11" s="1010"/>
      <c r="BG11" s="1010"/>
      <c r="BH11" s="1010"/>
      <c r="BI11" s="1010"/>
      <c r="BJ11" s="1010"/>
      <c r="BK11" s="1010"/>
      <c r="BL11" s="1010"/>
      <c r="BM11" s="1010"/>
      <c r="BN11" s="1010"/>
      <c r="BO11" s="1010"/>
      <c r="BP11" s="1010"/>
      <c r="BQ11" s="1010"/>
      <c r="BR11" s="1010"/>
      <c r="BS11" s="1010"/>
      <c r="BT11" s="1010"/>
      <c r="BU11" s="1010"/>
    </row>
    <row r="12" spans="1:73" ht="12.75" customHeight="1">
      <c r="A12" s="1010"/>
      <c r="B12" s="1010"/>
      <c r="C12" s="1010"/>
      <c r="D12" s="1010"/>
      <c r="E12" s="1010"/>
      <c r="F12" s="1010"/>
      <c r="G12" s="1010"/>
      <c r="H12" s="1010"/>
      <c r="I12" s="1010"/>
      <c r="J12" s="1010"/>
      <c r="K12" s="1010"/>
      <c r="L12" s="1010"/>
      <c r="M12" s="1010"/>
      <c r="N12" s="1010"/>
      <c r="P12" s="1523" t="s">
        <v>1315</v>
      </c>
      <c r="Q12" s="1523"/>
      <c r="R12" s="1524" t="s">
        <v>1338</v>
      </c>
      <c r="S12" s="1524"/>
      <c r="T12" s="1524"/>
      <c r="U12" s="1524"/>
      <c r="V12" s="1010"/>
      <c r="W12" s="1010"/>
      <c r="X12" s="1010"/>
      <c r="Y12" s="1010"/>
      <c r="Z12" s="1010"/>
      <c r="AA12" s="1010"/>
      <c r="AB12" s="1010"/>
      <c r="AC12" s="1010"/>
      <c r="AD12" s="1010"/>
      <c r="AE12" s="1010"/>
      <c r="AF12" s="1010"/>
      <c r="AG12" s="1010"/>
      <c r="AH12" s="1010"/>
      <c r="AI12" s="1010"/>
      <c r="AJ12" s="1010"/>
      <c r="AK12" s="1010"/>
      <c r="AL12" s="1010"/>
      <c r="AM12" s="1010"/>
      <c r="AN12" s="1010"/>
      <c r="AO12" s="1010"/>
      <c r="AP12" s="1010"/>
      <c r="AQ12" s="1010"/>
      <c r="AR12" s="1010"/>
      <c r="AS12" s="1010"/>
      <c r="AT12" s="1010"/>
      <c r="AU12" s="1010"/>
      <c r="AV12" s="1010"/>
      <c r="AW12" s="1010"/>
      <c r="AX12" s="1010"/>
      <c r="AY12" s="1010"/>
      <c r="AZ12" s="1010"/>
      <c r="BA12" s="1010"/>
      <c r="BB12" s="1010"/>
      <c r="BC12" s="1010"/>
      <c r="BD12" s="1010"/>
      <c r="BE12" s="1010"/>
      <c r="BF12" s="1010"/>
      <c r="BG12" s="1010"/>
      <c r="BH12" s="1010"/>
      <c r="BI12" s="1010"/>
      <c r="BJ12" s="1010"/>
      <c r="BK12" s="1010"/>
      <c r="BL12" s="1010"/>
      <c r="BM12" s="1010"/>
      <c r="BN12" s="1010"/>
      <c r="BO12" s="1010"/>
      <c r="BP12" s="1010"/>
      <c r="BQ12" s="1010"/>
      <c r="BR12" s="1010"/>
      <c r="BS12" s="1010"/>
      <c r="BT12" s="1010"/>
      <c r="BU12" s="1010"/>
    </row>
    <row r="13" spans="1:73">
      <c r="A13" s="1010"/>
      <c r="B13" s="1010"/>
      <c r="C13" s="1010"/>
      <c r="D13" s="1010"/>
      <c r="E13" s="1010"/>
      <c r="F13" s="1010"/>
      <c r="G13" s="1010"/>
      <c r="H13" s="1010"/>
      <c r="I13" s="1010"/>
      <c r="J13" s="1010"/>
      <c r="K13" s="1010"/>
      <c r="L13" s="1010"/>
      <c r="M13" s="1010"/>
      <c r="N13" s="1010"/>
      <c r="O13" s="1010"/>
      <c r="P13" s="1010"/>
      <c r="Q13" s="1010"/>
      <c r="R13" s="1010"/>
      <c r="S13" s="1010"/>
      <c r="T13" s="1010"/>
      <c r="U13" s="1010"/>
      <c r="V13" s="1021" t="s">
        <v>1301</v>
      </c>
      <c r="W13" s="1021" t="s">
        <v>1088</v>
      </c>
      <c r="X13" s="1010"/>
      <c r="Y13" s="1010"/>
      <c r="Z13" s="1010"/>
      <c r="AA13" s="1010"/>
      <c r="AB13" s="1010"/>
      <c r="AC13" s="1010"/>
      <c r="AD13" s="1010"/>
      <c r="AE13" s="1010"/>
      <c r="AF13" s="1010"/>
      <c r="AG13" s="1010"/>
      <c r="AH13" s="1010"/>
      <c r="AI13" s="1010"/>
      <c r="AJ13" s="1010"/>
      <c r="AK13" s="1010"/>
      <c r="AL13" s="1010"/>
      <c r="AM13" s="1010"/>
      <c r="AN13" s="1010"/>
      <c r="AO13" s="1010"/>
      <c r="AP13" s="1010"/>
      <c r="AQ13" s="1010"/>
      <c r="AR13" s="1010"/>
      <c r="AS13" s="1010"/>
      <c r="AT13" s="1010"/>
      <c r="AU13" s="1010"/>
      <c r="AV13" s="1010"/>
      <c r="AW13" s="1010"/>
      <c r="AX13" s="1010"/>
      <c r="AY13" s="1010"/>
      <c r="AZ13" s="1010"/>
      <c r="BA13" s="1010"/>
      <c r="BB13" s="1010"/>
      <c r="BC13" s="1010"/>
      <c r="BD13" s="1010"/>
      <c r="BE13" s="1010"/>
      <c r="BF13" s="1010"/>
      <c r="BG13" s="1010"/>
      <c r="BH13" s="1010"/>
      <c r="BI13" s="1010"/>
      <c r="BJ13" s="1010"/>
      <c r="BK13" s="1010"/>
      <c r="BL13" s="1010"/>
      <c r="BM13" s="1010"/>
      <c r="BN13" s="1010"/>
      <c r="BO13" s="1010"/>
      <c r="BP13" s="1010"/>
      <c r="BQ13" s="1010"/>
      <c r="BR13" s="1010"/>
      <c r="BS13" s="1010"/>
      <c r="BT13" s="1010"/>
      <c r="BU13" s="1010"/>
    </row>
    <row r="14" spans="1:73" ht="11.25" customHeight="1">
      <c r="A14" s="1010"/>
      <c r="B14" s="1010"/>
      <c r="C14" s="1010"/>
      <c r="D14" s="1010"/>
      <c r="E14" s="1010"/>
      <c r="F14" s="1010"/>
      <c r="G14" s="1010"/>
      <c r="H14" s="1010"/>
      <c r="I14" s="1010"/>
      <c r="J14" s="1010"/>
      <c r="K14" s="1010"/>
      <c r="L14" s="1010"/>
      <c r="M14" s="1010"/>
      <c r="N14" s="1010"/>
      <c r="O14" s="1010"/>
      <c r="P14" s="1010"/>
      <c r="Q14" s="1010"/>
      <c r="R14" s="1010"/>
      <c r="S14" s="1010"/>
      <c r="T14" s="1010"/>
      <c r="U14" s="1010"/>
      <c r="V14" s="1023">
        <v>0</v>
      </c>
      <c r="W14" s="1024">
        <f ca="1">+MIN(OFFSET($B$251:$B$2250,0,$C$194))*$C$198</f>
        <v>2.2951276327014232</v>
      </c>
      <c r="X14" s="1010"/>
      <c r="Y14" s="1010"/>
      <c r="Z14" s="1010"/>
      <c r="AA14" s="1010"/>
      <c r="AB14" s="1010"/>
      <c r="AC14" s="1010"/>
      <c r="AD14" s="1010"/>
      <c r="AE14" s="1010"/>
      <c r="AF14" s="1010"/>
      <c r="AG14" s="1010"/>
      <c r="AH14" s="1010"/>
      <c r="AI14" s="1010"/>
      <c r="AJ14" s="1010"/>
      <c r="AK14" s="1010"/>
      <c r="AL14" s="1010"/>
      <c r="AM14" s="1010"/>
      <c r="AN14" s="1010"/>
      <c r="AO14" s="1010"/>
      <c r="AP14" s="1010"/>
      <c r="AQ14" s="1010"/>
      <c r="AR14" s="1010"/>
      <c r="AS14" s="1010"/>
      <c r="AT14" s="1010"/>
      <c r="AU14" s="1010"/>
      <c r="AV14" s="1010"/>
      <c r="AW14" s="1010"/>
      <c r="AX14" s="1010"/>
      <c r="AY14" s="1010"/>
      <c r="AZ14" s="1010"/>
      <c r="BA14" s="1010"/>
      <c r="BB14" s="1010"/>
      <c r="BC14" s="1010"/>
      <c r="BD14" s="1010"/>
      <c r="BE14" s="1010"/>
      <c r="BF14" s="1010"/>
      <c r="BG14" s="1010"/>
      <c r="BH14" s="1010"/>
      <c r="BI14" s="1010"/>
      <c r="BJ14" s="1010"/>
      <c r="BK14" s="1010"/>
      <c r="BL14" s="1010"/>
      <c r="BM14" s="1010"/>
      <c r="BN14" s="1010"/>
      <c r="BO14" s="1010"/>
      <c r="BP14" s="1010"/>
      <c r="BQ14" s="1010"/>
      <c r="BR14" s="1010"/>
      <c r="BS14" s="1010"/>
      <c r="BT14" s="1010"/>
      <c r="BU14" s="1010"/>
    </row>
    <row r="15" spans="1:73">
      <c r="A15" s="1010"/>
      <c r="B15" s="1010"/>
      <c r="C15" s="1010"/>
      <c r="D15" s="1010"/>
      <c r="E15" s="1010"/>
      <c r="F15" s="1010"/>
      <c r="G15" s="1010"/>
      <c r="H15" s="1010"/>
      <c r="I15" s="1010"/>
      <c r="J15" s="1010"/>
      <c r="K15" s="1010"/>
      <c r="L15" s="1010"/>
      <c r="M15" s="1010"/>
      <c r="N15" s="1010"/>
      <c r="O15" s="1010"/>
      <c r="P15" s="1010"/>
      <c r="Q15" s="1010"/>
      <c r="R15" s="1010"/>
      <c r="S15" s="1010"/>
      <c r="T15" s="1010"/>
      <c r="U15" s="1010"/>
      <c r="V15" s="1355">
        <v>0.05</v>
      </c>
      <c r="W15" s="1356">
        <f t="shared" ref="W15:W33" ca="1" si="3">+PERCENTILE(OFFSET($B$251:$B$2250,0,$C$194),V15)*$C$198</f>
        <v>2.355347305861494</v>
      </c>
      <c r="X15" s="1010"/>
      <c r="Y15" s="1010"/>
      <c r="Z15" s="1010"/>
      <c r="AA15" s="1010"/>
      <c r="AB15" s="1010"/>
      <c r="AC15" s="1010"/>
      <c r="AD15" s="1010"/>
      <c r="AE15" s="1010"/>
      <c r="AF15" s="1010"/>
      <c r="AG15" s="1010"/>
      <c r="AH15" s="1010"/>
      <c r="AI15" s="1010"/>
      <c r="AJ15" s="1010"/>
      <c r="AK15" s="1010"/>
      <c r="AL15" s="1010"/>
      <c r="AM15" s="1010"/>
      <c r="AN15" s="1010"/>
      <c r="AO15" s="1010"/>
      <c r="AP15" s="1010"/>
      <c r="AQ15" s="1010"/>
      <c r="AR15" s="1010"/>
      <c r="AS15" s="1010"/>
      <c r="AT15" s="1010"/>
      <c r="AU15" s="1010"/>
      <c r="AV15" s="1010"/>
      <c r="AW15" s="1010"/>
      <c r="AX15" s="1010"/>
      <c r="AY15" s="1010"/>
      <c r="AZ15" s="1010"/>
      <c r="BA15" s="1010"/>
      <c r="BB15" s="1010"/>
      <c r="BC15" s="1010"/>
      <c r="BD15" s="1010"/>
      <c r="BE15" s="1010"/>
      <c r="BF15" s="1010"/>
      <c r="BG15" s="1010"/>
      <c r="BH15" s="1010"/>
      <c r="BI15" s="1010"/>
      <c r="BJ15" s="1010"/>
      <c r="BK15" s="1010"/>
      <c r="BL15" s="1010"/>
      <c r="BM15" s="1010"/>
      <c r="BN15" s="1010"/>
      <c r="BO15" s="1010"/>
      <c r="BP15" s="1010"/>
      <c r="BQ15" s="1010"/>
      <c r="BR15" s="1010"/>
      <c r="BS15" s="1010"/>
      <c r="BT15" s="1010"/>
      <c r="BU15" s="1010"/>
    </row>
    <row r="16" spans="1:73">
      <c r="A16" s="1010"/>
      <c r="B16" s="1011"/>
      <c r="C16" s="1010"/>
      <c r="D16" s="1010"/>
      <c r="E16" s="1010"/>
      <c r="F16" s="1010"/>
      <c r="G16" s="1010"/>
      <c r="H16" s="1010"/>
      <c r="I16" s="1010"/>
      <c r="J16" s="1010"/>
      <c r="K16" s="1010"/>
      <c r="L16" s="1010"/>
      <c r="M16" s="1010"/>
      <c r="N16" s="1010"/>
      <c r="O16" s="1010"/>
      <c r="P16" s="1010"/>
      <c r="Q16" s="1010"/>
      <c r="R16" s="1010"/>
      <c r="S16" s="1010"/>
      <c r="T16" s="1010"/>
      <c r="U16" s="1010"/>
      <c r="V16" s="1015">
        <f t="shared" ref="V16:V33" si="4">+V15+0.05</f>
        <v>0.1</v>
      </c>
      <c r="W16" s="1024">
        <f t="shared" ca="1" si="3"/>
        <v>2.3670549209635086</v>
      </c>
      <c r="X16" s="1010"/>
      <c r="Y16" s="1010"/>
      <c r="Z16" s="1010"/>
      <c r="AA16" s="1010"/>
      <c r="AB16" s="1010"/>
      <c r="AC16" s="1010"/>
      <c r="AD16" s="1010"/>
      <c r="AE16" s="1010"/>
      <c r="AF16" s="1010"/>
      <c r="AG16" s="1010"/>
      <c r="AH16" s="1010"/>
      <c r="AI16" s="1010"/>
      <c r="AJ16" s="1010"/>
      <c r="AK16" s="1010"/>
      <c r="AL16" s="1010"/>
      <c r="AM16" s="1010"/>
      <c r="AN16" s="1010"/>
      <c r="AO16" s="1010"/>
      <c r="AP16" s="1010"/>
      <c r="AQ16" s="1010"/>
      <c r="AR16" s="1010"/>
      <c r="AS16" s="1010"/>
      <c r="AT16" s="1010"/>
      <c r="AU16" s="1010"/>
      <c r="AV16" s="1010"/>
      <c r="AW16" s="1010"/>
      <c r="AX16" s="1010"/>
      <c r="AY16" s="1010"/>
      <c r="AZ16" s="1010"/>
      <c r="BA16" s="1010"/>
      <c r="BB16" s="1010"/>
      <c r="BC16" s="1010"/>
      <c r="BD16" s="1010"/>
      <c r="BE16" s="1010"/>
      <c r="BF16" s="1010"/>
      <c r="BG16" s="1010"/>
      <c r="BH16" s="1010"/>
      <c r="BI16" s="1010"/>
      <c r="BJ16" s="1010"/>
      <c r="BK16" s="1010"/>
      <c r="BL16" s="1010"/>
      <c r="BM16" s="1010"/>
      <c r="BN16" s="1010"/>
      <c r="BO16" s="1010"/>
      <c r="BP16" s="1010"/>
      <c r="BQ16" s="1010"/>
      <c r="BR16" s="1010"/>
      <c r="BS16" s="1010"/>
      <c r="BT16" s="1010"/>
      <c r="BU16" s="1010"/>
    </row>
    <row r="17" spans="1:73">
      <c r="A17" s="1010"/>
      <c r="B17" s="1010"/>
      <c r="C17" s="1010"/>
      <c r="D17" s="1010"/>
      <c r="E17" s="1010"/>
      <c r="F17" s="1010"/>
      <c r="G17" s="1010"/>
      <c r="H17" s="1010"/>
      <c r="I17" s="1010"/>
      <c r="J17" s="1010"/>
      <c r="K17" s="1010"/>
      <c r="L17" s="1010"/>
      <c r="M17" s="1010"/>
      <c r="N17" s="1010"/>
      <c r="O17" s="1010"/>
      <c r="P17" s="1010"/>
      <c r="Q17" s="1010"/>
      <c r="R17" s="1010"/>
      <c r="S17" s="1010"/>
      <c r="T17" s="1010"/>
      <c r="U17" s="1010"/>
      <c r="V17" s="1015">
        <f t="shared" si="4"/>
        <v>0.15000000000000002</v>
      </c>
      <c r="W17" s="1024">
        <f t="shared" ca="1" si="3"/>
        <v>2.3749002243825674</v>
      </c>
      <c r="X17" s="1010"/>
      <c r="Y17" s="1010"/>
      <c r="Z17" s="1010"/>
      <c r="AA17" s="1010"/>
      <c r="AB17" s="1010"/>
      <c r="AC17" s="1010"/>
      <c r="AD17" s="1010"/>
      <c r="AE17" s="1010"/>
      <c r="AF17" s="1010"/>
      <c r="AG17" s="1010"/>
      <c r="AH17" s="1010"/>
      <c r="AI17" s="1010"/>
      <c r="AJ17" s="1010"/>
      <c r="AK17" s="1010"/>
      <c r="AL17" s="1010"/>
      <c r="AM17" s="1010"/>
      <c r="AN17" s="1010"/>
      <c r="AO17" s="1010"/>
      <c r="AP17" s="1010"/>
      <c r="AQ17" s="1010"/>
      <c r="AR17" s="1010"/>
      <c r="AS17" s="1010"/>
      <c r="AT17" s="1010"/>
      <c r="AU17" s="1010"/>
      <c r="AV17" s="1010"/>
      <c r="AW17" s="1010"/>
      <c r="AX17" s="1010"/>
      <c r="AY17" s="1010"/>
      <c r="AZ17" s="1010"/>
      <c r="BA17" s="1010"/>
      <c r="BB17" s="1010"/>
      <c r="BC17" s="1010"/>
      <c r="BD17" s="1010"/>
      <c r="BE17" s="1010"/>
      <c r="BF17" s="1010"/>
      <c r="BG17" s="1010"/>
      <c r="BH17" s="1010"/>
      <c r="BI17" s="1010"/>
      <c r="BJ17" s="1010"/>
      <c r="BK17" s="1010"/>
      <c r="BL17" s="1010"/>
      <c r="BM17" s="1010"/>
      <c r="BN17" s="1010"/>
      <c r="BO17" s="1010"/>
      <c r="BP17" s="1010"/>
      <c r="BQ17" s="1010"/>
      <c r="BR17" s="1010"/>
      <c r="BS17" s="1010"/>
      <c r="BT17" s="1010"/>
      <c r="BU17" s="1010"/>
    </row>
    <row r="18" spans="1:73">
      <c r="A18" s="1010"/>
      <c r="B18" s="1010"/>
      <c r="C18" s="1010"/>
      <c r="D18" s="1010"/>
      <c r="E18" s="1010"/>
      <c r="F18" s="1010"/>
      <c r="G18" s="1010"/>
      <c r="H18" s="1010"/>
      <c r="I18" s="1010"/>
      <c r="J18" s="1010"/>
      <c r="K18" s="1010"/>
      <c r="L18" s="1010"/>
      <c r="M18" s="1010"/>
      <c r="N18" s="1010"/>
      <c r="O18" s="1010"/>
      <c r="P18" s="1010"/>
      <c r="Q18" s="1010"/>
      <c r="R18" s="1010"/>
      <c r="S18" s="1010"/>
      <c r="T18" s="1010"/>
      <c r="U18" s="1010"/>
      <c r="V18" s="1015">
        <f t="shared" si="4"/>
        <v>0.2</v>
      </c>
      <c r="W18" s="1024">
        <f t="shared" ca="1" si="3"/>
        <v>2.3825158107654025</v>
      </c>
      <c r="X18" s="1010"/>
      <c r="Y18" s="1010"/>
      <c r="Z18" s="1010"/>
      <c r="AA18" s="1010"/>
      <c r="AB18" s="1010"/>
      <c r="AC18" s="1010"/>
      <c r="AD18" s="1010"/>
      <c r="AE18" s="1010"/>
      <c r="AF18" s="1010"/>
      <c r="AG18" s="1010"/>
      <c r="AH18" s="1010"/>
      <c r="AI18" s="1010"/>
      <c r="AJ18" s="1010"/>
      <c r="AK18" s="1010"/>
      <c r="AL18" s="1010"/>
      <c r="AM18" s="1010"/>
      <c r="AN18" s="1010"/>
      <c r="AO18" s="1010"/>
      <c r="AP18" s="1010"/>
      <c r="AQ18" s="1010"/>
      <c r="AR18" s="1010"/>
      <c r="AS18" s="1010"/>
      <c r="AT18" s="1010"/>
      <c r="AU18" s="1010"/>
      <c r="AV18" s="1010"/>
      <c r="AW18" s="1010"/>
      <c r="AX18" s="1010"/>
      <c r="AY18" s="1010"/>
      <c r="AZ18" s="1010"/>
      <c r="BA18" s="1010"/>
      <c r="BB18" s="1010"/>
      <c r="BC18" s="1010"/>
      <c r="BD18" s="1010"/>
      <c r="BE18" s="1010"/>
      <c r="BF18" s="1010"/>
      <c r="BG18" s="1010"/>
      <c r="BH18" s="1010"/>
      <c r="BI18" s="1010"/>
      <c r="BJ18" s="1010"/>
      <c r="BK18" s="1010"/>
      <c r="BL18" s="1010"/>
      <c r="BM18" s="1010"/>
      <c r="BN18" s="1010"/>
      <c r="BO18" s="1010"/>
      <c r="BP18" s="1010"/>
      <c r="BQ18" s="1010"/>
      <c r="BR18" s="1010"/>
      <c r="BS18" s="1010"/>
      <c r="BT18" s="1010"/>
      <c r="BU18" s="1010"/>
    </row>
    <row r="19" spans="1:73">
      <c r="A19" s="1010"/>
      <c r="B19" s="1010"/>
      <c r="C19" s="1010"/>
      <c r="D19" s="1010"/>
      <c r="E19" s="1010"/>
      <c r="F19" s="1010"/>
      <c r="G19" s="1010"/>
      <c r="H19" s="1010"/>
      <c r="I19" s="1010"/>
      <c r="J19" s="1010"/>
      <c r="K19" s="1010"/>
      <c r="L19" s="1010"/>
      <c r="M19" s="1010"/>
      <c r="N19" s="1010"/>
      <c r="O19" s="1010"/>
      <c r="P19" s="1010"/>
      <c r="Q19" s="1010"/>
      <c r="R19" s="1010"/>
      <c r="S19" s="1010"/>
      <c r="T19" s="1010"/>
      <c r="U19" s="1010"/>
      <c r="V19" s="1015">
        <f t="shared" si="4"/>
        <v>0.25</v>
      </c>
      <c r="W19" s="1024">
        <f t="shared" ca="1" si="3"/>
        <v>2.3894452739889429</v>
      </c>
      <c r="X19" s="1010"/>
      <c r="Y19" s="1010"/>
      <c r="Z19" s="1010"/>
      <c r="AA19" s="1010"/>
      <c r="AB19" s="1010"/>
      <c r="AC19" s="1010"/>
      <c r="AD19" s="1010"/>
      <c r="AE19" s="1010"/>
      <c r="AF19" s="1010"/>
      <c r="AG19" s="1010"/>
      <c r="AH19" s="1010"/>
      <c r="AI19" s="1010"/>
      <c r="AJ19" s="1010"/>
      <c r="AK19" s="1010"/>
      <c r="AL19" s="1010"/>
      <c r="AM19" s="1010"/>
      <c r="AN19" s="1010"/>
      <c r="AO19" s="1010"/>
      <c r="AP19" s="1010"/>
      <c r="AQ19" s="1010"/>
      <c r="AR19" s="1010"/>
      <c r="AS19" s="1010"/>
      <c r="AT19" s="1010"/>
      <c r="AU19" s="1010"/>
      <c r="AV19" s="1010"/>
      <c r="AW19" s="1010"/>
      <c r="AX19" s="1010"/>
      <c r="AY19" s="1010"/>
      <c r="AZ19" s="1010"/>
      <c r="BA19" s="1010"/>
      <c r="BB19" s="1010"/>
      <c r="BC19" s="1010"/>
      <c r="BD19" s="1010"/>
      <c r="BE19" s="1010"/>
      <c r="BF19" s="1010"/>
      <c r="BG19" s="1010"/>
      <c r="BH19" s="1010"/>
      <c r="BI19" s="1010"/>
      <c r="BJ19" s="1010"/>
      <c r="BK19" s="1010"/>
      <c r="BL19" s="1010"/>
      <c r="BM19" s="1010"/>
      <c r="BN19" s="1010"/>
      <c r="BO19" s="1010"/>
      <c r="BP19" s="1010"/>
      <c r="BQ19" s="1010"/>
      <c r="BR19" s="1010"/>
      <c r="BS19" s="1010"/>
      <c r="BT19" s="1010"/>
      <c r="BU19" s="1010"/>
    </row>
    <row r="20" spans="1:73">
      <c r="A20" s="1010"/>
      <c r="B20" s="1010"/>
      <c r="C20" s="1010"/>
      <c r="D20" s="1010"/>
      <c r="E20" s="1010"/>
      <c r="F20" s="1010"/>
      <c r="G20" s="1010"/>
      <c r="H20" s="1010"/>
      <c r="I20" s="1010"/>
      <c r="J20" s="1010"/>
      <c r="K20" s="1010"/>
      <c r="L20" s="1010"/>
      <c r="M20" s="1010"/>
      <c r="N20" s="1010"/>
      <c r="O20" s="1010"/>
      <c r="P20" s="1010"/>
      <c r="Q20" s="1010"/>
      <c r="R20" s="1010"/>
      <c r="S20" s="1010"/>
      <c r="T20" s="1010"/>
      <c r="U20" s="1010"/>
      <c r="V20" s="1015">
        <f t="shared" si="4"/>
        <v>0.3</v>
      </c>
      <c r="W20" s="1024">
        <f t="shared" ca="1" si="3"/>
        <v>2.3946272258510417</v>
      </c>
      <c r="X20" s="1010"/>
      <c r="Y20" s="1010"/>
      <c r="Z20" s="1010"/>
      <c r="AA20" s="1010"/>
      <c r="AB20" s="1010"/>
      <c r="AC20" s="1010"/>
      <c r="AD20" s="1010"/>
      <c r="AE20" s="1010"/>
      <c r="AF20" s="1010"/>
      <c r="AG20" s="1010"/>
      <c r="AH20" s="1010"/>
      <c r="AI20" s="1010"/>
      <c r="AJ20" s="1010"/>
      <c r="AK20" s="1010"/>
      <c r="AL20" s="1010"/>
      <c r="AM20" s="1010"/>
      <c r="AN20" s="1010"/>
      <c r="AO20" s="1010"/>
      <c r="AP20" s="1010"/>
      <c r="AQ20" s="1010"/>
      <c r="AR20" s="1010"/>
      <c r="AS20" s="1010"/>
      <c r="AT20" s="1010"/>
      <c r="AU20" s="1010"/>
      <c r="AV20" s="1010"/>
      <c r="AW20" s="1010"/>
      <c r="AX20" s="1010"/>
      <c r="AY20" s="1010"/>
      <c r="AZ20" s="1010"/>
      <c r="BA20" s="1010"/>
      <c r="BB20" s="1010"/>
      <c r="BC20" s="1010"/>
      <c r="BD20" s="1010"/>
      <c r="BE20" s="1010"/>
      <c r="BF20" s="1010"/>
      <c r="BG20" s="1010"/>
      <c r="BH20" s="1010"/>
      <c r="BI20" s="1010"/>
      <c r="BJ20" s="1010"/>
      <c r="BK20" s="1010"/>
      <c r="BL20" s="1010"/>
      <c r="BM20" s="1010"/>
      <c r="BN20" s="1010"/>
      <c r="BO20" s="1010"/>
      <c r="BP20" s="1010"/>
      <c r="BQ20" s="1010"/>
      <c r="BR20" s="1010"/>
      <c r="BS20" s="1010"/>
      <c r="BT20" s="1010"/>
      <c r="BU20" s="1010"/>
    </row>
    <row r="21" spans="1:73">
      <c r="A21" s="1010"/>
      <c r="B21" s="1010"/>
      <c r="C21" s="1010"/>
      <c r="D21" s="1010"/>
      <c r="E21" s="1010"/>
      <c r="F21" s="1010"/>
      <c r="G21" s="1010"/>
      <c r="H21" s="1010"/>
      <c r="I21" s="1010"/>
      <c r="J21" s="1010"/>
      <c r="K21" s="1010"/>
      <c r="L21" s="1010"/>
      <c r="M21" s="1010"/>
      <c r="N21" s="1010"/>
      <c r="O21" s="1010"/>
      <c r="P21" s="1010"/>
      <c r="Q21" s="1010"/>
      <c r="R21" s="1010"/>
      <c r="S21" s="1010"/>
      <c r="T21" s="1010"/>
      <c r="U21" s="1010"/>
      <c r="V21" s="1015">
        <f t="shared" si="4"/>
        <v>0.35</v>
      </c>
      <c r="W21" s="1024">
        <f t="shared" ca="1" si="3"/>
        <v>2.3993198712173873</v>
      </c>
      <c r="X21" s="1010"/>
      <c r="Y21" s="1010"/>
      <c r="Z21" s="1010"/>
      <c r="AA21" s="1010"/>
      <c r="AB21" s="1010"/>
      <c r="AC21" s="1010"/>
      <c r="AD21" s="1010"/>
      <c r="AE21" s="1010"/>
      <c r="AF21" s="1010"/>
      <c r="AG21" s="1010"/>
      <c r="AH21" s="1010"/>
      <c r="AI21" s="1010"/>
      <c r="AJ21" s="1010"/>
      <c r="AK21" s="1010"/>
      <c r="AL21" s="1010"/>
      <c r="AM21" s="1010"/>
      <c r="AN21" s="1010"/>
      <c r="AO21" s="1010"/>
      <c r="AP21" s="1010"/>
      <c r="AQ21" s="1010"/>
      <c r="AR21" s="1010"/>
      <c r="AS21" s="1010"/>
      <c r="AT21" s="1010"/>
      <c r="AU21" s="1010"/>
      <c r="AV21" s="1010"/>
      <c r="AW21" s="1010"/>
      <c r="AX21" s="1010"/>
      <c r="AY21" s="1010"/>
      <c r="AZ21" s="1010"/>
      <c r="BA21" s="1010"/>
      <c r="BB21" s="1010"/>
      <c r="BC21" s="1010"/>
      <c r="BD21" s="1010"/>
      <c r="BE21" s="1010"/>
      <c r="BF21" s="1010"/>
      <c r="BG21" s="1010"/>
      <c r="BH21" s="1010"/>
      <c r="BI21" s="1010"/>
      <c r="BJ21" s="1010"/>
      <c r="BK21" s="1010"/>
      <c r="BL21" s="1010"/>
      <c r="BM21" s="1010"/>
      <c r="BN21" s="1010"/>
      <c r="BO21" s="1010"/>
      <c r="BP21" s="1010"/>
      <c r="BQ21" s="1010"/>
      <c r="BR21" s="1010"/>
      <c r="BS21" s="1010"/>
      <c r="BT21" s="1010"/>
      <c r="BU21" s="1010"/>
    </row>
    <row r="22" spans="1:73">
      <c r="A22" s="1010"/>
      <c r="B22" s="1010"/>
      <c r="C22" s="1010"/>
      <c r="D22" s="1010"/>
      <c r="E22" s="1010"/>
      <c r="F22" s="1010"/>
      <c r="G22" s="1010"/>
      <c r="H22" s="1010"/>
      <c r="I22" s="1010"/>
      <c r="J22" s="1010"/>
      <c r="K22" s="1010"/>
      <c r="L22" s="1010"/>
      <c r="M22" s="1010"/>
      <c r="N22" s="1010"/>
      <c r="O22" s="1010"/>
      <c r="P22" s="1010"/>
      <c r="Q22" s="1010"/>
      <c r="R22" s="1010"/>
      <c r="S22" s="1010"/>
      <c r="T22" s="1010"/>
      <c r="U22" s="1010"/>
      <c r="V22" s="1015">
        <f t="shared" si="4"/>
        <v>0.39999999999999997</v>
      </c>
      <c r="W22" s="1024">
        <f t="shared" ca="1" si="3"/>
        <v>2.4041857687229218</v>
      </c>
      <c r="X22" s="1010"/>
      <c r="Y22" s="1010"/>
      <c r="Z22" s="1010"/>
      <c r="AA22" s="1010"/>
      <c r="AB22" s="1010"/>
      <c r="AC22" s="1010"/>
      <c r="AD22" s="1010"/>
      <c r="AE22" s="1010"/>
      <c r="AF22" s="1010"/>
      <c r="AG22" s="1010"/>
      <c r="AH22" s="1010"/>
      <c r="AI22" s="1010"/>
      <c r="AJ22" s="1010"/>
      <c r="AK22" s="1010"/>
      <c r="AL22" s="1010"/>
      <c r="AM22" s="1010"/>
      <c r="AN22" s="1010"/>
      <c r="AO22" s="1010"/>
      <c r="AP22" s="1010"/>
      <c r="AQ22" s="1010"/>
      <c r="AR22" s="1010"/>
      <c r="AS22" s="1010"/>
      <c r="AT22" s="1010"/>
      <c r="AU22" s="1010"/>
      <c r="AV22" s="1010"/>
      <c r="AW22" s="1010"/>
      <c r="AX22" s="1010"/>
      <c r="AY22" s="1010"/>
      <c r="AZ22" s="1010"/>
      <c r="BA22" s="1010"/>
      <c r="BB22" s="1010"/>
      <c r="BC22" s="1010"/>
      <c r="BD22" s="1010"/>
      <c r="BE22" s="1010"/>
      <c r="BF22" s="1010"/>
      <c r="BG22" s="1010"/>
      <c r="BH22" s="1010"/>
      <c r="BI22" s="1010"/>
      <c r="BJ22" s="1010"/>
      <c r="BK22" s="1010"/>
      <c r="BL22" s="1010"/>
      <c r="BM22" s="1010"/>
      <c r="BN22" s="1010"/>
      <c r="BO22" s="1010"/>
      <c r="BP22" s="1010"/>
      <c r="BQ22" s="1010"/>
      <c r="BR22" s="1010"/>
      <c r="BS22" s="1010"/>
      <c r="BT22" s="1010"/>
      <c r="BU22" s="1010"/>
    </row>
    <row r="23" spans="1:73">
      <c r="A23" s="1010"/>
      <c r="B23" s="1010"/>
      <c r="C23" s="1010"/>
      <c r="D23" s="1010"/>
      <c r="E23" s="1010"/>
      <c r="F23" s="1010"/>
      <c r="G23" s="1010"/>
      <c r="H23" s="1010"/>
      <c r="I23" s="1010"/>
      <c r="J23" s="1010"/>
      <c r="K23" s="1010"/>
      <c r="L23" s="1010"/>
      <c r="M23" s="1010"/>
      <c r="N23" s="1010"/>
      <c r="O23" s="1010"/>
      <c r="P23" s="1010"/>
      <c r="Q23" s="1010"/>
      <c r="R23" s="1010"/>
      <c r="S23" s="1010"/>
      <c r="T23" s="1010"/>
      <c r="U23" s="1010"/>
      <c r="V23" s="1015">
        <f t="shared" si="4"/>
        <v>0.44999999999999996</v>
      </c>
      <c r="W23" s="1024">
        <f t="shared" ca="1" si="3"/>
        <v>2.4077082001636914</v>
      </c>
      <c r="X23" s="1010"/>
      <c r="Y23" s="1010"/>
      <c r="Z23" s="1010"/>
      <c r="AA23" s="1010"/>
      <c r="AB23" s="1010"/>
      <c r="AC23" s="1010"/>
      <c r="AD23" s="1010"/>
      <c r="AE23" s="1010"/>
      <c r="AF23" s="1010"/>
      <c r="AG23" s="1010"/>
      <c r="AH23" s="1010"/>
      <c r="AI23" s="1010"/>
      <c r="AJ23" s="1010"/>
      <c r="AK23" s="1010"/>
      <c r="AL23" s="1010"/>
      <c r="AM23" s="1010"/>
      <c r="AN23" s="1010"/>
      <c r="AO23" s="1010"/>
      <c r="AP23" s="1010"/>
      <c r="AQ23" s="1010"/>
      <c r="AR23" s="1010"/>
      <c r="AS23" s="1010"/>
      <c r="AT23" s="1010"/>
      <c r="AU23" s="1010"/>
      <c r="AV23" s="1010"/>
      <c r="AW23" s="1010"/>
      <c r="AX23" s="1010"/>
      <c r="AY23" s="1010"/>
      <c r="AZ23" s="1010"/>
      <c r="BA23" s="1010"/>
      <c r="BB23" s="1010"/>
      <c r="BC23" s="1010"/>
      <c r="BD23" s="1010"/>
      <c r="BE23" s="1010"/>
      <c r="BF23" s="1010"/>
      <c r="BG23" s="1010"/>
      <c r="BH23" s="1010"/>
      <c r="BI23" s="1010"/>
      <c r="BJ23" s="1010"/>
      <c r="BK23" s="1010"/>
      <c r="BL23" s="1010"/>
      <c r="BM23" s="1010"/>
      <c r="BN23" s="1010"/>
      <c r="BO23" s="1010"/>
      <c r="BP23" s="1010"/>
      <c r="BQ23" s="1010"/>
      <c r="BR23" s="1010"/>
      <c r="BS23" s="1010"/>
      <c r="BT23" s="1010"/>
      <c r="BU23" s="1010"/>
    </row>
    <row r="24" spans="1:73">
      <c r="A24" s="1010"/>
      <c r="B24" s="1010"/>
      <c r="C24" s="1010"/>
      <c r="D24" s="1010"/>
      <c r="E24" s="1010"/>
      <c r="F24" s="1010"/>
      <c r="G24" s="1010"/>
      <c r="H24" s="1010"/>
      <c r="I24" s="1010"/>
      <c r="J24" s="1010"/>
      <c r="K24" s="1010"/>
      <c r="L24" s="1010"/>
      <c r="M24" s="1010"/>
      <c r="N24" s="1010"/>
      <c r="O24" s="1010"/>
      <c r="P24" s="1010"/>
      <c r="Q24" s="1010"/>
      <c r="R24" s="1010"/>
      <c r="S24" s="1010"/>
      <c r="T24" s="1010"/>
      <c r="U24" s="1010"/>
      <c r="V24" s="1355">
        <f t="shared" si="4"/>
        <v>0.49999999999999994</v>
      </c>
      <c r="W24" s="1356">
        <f t="shared" ca="1" si="3"/>
        <v>2.4117832747410337</v>
      </c>
      <c r="X24" s="1010"/>
      <c r="Y24" s="1010"/>
      <c r="Z24" s="1010"/>
      <c r="AA24" s="1010"/>
      <c r="AB24" s="1010"/>
      <c r="AC24" s="1010"/>
      <c r="AD24" s="1010"/>
      <c r="AE24" s="1010"/>
      <c r="AF24" s="1010"/>
      <c r="AG24" s="1010"/>
      <c r="AH24" s="1010"/>
      <c r="AI24" s="1010"/>
      <c r="AJ24" s="1010"/>
      <c r="AK24" s="1010"/>
      <c r="AL24" s="1010"/>
      <c r="AM24" s="1010"/>
      <c r="AN24" s="1010"/>
      <c r="AO24" s="1010"/>
      <c r="AP24" s="1010"/>
      <c r="AQ24" s="1010"/>
      <c r="AR24" s="1010"/>
      <c r="AS24" s="1010"/>
      <c r="AT24" s="1010"/>
      <c r="AU24" s="1010"/>
      <c r="AV24" s="1010"/>
      <c r="AW24" s="1010"/>
      <c r="AX24" s="1010"/>
      <c r="AY24" s="1010"/>
      <c r="AZ24" s="1010"/>
      <c r="BA24" s="1010"/>
      <c r="BB24" s="1010"/>
      <c r="BC24" s="1010"/>
      <c r="BD24" s="1010"/>
      <c r="BE24" s="1010"/>
      <c r="BF24" s="1010"/>
      <c r="BG24" s="1010"/>
      <c r="BH24" s="1010"/>
      <c r="BI24" s="1010"/>
      <c r="BJ24" s="1010"/>
      <c r="BK24" s="1010"/>
      <c r="BL24" s="1010"/>
      <c r="BM24" s="1010"/>
      <c r="BN24" s="1010"/>
      <c r="BO24" s="1010"/>
      <c r="BP24" s="1010"/>
      <c r="BQ24" s="1010"/>
      <c r="BR24" s="1010"/>
      <c r="BS24" s="1010"/>
      <c r="BT24" s="1010"/>
      <c r="BU24" s="1010"/>
    </row>
    <row r="25" spans="1:73">
      <c r="A25" s="1010"/>
      <c r="B25" s="1010"/>
      <c r="C25" s="1010"/>
      <c r="D25" s="1010"/>
      <c r="E25" s="1010"/>
      <c r="F25" s="1010"/>
      <c r="G25" s="1010"/>
      <c r="H25" s="1010"/>
      <c r="I25" s="1010"/>
      <c r="J25" s="1010"/>
      <c r="K25" s="1010"/>
      <c r="L25" s="1010"/>
      <c r="M25" s="1010"/>
      <c r="N25" s="1010"/>
      <c r="O25" s="1010"/>
      <c r="P25" s="1010"/>
      <c r="Q25" s="1010"/>
      <c r="R25" s="1010"/>
      <c r="S25" s="1010"/>
      <c r="T25" s="1010"/>
      <c r="U25" s="1010"/>
      <c r="V25" s="1015">
        <f t="shared" si="4"/>
        <v>0.54999999999999993</v>
      </c>
      <c r="W25" s="1024">
        <f t="shared" ca="1" si="3"/>
        <v>2.4171722659570345</v>
      </c>
      <c r="X25" s="1010"/>
      <c r="Y25" s="1010"/>
      <c r="Z25" s="1010"/>
      <c r="AA25" s="1010"/>
      <c r="AB25" s="1010"/>
      <c r="AC25" s="1010"/>
      <c r="AD25" s="1010"/>
      <c r="AE25" s="1010"/>
      <c r="AF25" s="1010"/>
      <c r="AG25" s="1010"/>
      <c r="AH25" s="1010"/>
      <c r="AI25" s="1010"/>
      <c r="AJ25" s="1010"/>
      <c r="AK25" s="1010"/>
      <c r="AL25" s="1010"/>
      <c r="AM25" s="1010"/>
      <c r="AN25" s="1010"/>
      <c r="AO25" s="1010"/>
      <c r="AP25" s="1010"/>
      <c r="AQ25" s="1010"/>
      <c r="AR25" s="1010"/>
      <c r="AS25" s="1010"/>
      <c r="AT25" s="1010"/>
      <c r="AU25" s="1010"/>
      <c r="AV25" s="1010"/>
      <c r="AW25" s="1010"/>
      <c r="AX25" s="1010"/>
      <c r="AY25" s="1010"/>
      <c r="AZ25" s="1010"/>
      <c r="BA25" s="1010"/>
      <c r="BB25" s="1010"/>
      <c r="BC25" s="1010"/>
      <c r="BD25" s="1010"/>
      <c r="BE25" s="1010"/>
      <c r="BF25" s="1010"/>
      <c r="BG25" s="1010"/>
      <c r="BH25" s="1010"/>
      <c r="BI25" s="1010"/>
      <c r="BJ25" s="1010"/>
      <c r="BK25" s="1010"/>
      <c r="BL25" s="1010"/>
      <c r="BM25" s="1010"/>
      <c r="BN25" s="1010"/>
      <c r="BO25" s="1010"/>
      <c r="BP25" s="1010"/>
      <c r="BQ25" s="1010"/>
      <c r="BR25" s="1010"/>
      <c r="BS25" s="1010"/>
      <c r="BT25" s="1010"/>
      <c r="BU25" s="1010"/>
    </row>
    <row r="26" spans="1:73">
      <c r="A26" s="1010"/>
      <c r="B26" s="1010"/>
      <c r="C26" s="1010"/>
      <c r="D26" s="1010"/>
      <c r="E26" s="1010"/>
      <c r="F26" s="1010"/>
      <c r="G26" s="1010"/>
      <c r="H26" s="1010"/>
      <c r="I26" s="1010"/>
      <c r="J26" s="1010"/>
      <c r="K26" s="1010"/>
      <c r="L26" s="1010"/>
      <c r="M26" s="1010"/>
      <c r="N26" s="1010"/>
      <c r="O26" s="1010"/>
      <c r="P26" s="1010"/>
      <c r="Q26" s="1010"/>
      <c r="R26" s="1010"/>
      <c r="S26" s="1010"/>
      <c r="T26" s="1010"/>
      <c r="U26" s="1010"/>
      <c r="V26" s="1015">
        <f t="shared" si="4"/>
        <v>0.6</v>
      </c>
      <c r="W26" s="1024">
        <f t="shared" ca="1" si="3"/>
        <v>2.4213094888197664</v>
      </c>
      <c r="X26" s="1010"/>
      <c r="Y26" s="1010"/>
      <c r="Z26" s="1010"/>
      <c r="AA26" s="1010"/>
      <c r="AB26" s="1010"/>
      <c r="AC26" s="1010"/>
      <c r="AD26" s="1010"/>
      <c r="AE26" s="1010"/>
      <c r="AF26" s="1010"/>
      <c r="AG26" s="1010"/>
      <c r="AH26" s="1010"/>
      <c r="AI26" s="1010"/>
      <c r="AJ26" s="1010"/>
      <c r="AK26" s="1010"/>
      <c r="AL26" s="1010"/>
      <c r="AM26" s="1010"/>
      <c r="AN26" s="1010"/>
      <c r="AO26" s="1010"/>
      <c r="AP26" s="1010"/>
      <c r="AQ26" s="1010"/>
      <c r="AR26" s="1010"/>
      <c r="AS26" s="1010"/>
      <c r="AT26" s="1010"/>
      <c r="AU26" s="1010"/>
      <c r="AV26" s="1010"/>
      <c r="AW26" s="1010"/>
      <c r="AX26" s="1010"/>
      <c r="AY26" s="1010"/>
      <c r="AZ26" s="1010"/>
      <c r="BA26" s="1010"/>
      <c r="BB26" s="1010"/>
      <c r="BC26" s="1010"/>
      <c r="BD26" s="1010"/>
      <c r="BE26" s="1010"/>
      <c r="BF26" s="1010"/>
      <c r="BG26" s="1010"/>
      <c r="BH26" s="1010"/>
      <c r="BI26" s="1010"/>
      <c r="BJ26" s="1010"/>
      <c r="BK26" s="1010"/>
      <c r="BL26" s="1010"/>
      <c r="BM26" s="1010"/>
      <c r="BN26" s="1010"/>
      <c r="BO26" s="1010"/>
      <c r="BP26" s="1010"/>
      <c r="BQ26" s="1010"/>
      <c r="BR26" s="1010"/>
      <c r="BS26" s="1010"/>
      <c r="BT26" s="1010"/>
      <c r="BU26" s="1010"/>
    </row>
    <row r="27" spans="1:73">
      <c r="A27" s="1010"/>
      <c r="B27" s="1010"/>
      <c r="C27" s="1010"/>
      <c r="D27" s="1010"/>
      <c r="E27" s="1010"/>
      <c r="F27" s="1010"/>
      <c r="G27" s="1010"/>
      <c r="H27" s="1010"/>
      <c r="I27" s="1010"/>
      <c r="J27" s="1010"/>
      <c r="K27" s="1010"/>
      <c r="L27" s="1010"/>
      <c r="M27" s="1010"/>
      <c r="N27" s="1010"/>
      <c r="O27" s="1010"/>
      <c r="P27" s="1010"/>
      <c r="Q27" s="1010"/>
      <c r="R27" s="1010"/>
      <c r="S27" s="1010"/>
      <c r="T27" s="1010"/>
      <c r="U27" s="1010"/>
      <c r="V27" s="1015">
        <f t="shared" si="4"/>
        <v>0.65</v>
      </c>
      <c r="W27" s="1024">
        <f t="shared" ca="1" si="3"/>
        <v>2.4261079444800044</v>
      </c>
      <c r="X27" s="1010"/>
      <c r="Y27" s="1010"/>
      <c r="Z27" s="1010"/>
      <c r="AA27" s="1010"/>
      <c r="AB27" s="1010"/>
      <c r="AC27" s="1010"/>
      <c r="AD27" s="1010"/>
      <c r="AE27" s="1010"/>
      <c r="AF27" s="1010"/>
      <c r="AG27" s="1010"/>
      <c r="AH27" s="1010"/>
      <c r="AI27" s="1010"/>
      <c r="AJ27" s="1010"/>
      <c r="AK27" s="1010"/>
      <c r="AL27" s="1010"/>
      <c r="AM27" s="1010"/>
      <c r="AN27" s="1010"/>
      <c r="AO27" s="1010"/>
      <c r="AP27" s="1010"/>
      <c r="AQ27" s="1010"/>
      <c r="AR27" s="1010"/>
      <c r="AS27" s="1010"/>
      <c r="AT27" s="1010"/>
      <c r="AU27" s="1010"/>
      <c r="AV27" s="1010"/>
      <c r="AW27" s="1010"/>
      <c r="AX27" s="1010"/>
      <c r="AY27" s="1010"/>
      <c r="AZ27" s="1010"/>
      <c r="BA27" s="1010"/>
      <c r="BB27" s="1010"/>
      <c r="BC27" s="1010"/>
      <c r="BD27" s="1010"/>
      <c r="BE27" s="1010"/>
      <c r="BF27" s="1010"/>
      <c r="BG27" s="1010"/>
      <c r="BH27" s="1010"/>
      <c r="BI27" s="1010"/>
      <c r="BJ27" s="1010"/>
      <c r="BK27" s="1010"/>
      <c r="BL27" s="1010"/>
      <c r="BM27" s="1010"/>
      <c r="BN27" s="1010"/>
      <c r="BO27" s="1010"/>
      <c r="BP27" s="1010"/>
      <c r="BQ27" s="1010"/>
      <c r="BR27" s="1010"/>
      <c r="BS27" s="1010"/>
      <c r="BT27" s="1010"/>
      <c r="BU27" s="1010"/>
    </row>
    <row r="28" spans="1:73">
      <c r="A28" s="1010"/>
      <c r="B28" s="1010"/>
      <c r="C28" s="1010"/>
      <c r="D28" s="1010"/>
      <c r="E28" s="1010"/>
      <c r="F28" s="1010"/>
      <c r="G28" s="1010"/>
      <c r="H28" s="1010"/>
      <c r="I28" s="1010"/>
      <c r="J28" s="1010"/>
      <c r="K28" s="1010"/>
      <c r="L28" s="1010"/>
      <c r="M28" s="1010"/>
      <c r="N28" s="1010"/>
      <c r="O28" s="1010"/>
      <c r="P28" s="1010"/>
      <c r="Q28" s="1010"/>
      <c r="R28" s="1010"/>
      <c r="S28" s="1010"/>
      <c r="T28" s="1010"/>
      <c r="U28" s="1010"/>
      <c r="V28" s="1015">
        <f t="shared" si="4"/>
        <v>0.70000000000000007</v>
      </c>
      <c r="W28" s="1024">
        <f t="shared" ca="1" si="3"/>
        <v>2.4310501002916531</v>
      </c>
      <c r="X28" s="1010"/>
      <c r="Y28" s="1010"/>
      <c r="Z28" s="1010"/>
      <c r="AA28" s="1010"/>
      <c r="AB28" s="1010"/>
      <c r="AC28" s="1010"/>
      <c r="AD28" s="1010"/>
      <c r="AE28" s="1010"/>
      <c r="AF28" s="1010"/>
      <c r="AG28" s="1010"/>
      <c r="AH28" s="1010"/>
      <c r="AI28" s="1010"/>
      <c r="AJ28" s="1010"/>
      <c r="AK28" s="1010"/>
      <c r="AL28" s="1010"/>
      <c r="AM28" s="1010"/>
      <c r="AN28" s="1010"/>
      <c r="AO28" s="1010"/>
      <c r="AP28" s="1010"/>
      <c r="AQ28" s="1010"/>
      <c r="AR28" s="1010"/>
      <c r="AS28" s="1010"/>
      <c r="AT28" s="1010"/>
      <c r="AU28" s="1010"/>
      <c r="AV28" s="1010"/>
      <c r="AW28" s="1010"/>
      <c r="AX28" s="1010"/>
      <c r="AY28" s="1010"/>
      <c r="AZ28" s="1010"/>
      <c r="BA28" s="1010"/>
      <c r="BB28" s="1010"/>
      <c r="BC28" s="1010"/>
      <c r="BD28" s="1010"/>
      <c r="BE28" s="1010"/>
      <c r="BF28" s="1010"/>
      <c r="BG28" s="1010"/>
      <c r="BH28" s="1010"/>
      <c r="BI28" s="1010"/>
      <c r="BJ28" s="1010"/>
      <c r="BK28" s="1010"/>
      <c r="BL28" s="1010"/>
      <c r="BM28" s="1010"/>
      <c r="BN28" s="1010"/>
      <c r="BO28" s="1010"/>
      <c r="BP28" s="1010"/>
      <c r="BQ28" s="1010"/>
      <c r="BR28" s="1010"/>
      <c r="BS28" s="1010"/>
      <c r="BT28" s="1010"/>
      <c r="BU28" s="1010"/>
    </row>
    <row r="29" spans="1:73">
      <c r="A29" s="1010"/>
      <c r="B29" s="1010"/>
      <c r="C29" s="1010"/>
      <c r="D29" s="1010"/>
      <c r="E29" s="1010"/>
      <c r="F29" s="1010"/>
      <c r="G29" s="1010"/>
      <c r="H29" s="1010"/>
      <c r="I29" s="1010"/>
      <c r="J29" s="1010"/>
      <c r="K29" s="1010"/>
      <c r="L29" s="1010"/>
      <c r="M29" s="1010"/>
      <c r="N29" s="1010"/>
      <c r="O29" s="1010"/>
      <c r="P29" s="1010"/>
      <c r="Q29" s="1010"/>
      <c r="R29" s="1010"/>
      <c r="S29" s="1010"/>
      <c r="T29" s="1010"/>
      <c r="U29" s="1010"/>
      <c r="V29" s="1015">
        <f t="shared" si="4"/>
        <v>0.75000000000000011</v>
      </c>
      <c r="W29" s="1024">
        <f t="shared" ca="1" si="3"/>
        <v>2.436433927779305</v>
      </c>
      <c r="X29" s="1010"/>
      <c r="Y29" s="1010"/>
      <c r="Z29" s="1010"/>
      <c r="AA29" s="1010"/>
      <c r="AB29" s="1010"/>
      <c r="AC29" s="1010"/>
      <c r="AD29" s="1010"/>
      <c r="AE29" s="1010"/>
      <c r="AF29" s="1010"/>
      <c r="AG29" s="1010"/>
      <c r="AH29" s="1010"/>
      <c r="AI29" s="1010"/>
      <c r="AJ29" s="1010"/>
      <c r="AK29" s="1010"/>
      <c r="AL29" s="1010"/>
      <c r="AM29" s="1010"/>
      <c r="AN29" s="1010"/>
      <c r="AO29" s="1010"/>
      <c r="AP29" s="1010"/>
      <c r="AQ29" s="1010"/>
      <c r="AR29" s="1010"/>
      <c r="AS29" s="1010"/>
      <c r="AT29" s="1010"/>
      <c r="AU29" s="1010"/>
      <c r="AV29" s="1010"/>
      <c r="AW29" s="1010"/>
      <c r="AX29" s="1010"/>
      <c r="AY29" s="1010"/>
      <c r="AZ29" s="1010"/>
      <c r="BA29" s="1010"/>
      <c r="BB29" s="1010"/>
      <c r="BC29" s="1010"/>
      <c r="BD29" s="1010"/>
      <c r="BE29" s="1010"/>
      <c r="BF29" s="1010"/>
      <c r="BG29" s="1010"/>
      <c r="BH29" s="1010"/>
      <c r="BI29" s="1010"/>
      <c r="BJ29" s="1010"/>
      <c r="BK29" s="1010"/>
      <c r="BL29" s="1010"/>
      <c r="BM29" s="1010"/>
      <c r="BN29" s="1010"/>
      <c r="BO29" s="1010"/>
      <c r="BP29" s="1010"/>
      <c r="BQ29" s="1010"/>
      <c r="BR29" s="1010"/>
      <c r="BS29" s="1010"/>
      <c r="BT29" s="1010"/>
      <c r="BU29" s="1010"/>
    </row>
    <row r="30" spans="1:73">
      <c r="A30" s="1010"/>
      <c r="B30" s="1010"/>
      <c r="C30" s="1010"/>
      <c r="D30" s="1010"/>
      <c r="E30" s="1010"/>
      <c r="F30" s="1011"/>
      <c r="G30" s="1010"/>
      <c r="H30" s="1010"/>
      <c r="I30" s="1010"/>
      <c r="J30" s="1010"/>
      <c r="K30" s="1010"/>
      <c r="L30" s="1010"/>
      <c r="M30" s="1010"/>
      <c r="N30" s="1010"/>
      <c r="O30" s="1010"/>
      <c r="P30" s="1010"/>
      <c r="Q30" s="1010"/>
      <c r="R30" s="1010"/>
      <c r="S30" s="1010"/>
      <c r="T30" s="1010"/>
      <c r="U30" s="1010"/>
      <c r="V30" s="1015">
        <f t="shared" si="4"/>
        <v>0.80000000000000016</v>
      </c>
      <c r="W30" s="1024">
        <f t="shared" ca="1" si="3"/>
        <v>2.4427510530855194</v>
      </c>
      <c r="X30" s="1010"/>
      <c r="Y30" s="1010"/>
      <c r="Z30" s="1010"/>
      <c r="AA30" s="1010"/>
      <c r="AB30" s="1010"/>
      <c r="AC30" s="1010"/>
      <c r="AD30" s="1010"/>
      <c r="AE30" s="1010"/>
      <c r="AF30" s="1010"/>
      <c r="AG30" s="1010"/>
      <c r="AH30" s="1010"/>
      <c r="AI30" s="1010"/>
      <c r="AJ30" s="1010"/>
      <c r="AK30" s="1010"/>
      <c r="AL30" s="1010"/>
      <c r="AM30" s="1010"/>
      <c r="AN30" s="1010"/>
      <c r="AO30" s="1010"/>
      <c r="AP30" s="1010"/>
      <c r="AQ30" s="1010"/>
      <c r="AR30" s="1010"/>
      <c r="AS30" s="1010"/>
      <c r="AT30" s="1010"/>
      <c r="AU30" s="1010"/>
      <c r="AV30" s="1010"/>
      <c r="AW30" s="1010"/>
      <c r="AX30" s="1010"/>
      <c r="AY30" s="1010"/>
      <c r="AZ30" s="1010"/>
      <c r="BA30" s="1010"/>
      <c r="BB30" s="1010"/>
      <c r="BC30" s="1010"/>
      <c r="BD30" s="1010"/>
      <c r="BE30" s="1010"/>
      <c r="BF30" s="1010"/>
      <c r="BG30" s="1010"/>
      <c r="BH30" s="1010"/>
      <c r="BI30" s="1010"/>
      <c r="BJ30" s="1010"/>
      <c r="BK30" s="1010"/>
      <c r="BL30" s="1010"/>
      <c r="BM30" s="1010"/>
      <c r="BN30" s="1010"/>
      <c r="BO30" s="1010"/>
      <c r="BP30" s="1010"/>
      <c r="BQ30" s="1010"/>
      <c r="BR30" s="1010"/>
      <c r="BS30" s="1010"/>
      <c r="BT30" s="1010"/>
      <c r="BU30" s="1010"/>
    </row>
    <row r="31" spans="1:73">
      <c r="A31" s="1010"/>
      <c r="B31" s="1010"/>
      <c r="C31" s="1010"/>
      <c r="D31" s="1010"/>
      <c r="E31" s="1010"/>
      <c r="F31" s="1010"/>
      <c r="G31" s="1010"/>
      <c r="H31" s="1010"/>
      <c r="I31" s="1010"/>
      <c r="J31" s="1010"/>
      <c r="K31" s="1010"/>
      <c r="L31" s="1010"/>
      <c r="M31" s="1010"/>
      <c r="N31" s="1010"/>
      <c r="O31" s="1010"/>
      <c r="P31" s="1010"/>
      <c r="Q31" s="1010"/>
      <c r="R31" s="1010"/>
      <c r="S31" s="1010"/>
      <c r="T31" s="1010"/>
      <c r="U31" s="1010"/>
      <c r="V31" s="1015">
        <f t="shared" si="4"/>
        <v>0.8500000000000002</v>
      </c>
      <c r="W31" s="1024">
        <f t="shared" ca="1" si="3"/>
        <v>2.4492078587297992</v>
      </c>
      <c r="X31" s="1010"/>
      <c r="Y31" s="1010"/>
      <c r="Z31" s="1010"/>
      <c r="AA31" s="1010"/>
      <c r="AB31" s="1010"/>
      <c r="AC31" s="1010"/>
      <c r="AD31" s="1010"/>
      <c r="AE31" s="1010"/>
      <c r="AF31" s="1010"/>
      <c r="AG31" s="1010"/>
      <c r="AH31" s="1010"/>
      <c r="AI31" s="1010"/>
      <c r="AJ31" s="1010"/>
      <c r="AK31" s="1010"/>
      <c r="AL31" s="1010"/>
      <c r="AM31" s="1010"/>
      <c r="AN31" s="1010"/>
      <c r="AO31" s="1010"/>
      <c r="AP31" s="1010"/>
      <c r="AQ31" s="1010"/>
      <c r="AR31" s="1010"/>
      <c r="AS31" s="1010"/>
      <c r="AT31" s="1010"/>
      <c r="AU31" s="1010"/>
      <c r="AV31" s="1010"/>
      <c r="AW31" s="1010"/>
      <c r="AX31" s="1010"/>
      <c r="AY31" s="1010"/>
      <c r="AZ31" s="1010"/>
      <c r="BA31" s="1010"/>
      <c r="BB31" s="1010"/>
      <c r="BC31" s="1010"/>
      <c r="BD31" s="1010"/>
      <c r="BE31" s="1010"/>
      <c r="BF31" s="1010"/>
      <c r="BG31" s="1010"/>
      <c r="BH31" s="1010"/>
      <c r="BI31" s="1010"/>
      <c r="BJ31" s="1010"/>
      <c r="BK31" s="1010"/>
      <c r="BL31" s="1010"/>
      <c r="BM31" s="1010"/>
      <c r="BN31" s="1010"/>
      <c r="BO31" s="1010"/>
      <c r="BP31" s="1010"/>
      <c r="BQ31" s="1010"/>
      <c r="BR31" s="1010"/>
      <c r="BS31" s="1010"/>
      <c r="BT31" s="1010"/>
      <c r="BU31" s="1010"/>
    </row>
    <row r="32" spans="1:73">
      <c r="A32" s="1010"/>
      <c r="B32" s="1010"/>
      <c r="C32" s="1010"/>
      <c r="D32" s="1010"/>
      <c r="E32" s="1010"/>
      <c r="F32" s="1010"/>
      <c r="G32" s="1010"/>
      <c r="H32" s="1010"/>
      <c r="I32" s="1010"/>
      <c r="J32" s="1010"/>
      <c r="K32" s="1010"/>
      <c r="L32" s="1010"/>
      <c r="M32" s="1010"/>
      <c r="N32" s="1010"/>
      <c r="O32" s="1010"/>
      <c r="P32" s="1010"/>
      <c r="Q32" s="1010"/>
      <c r="R32" s="1010"/>
      <c r="S32" s="1010"/>
      <c r="T32" s="1010"/>
      <c r="U32" s="1010"/>
      <c r="V32" s="1015">
        <f t="shared" si="4"/>
        <v>0.90000000000000024</v>
      </c>
      <c r="W32" s="1024">
        <f t="shared" ca="1" si="3"/>
        <v>2.4560306705805783</v>
      </c>
      <c r="X32" s="1010"/>
      <c r="Y32" s="1010"/>
      <c r="Z32" s="1010"/>
      <c r="AA32" s="1010"/>
      <c r="AB32" s="1010"/>
      <c r="AC32" s="1010"/>
      <c r="AD32" s="1010"/>
      <c r="AE32" s="1010"/>
      <c r="AF32" s="1010"/>
      <c r="AG32" s="1010"/>
      <c r="AH32" s="1010"/>
      <c r="AI32" s="1010"/>
      <c r="AJ32" s="1010"/>
      <c r="AK32" s="1010"/>
      <c r="AL32" s="1010"/>
      <c r="AM32" s="1010"/>
      <c r="AN32" s="1010"/>
      <c r="AO32" s="1010"/>
      <c r="AP32" s="1010"/>
      <c r="AQ32" s="1010"/>
      <c r="AR32" s="1010"/>
      <c r="AS32" s="1010"/>
      <c r="AT32" s="1010"/>
      <c r="AU32" s="1010"/>
      <c r="AV32" s="1010"/>
      <c r="AW32" s="1010"/>
      <c r="AX32" s="1010"/>
      <c r="AY32" s="1010"/>
      <c r="AZ32" s="1010"/>
      <c r="BA32" s="1010"/>
      <c r="BB32" s="1010"/>
      <c r="BC32" s="1010"/>
      <c r="BD32" s="1010"/>
      <c r="BE32" s="1010"/>
      <c r="BF32" s="1010"/>
      <c r="BG32" s="1010"/>
      <c r="BH32" s="1010"/>
      <c r="BI32" s="1010"/>
      <c r="BJ32" s="1010"/>
      <c r="BK32" s="1010"/>
      <c r="BL32" s="1010"/>
      <c r="BM32" s="1010"/>
      <c r="BN32" s="1010"/>
      <c r="BO32" s="1010"/>
      <c r="BP32" s="1010"/>
      <c r="BQ32" s="1010"/>
      <c r="BR32" s="1010"/>
      <c r="BS32" s="1010"/>
      <c r="BT32" s="1010"/>
      <c r="BU32" s="1010"/>
    </row>
    <row r="33" spans="1:73">
      <c r="A33" s="1010"/>
      <c r="B33" s="1010"/>
      <c r="C33" s="1010"/>
      <c r="D33" s="1010"/>
      <c r="E33" s="1010"/>
      <c r="F33" s="1010"/>
      <c r="G33" s="1010"/>
      <c r="H33" s="1010"/>
      <c r="I33" s="1010"/>
      <c r="J33" s="1010"/>
      <c r="K33" s="1010"/>
      <c r="L33" s="1010"/>
      <c r="M33" s="1010"/>
      <c r="N33" s="1010"/>
      <c r="O33" s="1010"/>
      <c r="P33" s="1010"/>
      <c r="Q33" s="1010"/>
      <c r="R33" s="1010"/>
      <c r="S33" s="1010"/>
      <c r="T33" s="1010"/>
      <c r="U33" s="1010"/>
      <c r="V33" s="1355">
        <f t="shared" si="4"/>
        <v>0.95000000000000029</v>
      </c>
      <c r="W33" s="1356">
        <f t="shared" ca="1" si="3"/>
        <v>2.4684070061991563</v>
      </c>
      <c r="X33" s="1010"/>
      <c r="Y33" s="1010"/>
      <c r="Z33" s="1010"/>
      <c r="AA33" s="1010"/>
      <c r="AB33" s="1010"/>
      <c r="AC33" s="1010"/>
      <c r="AD33" s="1010"/>
      <c r="AE33" s="1010"/>
      <c r="AF33" s="1010"/>
      <c r="AG33" s="1010"/>
      <c r="AH33" s="1010"/>
      <c r="AI33" s="1010"/>
      <c r="AJ33" s="1010"/>
      <c r="AK33" s="1010"/>
      <c r="AL33" s="1010"/>
      <c r="AM33" s="1010"/>
      <c r="AN33" s="1010"/>
      <c r="AO33" s="1010"/>
      <c r="AP33" s="1010"/>
      <c r="AQ33" s="1010"/>
      <c r="AR33" s="1010"/>
      <c r="AS33" s="1010"/>
      <c r="AT33" s="1010"/>
      <c r="AU33" s="1010"/>
      <c r="AV33" s="1010"/>
      <c r="AW33" s="1010"/>
      <c r="AX33" s="1010"/>
      <c r="AY33" s="1010"/>
      <c r="AZ33" s="1010"/>
      <c r="BA33" s="1010"/>
      <c r="BB33" s="1010"/>
      <c r="BC33" s="1010"/>
      <c r="BD33" s="1010"/>
      <c r="BE33" s="1010"/>
      <c r="BF33" s="1010"/>
      <c r="BG33" s="1010"/>
      <c r="BH33" s="1010"/>
      <c r="BI33" s="1010"/>
      <c r="BJ33" s="1010"/>
      <c r="BK33" s="1010"/>
      <c r="BL33" s="1010"/>
      <c r="BM33" s="1010"/>
      <c r="BN33" s="1010"/>
      <c r="BO33" s="1010"/>
      <c r="BP33" s="1010"/>
      <c r="BQ33" s="1010"/>
      <c r="BR33" s="1010"/>
      <c r="BS33" s="1010"/>
      <c r="BT33" s="1010"/>
      <c r="BU33" s="1010"/>
    </row>
    <row r="34" spans="1:73">
      <c r="A34" s="1010"/>
      <c r="B34" s="1010"/>
      <c r="C34" s="1010"/>
      <c r="D34" s="1010"/>
      <c r="E34" s="1010"/>
      <c r="F34" s="1010"/>
      <c r="G34" s="1010"/>
      <c r="H34" s="1010"/>
      <c r="I34" s="1010"/>
      <c r="J34" s="1010"/>
      <c r="K34" s="1010"/>
      <c r="L34" s="1010"/>
      <c r="M34" s="1010"/>
      <c r="N34" s="1010"/>
      <c r="O34" s="1010"/>
      <c r="P34" s="1010"/>
      <c r="Q34" s="1010"/>
      <c r="R34" s="1010"/>
      <c r="S34" s="1010"/>
      <c r="T34" s="1010"/>
      <c r="U34" s="1010"/>
      <c r="V34" s="1015">
        <v>1</v>
      </c>
      <c r="W34" s="1024">
        <f ca="1">+MAX(OFFSET($B$251:$B$2250,0,$C$194))*$C$198</f>
        <v>2.5255465534862158</v>
      </c>
      <c r="X34" s="1010"/>
      <c r="Y34" s="1010"/>
      <c r="Z34" s="1010"/>
      <c r="AA34" s="1010"/>
      <c r="AB34" s="1010"/>
      <c r="AC34" s="1010"/>
      <c r="AD34" s="1010"/>
      <c r="AE34" s="1010"/>
      <c r="AF34" s="1010"/>
      <c r="AG34" s="1010"/>
      <c r="AH34" s="1010"/>
      <c r="AI34" s="1010"/>
      <c r="AJ34" s="1010"/>
      <c r="AK34" s="1010"/>
      <c r="AL34" s="1010"/>
      <c r="AM34" s="1010"/>
      <c r="AN34" s="1010"/>
      <c r="AO34" s="1010"/>
      <c r="AP34" s="1010"/>
      <c r="AQ34" s="1010"/>
      <c r="AR34" s="1010"/>
      <c r="AS34" s="1010"/>
      <c r="AT34" s="1010"/>
      <c r="AU34" s="1010"/>
      <c r="AV34" s="1010"/>
      <c r="AW34" s="1010"/>
      <c r="AX34" s="1010"/>
      <c r="AY34" s="1010"/>
      <c r="AZ34" s="1010"/>
      <c r="BA34" s="1010"/>
      <c r="BB34" s="1010"/>
      <c r="BC34" s="1010"/>
      <c r="BD34" s="1010"/>
      <c r="BE34" s="1010"/>
      <c r="BF34" s="1010"/>
      <c r="BG34" s="1010"/>
      <c r="BH34" s="1010"/>
      <c r="BI34" s="1010"/>
      <c r="BJ34" s="1010"/>
      <c r="BK34" s="1010"/>
      <c r="BL34" s="1010"/>
      <c r="BM34" s="1010"/>
      <c r="BN34" s="1010"/>
      <c r="BO34" s="1010"/>
      <c r="BP34" s="1010"/>
      <c r="BQ34" s="1010"/>
      <c r="BR34" s="1010"/>
      <c r="BS34" s="1010"/>
      <c r="BT34" s="1010"/>
      <c r="BU34" s="1010"/>
    </row>
    <row r="35" spans="1:73">
      <c r="A35" s="1010"/>
      <c r="B35" s="1010"/>
      <c r="C35" s="1010"/>
      <c r="D35" s="1010"/>
      <c r="E35" s="1010"/>
      <c r="F35" s="1010"/>
      <c r="G35" s="1010"/>
      <c r="H35" s="1010"/>
      <c r="I35" s="1010"/>
      <c r="J35" s="1010"/>
      <c r="K35" s="1010"/>
      <c r="L35" s="1010"/>
      <c r="M35" s="1142"/>
      <c r="N35" s="1010"/>
      <c r="O35" s="1010"/>
      <c r="P35" s="1010"/>
      <c r="Q35" s="1010"/>
      <c r="R35" s="1010"/>
      <c r="S35" s="1010"/>
      <c r="T35" s="1010"/>
      <c r="U35" s="1010"/>
      <c r="V35" s="1010"/>
      <c r="W35" s="1010"/>
      <c r="X35" s="1010"/>
      <c r="Y35" s="1010"/>
      <c r="Z35" s="1010"/>
      <c r="AA35" s="1010"/>
      <c r="AB35" s="1010"/>
      <c r="AC35" s="1010"/>
      <c r="AD35" s="1010"/>
      <c r="AE35" s="1010"/>
      <c r="AF35" s="1010"/>
      <c r="AG35" s="1010"/>
      <c r="AH35" s="1010"/>
      <c r="AI35" s="1010"/>
      <c r="AJ35" s="1010"/>
      <c r="AK35" s="1010"/>
      <c r="AL35" s="1010"/>
      <c r="AM35" s="1010"/>
      <c r="AN35" s="1010"/>
      <c r="AO35" s="1010"/>
      <c r="AP35" s="1010"/>
      <c r="AQ35" s="1010"/>
      <c r="AR35" s="1010"/>
      <c r="AS35" s="1010"/>
      <c r="AT35" s="1010"/>
      <c r="AU35" s="1010"/>
      <c r="AV35" s="1010"/>
      <c r="AW35" s="1010"/>
      <c r="AX35" s="1010"/>
      <c r="AY35" s="1010"/>
      <c r="AZ35" s="1010"/>
      <c r="BA35" s="1010"/>
      <c r="BB35" s="1010"/>
      <c r="BC35" s="1010"/>
      <c r="BD35" s="1010"/>
      <c r="BE35" s="1010"/>
      <c r="BF35" s="1010"/>
      <c r="BG35" s="1010"/>
      <c r="BH35" s="1010"/>
      <c r="BI35" s="1010"/>
      <c r="BJ35" s="1010"/>
      <c r="BK35" s="1010"/>
      <c r="BL35" s="1010"/>
      <c r="BM35" s="1010"/>
      <c r="BN35" s="1010"/>
      <c r="BO35" s="1010"/>
      <c r="BP35" s="1010"/>
      <c r="BQ35" s="1010"/>
      <c r="BR35" s="1010"/>
      <c r="BS35" s="1010"/>
      <c r="BT35" s="1010"/>
      <c r="BU35" s="1010"/>
    </row>
    <row r="36" spans="1:73">
      <c r="A36" s="1010"/>
      <c r="B36" s="1010"/>
      <c r="C36" s="1010"/>
      <c r="D36" s="1010"/>
      <c r="E36" s="1010"/>
      <c r="F36" s="1010"/>
      <c r="G36" s="1010"/>
      <c r="H36" s="1010"/>
      <c r="I36" s="1010"/>
      <c r="J36" s="1010"/>
      <c r="K36" s="1010"/>
      <c r="L36" s="1010"/>
      <c r="M36" s="1010"/>
      <c r="N36" s="1010"/>
      <c r="O36" s="1010"/>
      <c r="P36" s="1010"/>
      <c r="Q36" s="1010"/>
      <c r="R36" s="1010"/>
      <c r="S36" s="1010"/>
      <c r="T36" s="1010"/>
      <c r="U36" s="1010"/>
      <c r="V36" s="1010"/>
      <c r="W36" s="1010"/>
      <c r="X36" s="1010"/>
      <c r="Y36" s="1010"/>
      <c r="Z36" s="1010"/>
      <c r="AA36" s="1010"/>
      <c r="AB36" s="1010"/>
      <c r="AC36" s="1010"/>
      <c r="AD36" s="1010"/>
      <c r="AE36" s="1010"/>
      <c r="AF36" s="1010"/>
      <c r="AG36" s="1010"/>
      <c r="AH36" s="1010"/>
      <c r="AI36" s="1010"/>
      <c r="AJ36" s="1010"/>
      <c r="AK36" s="1010"/>
      <c r="AL36" s="1010"/>
      <c r="AM36" s="1010"/>
      <c r="AN36" s="1010"/>
      <c r="AO36" s="1010"/>
      <c r="AP36" s="1010"/>
      <c r="AQ36" s="1010"/>
      <c r="AR36" s="1010"/>
      <c r="AS36" s="1010"/>
      <c r="AT36" s="1010"/>
      <c r="AU36" s="1010"/>
      <c r="AV36" s="1010"/>
      <c r="AW36" s="1010"/>
      <c r="AX36" s="1010"/>
      <c r="AY36" s="1010"/>
      <c r="AZ36" s="1010"/>
      <c r="BA36" s="1010"/>
      <c r="BB36" s="1010"/>
      <c r="BC36" s="1010"/>
      <c r="BD36" s="1010"/>
      <c r="BE36" s="1010"/>
      <c r="BF36" s="1010"/>
      <c r="BG36" s="1010"/>
      <c r="BH36" s="1010"/>
      <c r="BI36" s="1010"/>
      <c r="BJ36" s="1010"/>
      <c r="BK36" s="1010"/>
      <c r="BL36" s="1010"/>
      <c r="BM36" s="1010"/>
      <c r="BN36" s="1010"/>
      <c r="BO36" s="1010"/>
      <c r="BP36" s="1010"/>
      <c r="BQ36" s="1010"/>
      <c r="BR36" s="1010"/>
      <c r="BS36" s="1010"/>
      <c r="BT36" s="1010"/>
      <c r="BU36" s="1010"/>
    </row>
    <row r="37" spans="1:73">
      <c r="A37" s="1010"/>
      <c r="B37" s="1010"/>
      <c r="C37" s="1010"/>
      <c r="D37" s="1010"/>
      <c r="E37" s="1010"/>
      <c r="F37" s="1010"/>
      <c r="G37" s="1010"/>
      <c r="H37" s="1010"/>
      <c r="I37" s="1010"/>
      <c r="J37" s="1010"/>
      <c r="K37" s="1010"/>
      <c r="L37" s="1010"/>
      <c r="M37" s="1010"/>
      <c r="N37" s="1010"/>
      <c r="O37" s="1010"/>
      <c r="P37" s="1010"/>
      <c r="Q37" s="1010"/>
      <c r="R37" s="1010"/>
      <c r="S37" s="1010"/>
      <c r="T37" s="1010"/>
      <c r="U37" s="1010"/>
      <c r="V37" s="1010"/>
      <c r="W37" s="1010"/>
      <c r="X37" s="1010"/>
      <c r="Y37" s="1010"/>
      <c r="Z37" s="1010"/>
      <c r="AA37" s="1010"/>
      <c r="AB37" s="1010"/>
      <c r="AC37" s="1010"/>
      <c r="AD37" s="1010"/>
      <c r="AE37" s="1010"/>
      <c r="AF37" s="1010"/>
      <c r="AG37" s="1010"/>
      <c r="AH37" s="1010"/>
      <c r="AI37" s="1010"/>
      <c r="AJ37" s="1010"/>
      <c r="AK37" s="1010"/>
      <c r="AL37" s="1010"/>
      <c r="AM37" s="1010"/>
      <c r="AN37" s="1010"/>
      <c r="AO37" s="1010"/>
      <c r="AP37" s="1010"/>
      <c r="AQ37" s="1010"/>
      <c r="AR37" s="1010"/>
      <c r="AS37" s="1010"/>
      <c r="AT37" s="1010"/>
      <c r="AU37" s="1010"/>
      <c r="AV37" s="1010"/>
      <c r="AW37" s="1010"/>
      <c r="AX37" s="1010"/>
      <c r="AY37" s="1010"/>
      <c r="AZ37" s="1010"/>
      <c r="BA37" s="1010"/>
      <c r="BB37" s="1010"/>
      <c r="BC37" s="1010"/>
      <c r="BD37" s="1010"/>
      <c r="BE37" s="1010"/>
      <c r="BF37" s="1010"/>
      <c r="BG37" s="1010"/>
      <c r="BH37" s="1010"/>
      <c r="BI37" s="1010"/>
      <c r="BJ37" s="1010"/>
      <c r="BK37" s="1010"/>
      <c r="BL37" s="1010"/>
      <c r="BM37" s="1010"/>
      <c r="BN37" s="1010"/>
      <c r="BO37" s="1010"/>
      <c r="BP37" s="1010"/>
      <c r="BQ37" s="1010"/>
      <c r="BR37" s="1010"/>
      <c r="BS37" s="1010"/>
      <c r="BT37" s="1010"/>
      <c r="BU37" s="1010"/>
    </row>
    <row r="38" spans="1:73">
      <c r="A38" s="1010"/>
      <c r="B38" s="1010"/>
      <c r="C38" s="1010"/>
      <c r="D38" s="1010"/>
      <c r="E38" s="1010"/>
      <c r="F38" s="1010"/>
      <c r="G38" s="1010"/>
      <c r="H38" s="1010"/>
      <c r="I38" s="1010"/>
      <c r="J38" s="1010"/>
      <c r="K38" s="1010"/>
      <c r="L38" s="1010"/>
      <c r="M38" s="1010"/>
      <c r="N38" s="1010"/>
      <c r="O38" s="1010"/>
      <c r="P38" s="1010"/>
      <c r="Q38" s="1010"/>
      <c r="R38" s="1010"/>
      <c r="S38" s="1010"/>
      <c r="T38" s="1010"/>
      <c r="U38" s="1010"/>
      <c r="V38" s="1010"/>
      <c r="W38" s="1010"/>
      <c r="X38" s="1010"/>
      <c r="Y38" s="1010"/>
      <c r="Z38" s="1010"/>
      <c r="AA38" s="1010"/>
      <c r="AB38" s="1010"/>
      <c r="AC38" s="1010"/>
      <c r="AD38" s="1010"/>
      <c r="AE38" s="1010"/>
      <c r="AF38" s="1010"/>
      <c r="AG38" s="1010"/>
      <c r="AH38" s="1010"/>
      <c r="AI38" s="1010"/>
      <c r="AJ38" s="1010"/>
      <c r="AK38" s="1010"/>
      <c r="AL38" s="1010"/>
      <c r="AM38" s="1010"/>
      <c r="AN38" s="1010"/>
      <c r="AO38" s="1010"/>
      <c r="AP38" s="1010"/>
      <c r="AQ38" s="1010"/>
      <c r="AR38" s="1010"/>
      <c r="AS38" s="1010"/>
      <c r="AT38" s="1010"/>
      <c r="AU38" s="1010"/>
      <c r="AV38" s="1010"/>
      <c r="AW38" s="1010"/>
      <c r="AX38" s="1010"/>
      <c r="AY38" s="1010"/>
      <c r="AZ38" s="1010"/>
      <c r="BA38" s="1010"/>
      <c r="BB38" s="1010"/>
      <c r="BC38" s="1010"/>
      <c r="BD38" s="1010"/>
      <c r="BE38" s="1010"/>
      <c r="BF38" s="1010"/>
      <c r="BG38" s="1010"/>
      <c r="BH38" s="1010"/>
      <c r="BI38" s="1010"/>
      <c r="BJ38" s="1010"/>
      <c r="BK38" s="1010"/>
      <c r="BL38" s="1010"/>
      <c r="BM38" s="1010"/>
      <c r="BN38" s="1010"/>
      <c r="BO38" s="1010"/>
      <c r="BP38" s="1010"/>
      <c r="BQ38" s="1010"/>
      <c r="BR38" s="1010"/>
      <c r="BS38" s="1010"/>
      <c r="BT38" s="1010"/>
      <c r="BU38" s="1010"/>
    </row>
    <row r="39" spans="1:73">
      <c r="A39" s="1010"/>
      <c r="B39" s="1010"/>
      <c r="C39" s="1010"/>
      <c r="D39" s="1010"/>
      <c r="E39" s="1010"/>
      <c r="F39" s="1010"/>
      <c r="G39" s="1010"/>
      <c r="H39" s="1010"/>
      <c r="I39" s="1010"/>
      <c r="J39" s="1010"/>
      <c r="K39" s="1010"/>
      <c r="L39" s="1010"/>
      <c r="M39" s="1010"/>
      <c r="N39" s="1010"/>
      <c r="O39" s="1010"/>
      <c r="P39" s="1010"/>
      <c r="Q39" s="1010"/>
      <c r="R39" s="1010"/>
      <c r="S39" s="1010"/>
      <c r="T39" s="1010"/>
      <c r="U39" s="1010"/>
      <c r="V39" s="1010"/>
      <c r="W39" s="1010"/>
      <c r="X39" s="1010"/>
      <c r="Y39" s="1010"/>
      <c r="Z39" s="1010"/>
      <c r="AA39" s="1010"/>
      <c r="AB39" s="1010"/>
      <c r="AC39" s="1010"/>
      <c r="AD39" s="1010"/>
      <c r="AE39" s="1010"/>
      <c r="AF39" s="1010"/>
      <c r="AG39" s="1010"/>
      <c r="AH39" s="1010"/>
      <c r="AI39" s="1010"/>
      <c r="AJ39" s="1010"/>
      <c r="AK39" s="1010"/>
      <c r="AL39" s="1010"/>
      <c r="AM39" s="1010"/>
      <c r="AN39" s="1010"/>
      <c r="AO39" s="1010"/>
      <c r="AP39" s="1010"/>
      <c r="AQ39" s="1010"/>
      <c r="AR39" s="1010"/>
      <c r="AS39" s="1010"/>
      <c r="AT39" s="1010"/>
      <c r="AU39" s="1010"/>
      <c r="AV39" s="1010"/>
      <c r="AW39" s="1010"/>
      <c r="AX39" s="1010"/>
      <c r="AY39" s="1010"/>
      <c r="AZ39" s="1010"/>
      <c r="BA39" s="1010"/>
      <c r="BB39" s="1010"/>
      <c r="BC39" s="1010"/>
      <c r="BD39" s="1010"/>
      <c r="BE39" s="1010"/>
      <c r="BF39" s="1010"/>
      <c r="BG39" s="1010"/>
      <c r="BH39" s="1010"/>
      <c r="BI39" s="1010"/>
      <c r="BJ39" s="1010"/>
      <c r="BK39" s="1010"/>
      <c r="BL39" s="1010"/>
      <c r="BM39" s="1010"/>
      <c r="BN39" s="1010"/>
      <c r="BO39" s="1010"/>
      <c r="BP39" s="1010"/>
      <c r="BQ39" s="1010"/>
      <c r="BR39" s="1010"/>
      <c r="BS39" s="1010"/>
      <c r="BT39" s="1010"/>
      <c r="BU39" s="1010"/>
    </row>
    <row r="40" spans="1:73">
      <c r="A40" s="1010"/>
      <c r="B40" s="1010"/>
      <c r="C40" s="1010"/>
      <c r="D40" s="1010"/>
      <c r="E40" s="1010"/>
      <c r="F40" s="1010"/>
      <c r="G40" s="1010"/>
      <c r="H40" s="1010"/>
      <c r="I40" s="1010"/>
      <c r="J40" s="1010"/>
      <c r="K40" s="1010"/>
      <c r="L40" s="1010"/>
      <c r="M40" s="1010"/>
      <c r="N40" s="1010"/>
      <c r="O40" s="1010"/>
      <c r="P40" s="1010"/>
      <c r="Q40" s="1010"/>
      <c r="R40" s="1010"/>
      <c r="S40" s="1010"/>
      <c r="T40" s="1010"/>
      <c r="U40" s="1010"/>
      <c r="V40" s="1010"/>
      <c r="W40" s="1010"/>
      <c r="X40" s="1010"/>
      <c r="Y40" s="1010"/>
      <c r="Z40" s="1010"/>
      <c r="AA40" s="1010"/>
      <c r="AB40" s="1010"/>
      <c r="AC40" s="1010"/>
      <c r="AD40" s="1010"/>
      <c r="AE40" s="1010"/>
      <c r="AF40" s="1010"/>
      <c r="AG40" s="1010"/>
      <c r="AH40" s="1010"/>
      <c r="AI40" s="1010"/>
      <c r="AJ40" s="1010"/>
      <c r="AK40" s="1010"/>
      <c r="AL40" s="1010"/>
      <c r="AM40" s="1010"/>
      <c r="AN40" s="1010"/>
      <c r="AO40" s="1010"/>
      <c r="AP40" s="1010"/>
      <c r="AQ40" s="1010"/>
      <c r="AR40" s="1010"/>
      <c r="AS40" s="1010"/>
      <c r="AT40" s="1010"/>
      <c r="AU40" s="1010"/>
      <c r="AV40" s="1010"/>
      <c r="AW40" s="1010"/>
      <c r="AX40" s="1010"/>
      <c r="AY40" s="1010"/>
      <c r="AZ40" s="1010"/>
      <c r="BA40" s="1010"/>
      <c r="BB40" s="1010"/>
      <c r="BC40" s="1010"/>
      <c r="BD40" s="1010"/>
      <c r="BE40" s="1010"/>
      <c r="BF40" s="1010"/>
      <c r="BG40" s="1010"/>
      <c r="BH40" s="1010"/>
      <c r="BI40" s="1010"/>
      <c r="BJ40" s="1010"/>
      <c r="BK40" s="1010"/>
      <c r="BL40" s="1010"/>
      <c r="BM40" s="1010"/>
      <c r="BN40" s="1010"/>
      <c r="BO40" s="1010"/>
      <c r="BP40" s="1010"/>
      <c r="BQ40" s="1010"/>
      <c r="BR40" s="1010"/>
      <c r="BS40" s="1010"/>
      <c r="BT40" s="1010"/>
      <c r="BU40" s="1010"/>
    </row>
    <row r="41" spans="1:73">
      <c r="A41" s="1010"/>
      <c r="B41" s="1010"/>
      <c r="C41" s="1010"/>
      <c r="D41" s="1010"/>
      <c r="E41" s="1010"/>
      <c r="F41" s="1010"/>
      <c r="G41" s="1010"/>
      <c r="H41" s="1010"/>
      <c r="I41" s="1010"/>
      <c r="J41" s="1010"/>
      <c r="K41" s="1010"/>
      <c r="L41" s="1010"/>
      <c r="M41" s="1010"/>
      <c r="N41" s="1010"/>
      <c r="O41" s="1010"/>
      <c r="P41" s="1010"/>
      <c r="Q41" s="1010"/>
      <c r="R41" s="1010"/>
      <c r="S41" s="1010"/>
      <c r="T41" s="1010"/>
      <c r="U41" s="1010"/>
      <c r="V41" s="1010"/>
      <c r="W41" s="1010"/>
      <c r="X41" s="1010"/>
      <c r="Y41" s="1010"/>
      <c r="Z41" s="1010"/>
      <c r="AA41" s="1010"/>
      <c r="AB41" s="1010"/>
      <c r="AC41" s="1010"/>
      <c r="AD41" s="1010"/>
      <c r="AE41" s="1010"/>
      <c r="AF41" s="1010"/>
      <c r="AG41" s="1010"/>
      <c r="AH41" s="1010"/>
      <c r="AI41" s="1010"/>
      <c r="AJ41" s="1010"/>
      <c r="AK41" s="1010"/>
      <c r="AL41" s="1010"/>
      <c r="AM41" s="1010"/>
      <c r="AN41" s="1010"/>
      <c r="AO41" s="1010"/>
      <c r="AP41" s="1010"/>
      <c r="AQ41" s="1010"/>
      <c r="AR41" s="1010"/>
      <c r="AS41" s="1010"/>
      <c r="AT41" s="1010"/>
      <c r="AU41" s="1010"/>
      <c r="AV41" s="1010"/>
      <c r="AW41" s="1010"/>
      <c r="AX41" s="1010"/>
      <c r="AY41" s="1010"/>
      <c r="AZ41" s="1010"/>
      <c r="BA41" s="1010"/>
      <c r="BB41" s="1010"/>
      <c r="BC41" s="1010"/>
      <c r="BD41" s="1010"/>
      <c r="BE41" s="1010"/>
      <c r="BF41" s="1010"/>
      <c r="BG41" s="1010"/>
      <c r="BH41" s="1010"/>
      <c r="BI41" s="1010"/>
      <c r="BJ41" s="1010"/>
      <c r="BK41" s="1010"/>
      <c r="BL41" s="1010"/>
      <c r="BM41" s="1010"/>
      <c r="BN41" s="1010"/>
      <c r="BO41" s="1010"/>
      <c r="BP41" s="1010"/>
      <c r="BQ41" s="1010"/>
      <c r="BR41" s="1010"/>
      <c r="BS41" s="1010"/>
      <c r="BT41" s="1010"/>
      <c r="BU41" s="1010"/>
    </row>
    <row r="42" spans="1:73">
      <c r="A42" s="1010"/>
      <c r="B42" s="1010"/>
      <c r="C42" s="1010"/>
      <c r="D42" s="1010"/>
      <c r="E42" s="1010"/>
      <c r="F42" s="1010"/>
      <c r="G42" s="1010"/>
      <c r="H42" s="1010"/>
      <c r="I42" s="1010"/>
      <c r="J42" s="1010"/>
      <c r="K42" s="1010"/>
      <c r="L42" s="1010"/>
      <c r="M42" s="1010"/>
      <c r="N42" s="1010"/>
      <c r="O42" s="1010"/>
      <c r="P42" s="1010"/>
      <c r="Q42" s="1010"/>
      <c r="R42" s="1010"/>
      <c r="S42" s="1010"/>
      <c r="T42" s="1010"/>
      <c r="U42" s="1010"/>
      <c r="V42" s="1010"/>
      <c r="W42" s="1010"/>
      <c r="X42" s="1010"/>
      <c r="Y42" s="1010"/>
      <c r="Z42" s="1010"/>
      <c r="AA42" s="1010"/>
      <c r="AB42" s="1010"/>
      <c r="AC42" s="1010"/>
      <c r="AD42" s="1010"/>
      <c r="AE42" s="1010"/>
      <c r="AF42" s="1010"/>
      <c r="AG42" s="1010"/>
      <c r="AH42" s="1010"/>
      <c r="AI42" s="1010"/>
      <c r="AJ42" s="1010"/>
      <c r="AK42" s="1010"/>
      <c r="AL42" s="1010"/>
      <c r="AM42" s="1010"/>
      <c r="AN42" s="1010"/>
      <c r="AO42" s="1010"/>
      <c r="AP42" s="1010"/>
      <c r="AQ42" s="1010"/>
      <c r="AR42" s="1010"/>
      <c r="AS42" s="1010"/>
      <c r="AT42" s="1010"/>
      <c r="AU42" s="1010"/>
      <c r="AV42" s="1010"/>
      <c r="AW42" s="1010"/>
      <c r="AX42" s="1010"/>
      <c r="AY42" s="1010"/>
      <c r="AZ42" s="1010"/>
      <c r="BA42" s="1010"/>
      <c r="BB42" s="1010"/>
      <c r="BC42" s="1010"/>
      <c r="BD42" s="1010"/>
      <c r="BE42" s="1010"/>
      <c r="BF42" s="1010"/>
      <c r="BG42" s="1010"/>
      <c r="BH42" s="1010"/>
      <c r="BI42" s="1010"/>
      <c r="BJ42" s="1010"/>
      <c r="BK42" s="1010"/>
      <c r="BL42" s="1010"/>
      <c r="BM42" s="1010"/>
      <c r="BN42" s="1010"/>
      <c r="BO42" s="1010"/>
      <c r="BP42" s="1010"/>
      <c r="BQ42" s="1010"/>
      <c r="BR42" s="1010"/>
      <c r="BS42" s="1010"/>
      <c r="BT42" s="1010"/>
      <c r="BU42" s="1010"/>
    </row>
    <row r="43" spans="1:73">
      <c r="A43" s="1010"/>
      <c r="B43" s="1010"/>
      <c r="C43" s="1010"/>
      <c r="D43" s="1010"/>
      <c r="E43" s="1010"/>
      <c r="F43" s="1010"/>
      <c r="G43" s="1010"/>
      <c r="H43" s="1010"/>
      <c r="I43" s="1010"/>
      <c r="J43" s="1010"/>
      <c r="K43" s="1010"/>
      <c r="L43" s="1010"/>
      <c r="M43" s="1010"/>
      <c r="N43" s="1010"/>
      <c r="O43" s="1010"/>
      <c r="P43" s="1010"/>
      <c r="Q43" s="1010"/>
      <c r="R43" s="1010"/>
      <c r="S43" s="1010"/>
      <c r="T43" s="1010"/>
      <c r="U43" s="1010"/>
      <c r="V43" s="1010"/>
      <c r="W43" s="1010"/>
      <c r="X43" s="1010"/>
      <c r="Y43" s="1010"/>
      <c r="Z43" s="1010"/>
      <c r="AA43" s="1010"/>
      <c r="AB43" s="1010"/>
      <c r="AC43" s="1010"/>
      <c r="AD43" s="1010"/>
      <c r="AE43" s="1010"/>
      <c r="AF43" s="1010"/>
      <c r="AG43" s="1010"/>
      <c r="AH43" s="1010"/>
      <c r="AI43" s="1010"/>
      <c r="AJ43" s="1010"/>
      <c r="AK43" s="1010"/>
      <c r="AL43" s="1010"/>
      <c r="AM43" s="1010"/>
      <c r="AN43" s="1010"/>
      <c r="AO43" s="1010"/>
      <c r="AP43" s="1010"/>
      <c r="AQ43" s="1010"/>
      <c r="AR43" s="1010"/>
      <c r="AS43" s="1010"/>
      <c r="AT43" s="1010"/>
      <c r="AU43" s="1010"/>
      <c r="AV43" s="1010"/>
      <c r="AW43" s="1010"/>
      <c r="AX43" s="1010"/>
      <c r="AY43" s="1010"/>
      <c r="AZ43" s="1010"/>
      <c r="BA43" s="1010"/>
      <c r="BB43" s="1010"/>
      <c r="BC43" s="1010"/>
      <c r="BD43" s="1010"/>
      <c r="BE43" s="1010"/>
      <c r="BF43" s="1010"/>
      <c r="BG43" s="1010"/>
      <c r="BH43" s="1010"/>
      <c r="BI43" s="1010"/>
      <c r="BJ43" s="1010"/>
      <c r="BK43" s="1010"/>
      <c r="BL43" s="1010"/>
      <c r="BM43" s="1010"/>
      <c r="BN43" s="1010"/>
      <c r="BO43" s="1010"/>
      <c r="BP43" s="1010"/>
      <c r="BQ43" s="1010"/>
      <c r="BR43" s="1010"/>
      <c r="BS43" s="1010"/>
      <c r="BT43" s="1010"/>
      <c r="BU43" s="1010"/>
    </row>
    <row r="44" spans="1:73">
      <c r="A44" s="1010"/>
      <c r="B44" s="1010"/>
      <c r="C44" s="1010"/>
      <c r="D44" s="1010"/>
      <c r="E44" s="1010"/>
      <c r="F44" s="1010"/>
      <c r="G44" s="1010"/>
      <c r="H44" s="1010"/>
      <c r="I44" s="1010"/>
      <c r="J44" s="1010"/>
      <c r="K44" s="1010"/>
      <c r="L44" s="1010"/>
      <c r="M44" s="1010"/>
      <c r="N44" s="1010"/>
      <c r="O44" s="1010"/>
      <c r="P44" s="1010"/>
      <c r="Q44" s="1010"/>
      <c r="R44" s="1010"/>
      <c r="S44" s="1010"/>
      <c r="T44" s="1010"/>
      <c r="U44" s="1010"/>
      <c r="V44" s="1010"/>
      <c r="W44" s="1010"/>
      <c r="X44" s="1010"/>
      <c r="Y44" s="1010"/>
      <c r="Z44" s="1010"/>
      <c r="AA44" s="1010"/>
      <c r="AB44" s="1010"/>
      <c r="AC44" s="1010"/>
      <c r="AD44" s="1010"/>
      <c r="AE44" s="1010"/>
      <c r="AF44" s="1010"/>
      <c r="AG44" s="1010"/>
      <c r="AH44" s="1010"/>
      <c r="AI44" s="1010"/>
      <c r="AJ44" s="1010"/>
      <c r="AK44" s="1010"/>
      <c r="AL44" s="1010"/>
      <c r="AM44" s="1010"/>
      <c r="AN44" s="1010"/>
      <c r="AO44" s="1010"/>
      <c r="AP44" s="1010"/>
      <c r="AQ44" s="1010"/>
      <c r="AR44" s="1010"/>
      <c r="AS44" s="1010"/>
      <c r="AT44" s="1010"/>
      <c r="AU44" s="1010"/>
      <c r="AV44" s="1010"/>
      <c r="AW44" s="1010"/>
      <c r="AX44" s="1010"/>
      <c r="AY44" s="1010"/>
      <c r="AZ44" s="1010"/>
      <c r="BA44" s="1010"/>
      <c r="BB44" s="1010"/>
      <c r="BC44" s="1010"/>
      <c r="BD44" s="1010"/>
      <c r="BE44" s="1010"/>
      <c r="BF44" s="1010"/>
      <c r="BG44" s="1010"/>
      <c r="BH44" s="1010"/>
      <c r="BI44" s="1010"/>
      <c r="BJ44" s="1010"/>
      <c r="BK44" s="1010"/>
      <c r="BL44" s="1010"/>
      <c r="BM44" s="1010"/>
      <c r="BN44" s="1010"/>
      <c r="BO44" s="1010"/>
      <c r="BP44" s="1010"/>
      <c r="BQ44" s="1010"/>
      <c r="BR44" s="1010"/>
      <c r="BS44" s="1010"/>
      <c r="BT44" s="1010"/>
      <c r="BU44" s="1010"/>
    </row>
    <row r="45" spans="1:73" ht="13.5" thickBot="1">
      <c r="A45" s="1010"/>
      <c r="B45" s="1105" t="s">
        <v>1316</v>
      </c>
      <c r="C45" s="1105"/>
      <c r="D45" s="1105"/>
      <c r="E45" s="1105"/>
      <c r="F45" s="1105"/>
      <c r="G45" s="1105"/>
      <c r="H45" s="1105"/>
      <c r="I45" s="1105"/>
      <c r="J45" s="1105"/>
      <c r="K45" s="1105"/>
      <c r="L45" s="1105"/>
      <c r="M45" s="1105"/>
      <c r="N45" s="1105"/>
      <c r="O45" s="1105"/>
      <c r="P45" s="1105"/>
      <c r="Q45" s="1105"/>
      <c r="R45" s="1105"/>
      <c r="S45" s="1105"/>
      <c r="T45" s="1105"/>
      <c r="U45" s="1105"/>
      <c r="V45" s="1105"/>
      <c r="W45" s="1105"/>
      <c r="X45" s="1105"/>
      <c r="Y45" s="1010"/>
      <c r="Z45" s="1010"/>
      <c r="AA45" s="1010"/>
      <c r="AB45" s="1010"/>
      <c r="AC45" s="1010"/>
      <c r="AD45" s="1010"/>
      <c r="AE45" s="1010"/>
      <c r="AF45" s="1010"/>
      <c r="AG45" s="1010"/>
      <c r="AH45" s="1010"/>
      <c r="AI45" s="1010"/>
      <c r="AJ45" s="1010"/>
      <c r="AK45" s="1010"/>
      <c r="AL45" s="1010"/>
      <c r="AM45" s="1010"/>
      <c r="AN45" s="1010"/>
      <c r="AO45" s="1010"/>
      <c r="AP45" s="1010"/>
      <c r="AQ45" s="1010"/>
      <c r="AR45" s="1010"/>
      <c r="AS45" s="1010"/>
      <c r="AT45" s="1010"/>
      <c r="AU45" s="1010"/>
      <c r="AV45" s="1010"/>
      <c r="AW45" s="1010"/>
      <c r="AX45" s="1010"/>
      <c r="AY45" s="1010"/>
      <c r="AZ45" s="1010"/>
      <c r="BA45" s="1010"/>
      <c r="BB45" s="1010"/>
      <c r="BC45" s="1010"/>
      <c r="BD45" s="1010"/>
      <c r="BE45" s="1010"/>
      <c r="BF45" s="1010"/>
      <c r="BG45" s="1010"/>
      <c r="BH45" s="1010"/>
      <c r="BI45" s="1010"/>
      <c r="BJ45" s="1010"/>
      <c r="BK45" s="1010"/>
      <c r="BL45" s="1010"/>
      <c r="BM45" s="1010"/>
      <c r="BN45" s="1010"/>
      <c r="BO45" s="1010"/>
      <c r="BP45" s="1010"/>
      <c r="BQ45" s="1010"/>
      <c r="BR45" s="1010"/>
      <c r="BS45" s="1010"/>
      <c r="BT45" s="1010"/>
      <c r="BU45" s="1010"/>
    </row>
    <row r="46" spans="1:73" ht="13.5" thickTop="1">
      <c r="A46" s="1010"/>
      <c r="B46" s="1010"/>
      <c r="C46" s="1010"/>
      <c r="D46" s="1010"/>
      <c r="E46" s="1010"/>
      <c r="F46" s="1010"/>
      <c r="G46" s="1010"/>
      <c r="H46" s="1010"/>
      <c r="I46" s="1010"/>
      <c r="J46" s="1010"/>
      <c r="K46" s="1010"/>
      <c r="L46" s="1010"/>
      <c r="M46" s="1010"/>
      <c r="N46" s="1010"/>
      <c r="O46" s="1010"/>
      <c r="P46" s="1010"/>
      <c r="Q46" s="1010"/>
      <c r="R46" s="1010"/>
      <c r="S46" s="1010"/>
      <c r="T46" s="1010"/>
      <c r="U46" s="1010"/>
      <c r="V46" s="1010"/>
      <c r="W46" s="1010"/>
      <c r="X46" s="1010"/>
      <c r="Y46" s="1010"/>
      <c r="Z46" s="1010"/>
      <c r="AA46" s="1010"/>
      <c r="AB46" s="1010"/>
      <c r="AC46" s="1010"/>
      <c r="AD46" s="1010"/>
      <c r="AE46" s="1010"/>
      <c r="AF46" s="1010"/>
      <c r="AG46" s="1010"/>
      <c r="AH46" s="1010"/>
      <c r="AI46" s="1010"/>
      <c r="AJ46" s="1010"/>
      <c r="AK46" s="1010"/>
      <c r="AL46" s="1010"/>
      <c r="AM46" s="1010"/>
      <c r="AN46" s="1010"/>
      <c r="AO46" s="1010"/>
      <c r="AP46" s="1010"/>
      <c r="AQ46" s="1010"/>
      <c r="AR46" s="1010"/>
      <c r="AS46" s="1010"/>
      <c r="AT46" s="1010"/>
      <c r="AU46" s="1010"/>
      <c r="AV46" s="1010"/>
      <c r="AW46" s="1010"/>
      <c r="AX46" s="1010"/>
      <c r="AY46" s="1010"/>
      <c r="AZ46" s="1010"/>
      <c r="BA46" s="1010"/>
      <c r="BB46" s="1010"/>
      <c r="BC46" s="1010"/>
      <c r="BD46" s="1010"/>
      <c r="BE46" s="1010"/>
      <c r="BF46" s="1010"/>
      <c r="BG46" s="1010"/>
      <c r="BH46" s="1010"/>
      <c r="BI46" s="1010"/>
      <c r="BJ46" s="1010"/>
      <c r="BK46" s="1010"/>
      <c r="BL46" s="1010"/>
      <c r="BM46" s="1010"/>
      <c r="BN46" s="1010"/>
      <c r="BO46" s="1010"/>
      <c r="BP46" s="1010"/>
      <c r="BQ46" s="1010"/>
      <c r="BR46" s="1010"/>
      <c r="BS46" s="1010"/>
      <c r="BT46" s="1010"/>
      <c r="BU46" s="1010"/>
    </row>
    <row r="47" spans="1:73">
      <c r="A47" s="1010"/>
      <c r="B47" s="1011" t="s">
        <v>1149</v>
      </c>
      <c r="C47" s="1010"/>
      <c r="D47" s="1010"/>
      <c r="E47" s="1010"/>
      <c r="F47" s="1010"/>
      <c r="G47" s="1010"/>
      <c r="H47" s="1010"/>
      <c r="I47" s="1010"/>
      <c r="J47" s="1010"/>
      <c r="K47" s="1010"/>
      <c r="L47" s="1010"/>
      <c r="M47" s="1010"/>
      <c r="N47" s="1010"/>
      <c r="O47" s="1010"/>
      <c r="P47" s="1010"/>
      <c r="Q47" s="1010"/>
      <c r="R47" s="1010"/>
      <c r="S47" s="1010"/>
      <c r="T47" s="1010"/>
      <c r="U47" s="1010"/>
      <c r="V47" s="1010"/>
      <c r="W47" s="1010"/>
      <c r="X47" s="1010"/>
      <c r="Y47" s="1010"/>
      <c r="Z47" s="1010"/>
      <c r="AA47" s="1010"/>
      <c r="AB47" s="1010"/>
      <c r="AC47" s="1010"/>
      <c r="AD47" s="1010"/>
      <c r="AE47" s="1010"/>
      <c r="AF47" s="1010"/>
      <c r="AG47" s="1010"/>
      <c r="AH47" s="1010"/>
      <c r="AI47" s="1010"/>
      <c r="AJ47" s="1010"/>
      <c r="AK47" s="1010"/>
      <c r="AL47" s="1010"/>
      <c r="AM47" s="1010"/>
      <c r="AN47" s="1010"/>
      <c r="AO47" s="1010"/>
      <c r="AP47" s="1010"/>
      <c r="AQ47" s="1010"/>
      <c r="AR47" s="1010"/>
      <c r="AS47" s="1010"/>
      <c r="AT47" s="1010"/>
      <c r="AU47" s="1010"/>
      <c r="AV47" s="1010"/>
      <c r="AW47" s="1010"/>
      <c r="AX47" s="1010"/>
      <c r="AY47" s="1010"/>
      <c r="AZ47" s="1010"/>
      <c r="BA47" s="1010"/>
      <c r="BB47" s="1010"/>
      <c r="BC47" s="1010"/>
      <c r="BD47" s="1010"/>
      <c r="BE47" s="1010"/>
      <c r="BF47" s="1010"/>
      <c r="BG47" s="1010"/>
      <c r="BH47" s="1010"/>
      <c r="BI47" s="1010"/>
      <c r="BJ47" s="1010"/>
      <c r="BK47" s="1010"/>
      <c r="BL47" s="1010"/>
      <c r="BM47" s="1010"/>
      <c r="BN47" s="1010"/>
      <c r="BO47" s="1010"/>
      <c r="BP47" s="1010"/>
      <c r="BQ47" s="1010"/>
      <c r="BR47" s="1010"/>
      <c r="BS47" s="1010"/>
      <c r="BT47" s="1010"/>
      <c r="BU47" s="1010"/>
    </row>
    <row r="48" spans="1:73">
      <c r="A48" s="1010"/>
      <c r="B48" s="1013">
        <v>1</v>
      </c>
      <c r="C48" s="1015">
        <f t="shared" ref="C48:E48" ca="1" si="5">+OFFSET(C50,$B$48,0)</f>
        <v>1</v>
      </c>
      <c r="D48" s="1015">
        <f t="shared" ca="1" si="5"/>
        <v>1</v>
      </c>
      <c r="E48" s="1015">
        <f t="shared" ca="1" si="5"/>
        <v>1</v>
      </c>
      <c r="F48" s="1015">
        <f ca="1">+OFFSET(F50,$B$48,0)</f>
        <v>1</v>
      </c>
      <c r="G48" s="1015">
        <f ca="1">+OFFSET(G50,$B$48,0)</f>
        <v>1</v>
      </c>
      <c r="H48" s="1015">
        <f ca="1">+OFFSET(H50,$B$48,0)</f>
        <v>1</v>
      </c>
      <c r="I48" s="1015">
        <f ca="1">+OFFSET(I50,$B$48,0)</f>
        <v>1</v>
      </c>
      <c r="J48" s="1010"/>
      <c r="K48" s="1026">
        <f ca="1">+'Cash Flow Analysis'!F118</f>
        <v>4.8303421688568458</v>
      </c>
      <c r="L48" s="1026">
        <f ca="1">+'Cash Flow Analysis'!Q118</f>
        <v>0</v>
      </c>
      <c r="M48" s="1026">
        <f ca="1">+'Cash Flow Analysis'!L118</f>
        <v>1.7348223459559334E-3</v>
      </c>
      <c r="N48" s="1026">
        <f ca="1">+'Cash Flow Analysis'!H117</f>
        <v>0.15031658745447091</v>
      </c>
      <c r="O48" s="1026">
        <f ca="1">+'Cash Flow Analysis'!I117</f>
        <v>7.0414649835320128E-2</v>
      </c>
      <c r="P48" s="1026">
        <f ca="1">+'Cash Flow Analysis'!J117</f>
        <v>6.0353425128152526E-2</v>
      </c>
      <c r="Q48" s="1026">
        <f ca="1">+'Cash Flow Analysis'!K117</f>
        <v>1.0903848423065672E-3</v>
      </c>
      <c r="R48" s="1026">
        <f ca="1">+'Cash Flow Analysis'!M117</f>
        <v>1.7298032027611462E-3</v>
      </c>
      <c r="S48" s="1026">
        <f ca="1">+'Cash Flow Analysis'!N117</f>
        <v>0.2446214243091962</v>
      </c>
      <c r="T48" s="1026">
        <f ca="1">+'Cash Flow Analysis'!O117</f>
        <v>0</v>
      </c>
      <c r="U48" s="1026">
        <f ca="1">+'Cash Flow Analysis'!P117</f>
        <v>0</v>
      </c>
      <c r="V48" s="1026">
        <f ca="1">+'Cash Flow Analysis'!R117</f>
        <v>4.1792908461197591</v>
      </c>
      <c r="W48" s="1026">
        <f ca="1">+'Cash Flow Analysis'!S117</f>
        <v>8.9537298367945398E-2</v>
      </c>
      <c r="X48" s="1026">
        <f ca="1">+'Cash Flow Analysis'!X117</f>
        <v>2.983401602765693E-2</v>
      </c>
      <c r="Y48" s="1026">
        <f ca="1">+'Cash Flow Analysis'!Z117</f>
        <v>4.8885559152300768E-3</v>
      </c>
      <c r="Z48" s="1010"/>
      <c r="AA48" s="1010"/>
      <c r="AB48" s="1010"/>
      <c r="AC48" s="1010"/>
      <c r="AD48" s="1010"/>
      <c r="AE48" s="1010"/>
      <c r="AF48" s="1010"/>
      <c r="AG48" s="1010"/>
      <c r="AH48" s="1010"/>
      <c r="AI48" s="1010"/>
      <c r="AJ48" s="1010"/>
      <c r="AK48" s="1010"/>
      <c r="AL48" s="1010"/>
      <c r="AM48" s="1010"/>
      <c r="AN48" s="1010"/>
      <c r="AO48" s="1010"/>
      <c r="AP48" s="1010"/>
      <c r="AQ48" s="1010"/>
      <c r="AR48" s="1010"/>
      <c r="AS48" s="1010"/>
      <c r="AT48" s="1010"/>
      <c r="AU48" s="1010"/>
      <c r="AV48" s="1010"/>
      <c r="AW48" s="1010"/>
      <c r="AX48" s="1010"/>
      <c r="AY48" s="1010"/>
      <c r="AZ48" s="1010"/>
      <c r="BA48" s="1010"/>
      <c r="BB48" s="1010"/>
      <c r="BC48" s="1010"/>
      <c r="BD48" s="1010"/>
      <c r="BE48" s="1010"/>
      <c r="BF48" s="1010"/>
      <c r="BG48" s="1010"/>
      <c r="BH48" s="1010"/>
      <c r="BI48" s="1010"/>
      <c r="BJ48" s="1010"/>
      <c r="BK48" s="1010"/>
      <c r="BL48" s="1010"/>
      <c r="BM48" s="1010"/>
      <c r="BN48" s="1010"/>
      <c r="BO48" s="1010"/>
      <c r="BP48" s="1010"/>
      <c r="BQ48" s="1010"/>
      <c r="BR48" s="1010"/>
      <c r="BS48" s="1010"/>
      <c r="BT48" s="1010"/>
      <c r="BU48" s="1010"/>
    </row>
    <row r="49" spans="1:73">
      <c r="A49" s="1010"/>
      <c r="B49" s="1012"/>
      <c r="C49" s="1012"/>
      <c r="D49" s="1012"/>
      <c r="E49" s="1012"/>
      <c r="F49" s="1012"/>
      <c r="G49" s="1012"/>
      <c r="H49" s="1012"/>
      <c r="I49" s="1012"/>
      <c r="J49" s="1012"/>
      <c r="K49" s="1012"/>
      <c r="L49" s="1012"/>
      <c r="M49" s="1012"/>
      <c r="N49" s="1010"/>
      <c r="O49" s="1010"/>
      <c r="P49" s="1010"/>
      <c r="Q49" s="1010"/>
      <c r="R49" s="1010"/>
      <c r="S49" s="1010"/>
      <c r="T49" s="1010"/>
      <c r="U49" s="1010"/>
      <c r="V49" s="1010"/>
      <c r="W49" s="1010"/>
      <c r="X49" s="1010"/>
      <c r="Y49" s="1010"/>
      <c r="Z49" s="1010"/>
      <c r="AA49" s="1010"/>
      <c r="AB49" s="1010"/>
      <c r="AC49" s="1010"/>
      <c r="AD49" s="1010"/>
      <c r="AE49" s="1010"/>
      <c r="AF49" s="1010"/>
      <c r="AG49" s="1010"/>
      <c r="AH49" s="1010"/>
      <c r="AI49" s="1010"/>
      <c r="AJ49" s="1010"/>
      <c r="AK49" s="1010"/>
      <c r="AL49" s="1010"/>
      <c r="AM49" s="1010"/>
      <c r="AN49" s="1010"/>
      <c r="AO49" s="1010"/>
      <c r="AP49" s="1010"/>
      <c r="AQ49" s="1010"/>
      <c r="AR49" s="1010"/>
      <c r="AS49" s="1010"/>
      <c r="AT49" s="1010"/>
      <c r="AU49" s="1010"/>
      <c r="AV49" s="1010"/>
      <c r="AW49" s="1010"/>
      <c r="AX49" s="1010"/>
      <c r="AY49" s="1010"/>
      <c r="AZ49" s="1010"/>
      <c r="BA49" s="1010"/>
      <c r="BB49" s="1010"/>
      <c r="BC49" s="1010"/>
      <c r="BD49" s="1010"/>
      <c r="BE49" s="1010"/>
      <c r="BF49" s="1010"/>
      <c r="BG49" s="1010"/>
      <c r="BH49" s="1010"/>
      <c r="BI49" s="1010"/>
      <c r="BJ49" s="1010"/>
      <c r="BK49" s="1010"/>
      <c r="BL49" s="1010"/>
      <c r="BM49" s="1010"/>
      <c r="BN49" s="1010"/>
      <c r="BO49" s="1010"/>
      <c r="BP49" s="1010"/>
      <c r="BQ49" s="1010"/>
      <c r="BR49" s="1010"/>
      <c r="BS49" s="1010"/>
      <c r="BT49" s="1010"/>
      <c r="BU49" s="1010"/>
    </row>
    <row r="50" spans="1:73" ht="51">
      <c r="A50" s="1010"/>
      <c r="B50" s="1021" t="s">
        <v>1133</v>
      </c>
      <c r="C50" s="1021" t="s">
        <v>1317</v>
      </c>
      <c r="D50" s="1021" t="s">
        <v>1318</v>
      </c>
      <c r="E50" s="1021" t="s">
        <v>1319</v>
      </c>
      <c r="F50" s="1021" t="s">
        <v>1320</v>
      </c>
      <c r="G50" s="1021" t="s">
        <v>1321</v>
      </c>
      <c r="H50" s="1021" t="s">
        <v>1337</v>
      </c>
      <c r="I50" s="1021" t="s">
        <v>1336</v>
      </c>
      <c r="J50" s="1010"/>
      <c r="K50" s="1021" t="s">
        <v>1338</v>
      </c>
      <c r="L50" s="1021" t="s">
        <v>1322</v>
      </c>
      <c r="M50" s="1021" t="s">
        <v>1323</v>
      </c>
      <c r="N50" s="1021" t="s">
        <v>1324</v>
      </c>
      <c r="O50" s="1021" t="s">
        <v>1325</v>
      </c>
      <c r="P50" s="1021" t="s">
        <v>1326</v>
      </c>
      <c r="Q50" s="1021" t="s">
        <v>1327</v>
      </c>
      <c r="R50" s="1021" t="s">
        <v>1328</v>
      </c>
      <c r="S50" s="1021" t="s">
        <v>1329</v>
      </c>
      <c r="T50" s="1021" t="s">
        <v>1330</v>
      </c>
      <c r="U50" s="1021" t="s">
        <v>1331</v>
      </c>
      <c r="V50" s="1021" t="s">
        <v>1332</v>
      </c>
      <c r="W50" s="1021" t="s">
        <v>1333</v>
      </c>
      <c r="X50" s="1021" t="s">
        <v>1334</v>
      </c>
      <c r="Y50" s="1021" t="s">
        <v>1335</v>
      </c>
      <c r="Z50" s="1010"/>
      <c r="AA50" s="1010"/>
      <c r="AB50" s="1010"/>
      <c r="AC50" s="1010"/>
      <c r="AD50" s="1010"/>
      <c r="AE50" s="1010"/>
      <c r="AF50" s="1010"/>
      <c r="AG50" s="1010"/>
      <c r="AH50" s="1010"/>
      <c r="AI50" s="1010"/>
      <c r="AJ50" s="1010"/>
      <c r="AK50" s="1010"/>
      <c r="AL50" s="1010"/>
      <c r="AM50" s="1010"/>
      <c r="AN50" s="1010"/>
      <c r="AO50" s="1010"/>
      <c r="AP50" s="1010"/>
      <c r="AQ50" s="1010"/>
      <c r="AR50" s="1010"/>
      <c r="AS50" s="1010"/>
      <c r="AT50" s="1010"/>
      <c r="AU50" s="1010"/>
      <c r="AV50" s="1010"/>
      <c r="AW50" s="1010"/>
      <c r="AX50" s="1010"/>
      <c r="AY50" s="1010"/>
      <c r="AZ50" s="1010"/>
      <c r="BA50" s="1010"/>
      <c r="BB50" s="1010"/>
      <c r="BC50" s="1010"/>
      <c r="BD50" s="1010"/>
      <c r="BE50" s="1010"/>
      <c r="BF50" s="1010"/>
      <c r="BG50" s="1010"/>
      <c r="BH50" s="1010"/>
      <c r="BI50" s="1010"/>
      <c r="BJ50" s="1010"/>
      <c r="BK50" s="1010"/>
      <c r="BL50" s="1010"/>
      <c r="BM50" s="1010"/>
      <c r="BN50" s="1010"/>
      <c r="BO50" s="1010"/>
      <c r="BP50" s="1010"/>
      <c r="BQ50" s="1010"/>
      <c r="BR50" s="1010"/>
      <c r="BS50" s="1010"/>
      <c r="BT50" s="1010"/>
      <c r="BU50" s="1010"/>
    </row>
    <row r="51" spans="1:73">
      <c r="A51" s="1010"/>
      <c r="B51" s="1022">
        <v>1</v>
      </c>
      <c r="C51" s="1015">
        <v>1</v>
      </c>
      <c r="D51" s="1015">
        <v>1</v>
      </c>
      <c r="E51" s="1015">
        <v>1</v>
      </c>
      <c r="F51" s="1015">
        <v>1</v>
      </c>
      <c r="G51" s="1015">
        <v>1</v>
      </c>
      <c r="H51" s="1015">
        <v>1</v>
      </c>
      <c r="I51" s="1015">
        <v>1</v>
      </c>
      <c r="J51" s="1010"/>
      <c r="K51" s="1027">
        <v>2.4111382454761561</v>
      </c>
      <c r="L51" s="1028">
        <v>0</v>
      </c>
      <c r="M51" s="1028">
        <v>1.6418275002923967E-3</v>
      </c>
      <c r="N51" s="1028">
        <v>0.14942045524399045</v>
      </c>
      <c r="O51" s="1028">
        <v>2.0985595575770056E-2</v>
      </c>
      <c r="P51" s="1028">
        <v>2.8489350007646817E-2</v>
      </c>
      <c r="Q51" s="1028">
        <v>5.4915061535724839E-3</v>
      </c>
      <c r="R51" s="1028">
        <v>1.6201557621688327E-3</v>
      </c>
      <c r="S51" s="1028">
        <v>0.25862031433665061</v>
      </c>
      <c r="T51" s="1028">
        <v>1.3716385995415594</v>
      </c>
      <c r="U51" s="1028">
        <v>0.21197338494250778</v>
      </c>
      <c r="V51" s="1028">
        <v>0.24553111712834094</v>
      </c>
      <c r="W51" s="1028">
        <v>9.8159081625125419E-2</v>
      </c>
      <c r="X51" s="1028">
        <v>1.6440982758693726E-2</v>
      </c>
      <c r="Y51" s="1028">
        <v>4.4095299004201019E-3</v>
      </c>
      <c r="Z51" s="1141"/>
      <c r="AA51" s="1010"/>
      <c r="AB51" s="1010"/>
      <c r="AC51" s="1010"/>
      <c r="AD51" s="1010"/>
      <c r="AE51" s="1010"/>
      <c r="AF51" s="1010"/>
      <c r="AG51" s="1010"/>
      <c r="AH51" s="1010"/>
      <c r="AI51" s="1010"/>
      <c r="AJ51" s="1010"/>
      <c r="AK51" s="1010"/>
      <c r="AL51" s="1010"/>
      <c r="AM51" s="1010"/>
      <c r="AN51" s="1010"/>
      <c r="AO51" s="1010"/>
      <c r="AP51" s="1010"/>
      <c r="AQ51" s="1010"/>
      <c r="AR51" s="1010"/>
      <c r="AS51" s="1010"/>
      <c r="AT51" s="1010"/>
      <c r="AU51" s="1010"/>
      <c r="AV51" s="1010"/>
      <c r="AW51" s="1010"/>
      <c r="AX51" s="1010"/>
      <c r="AY51" s="1010"/>
      <c r="AZ51" s="1010"/>
      <c r="BA51" s="1010"/>
      <c r="BB51" s="1010"/>
      <c r="BC51" s="1010"/>
      <c r="BD51" s="1010"/>
      <c r="BE51" s="1010"/>
      <c r="BF51" s="1010"/>
      <c r="BG51" s="1010"/>
      <c r="BH51" s="1010"/>
      <c r="BI51" s="1010"/>
      <c r="BJ51" s="1010"/>
      <c r="BK51" s="1010"/>
      <c r="BL51" s="1010"/>
      <c r="BM51" s="1010"/>
      <c r="BN51" s="1010"/>
      <c r="BO51" s="1010"/>
      <c r="BP51" s="1010"/>
      <c r="BQ51" s="1010"/>
      <c r="BR51" s="1010"/>
      <c r="BS51" s="1010"/>
      <c r="BT51" s="1010"/>
      <c r="BU51" s="1010"/>
    </row>
    <row r="52" spans="1:73">
      <c r="A52" s="1010"/>
      <c r="B52" s="1029">
        <f>+B51+1</f>
        <v>2</v>
      </c>
      <c r="C52" s="1030">
        <f>+F3</f>
        <v>1.05</v>
      </c>
      <c r="D52" s="1030">
        <v>1</v>
      </c>
      <c r="E52" s="1030">
        <v>1</v>
      </c>
      <c r="F52" s="1030">
        <v>1</v>
      </c>
      <c r="G52" s="1030">
        <v>1</v>
      </c>
      <c r="H52" s="1030">
        <v>1</v>
      </c>
      <c r="I52" s="1030">
        <v>1</v>
      </c>
      <c r="J52" s="1010"/>
      <c r="K52" s="1027">
        <v>2.3717195249913128</v>
      </c>
      <c r="L52" s="1028">
        <v>0</v>
      </c>
      <c r="M52" s="1028">
        <v>1.563645238373711E-3</v>
      </c>
      <c r="N52" s="1028">
        <v>0.14230519547046708</v>
      </c>
      <c r="O52" s="1028">
        <v>1.998628150073338E-2</v>
      </c>
      <c r="P52" s="1028">
        <v>2.8142974902194199E-2</v>
      </c>
      <c r="Q52" s="1028">
        <v>5.2300058605452221E-3</v>
      </c>
      <c r="R52" s="1028">
        <v>1.5430054877798405E-3</v>
      </c>
      <c r="S52" s="1028">
        <v>0.24630506127300053</v>
      </c>
      <c r="T52" s="1028">
        <v>1.3716385995415585</v>
      </c>
      <c r="U52" s="1028">
        <v>0.20187941423095973</v>
      </c>
      <c r="V52" s="1028">
        <v>0.24255998469951776</v>
      </c>
      <c r="W52" s="1028">
        <v>9.3484839642976575E-2</v>
      </c>
      <c r="X52" s="1028">
        <v>1.6008255333838126E-2</v>
      </c>
      <c r="Y52" s="1028">
        <v>4.1995522861143818E-3</v>
      </c>
      <c r="Z52" s="1141"/>
      <c r="AA52" s="1010"/>
      <c r="AB52" s="1010"/>
      <c r="AC52" s="1010"/>
      <c r="AD52" s="1010"/>
      <c r="AE52" s="1010"/>
      <c r="AF52" s="1010"/>
      <c r="AG52" s="1010"/>
      <c r="AH52" s="1010"/>
      <c r="AI52" s="1010"/>
      <c r="AJ52" s="1010"/>
      <c r="AK52" s="1010"/>
      <c r="AL52" s="1010"/>
      <c r="AM52" s="1010"/>
      <c r="AN52" s="1010"/>
      <c r="AO52" s="1010"/>
      <c r="AP52" s="1010"/>
      <c r="AQ52" s="1010"/>
      <c r="AR52" s="1010"/>
      <c r="AS52" s="1010"/>
      <c r="AT52" s="1010"/>
      <c r="AU52" s="1010"/>
      <c r="AV52" s="1010"/>
      <c r="AW52" s="1010"/>
      <c r="AX52" s="1010"/>
      <c r="AY52" s="1010"/>
      <c r="AZ52" s="1010"/>
      <c r="BA52" s="1010"/>
      <c r="BB52" s="1010"/>
      <c r="BC52" s="1010"/>
      <c r="BD52" s="1010"/>
      <c r="BE52" s="1010"/>
      <c r="BF52" s="1010"/>
      <c r="BG52" s="1010"/>
      <c r="BH52" s="1010"/>
      <c r="BI52" s="1010"/>
      <c r="BJ52" s="1010"/>
      <c r="BK52" s="1010"/>
      <c r="BL52" s="1010"/>
      <c r="BM52" s="1010"/>
      <c r="BN52" s="1010"/>
      <c r="BO52" s="1010"/>
      <c r="BP52" s="1010"/>
      <c r="BQ52" s="1010"/>
      <c r="BR52" s="1010"/>
      <c r="BS52" s="1010"/>
      <c r="BT52" s="1010"/>
      <c r="BU52" s="1010"/>
    </row>
    <row r="53" spans="1:73">
      <c r="A53" s="1010"/>
      <c r="B53" s="1029">
        <f t="shared" ref="B53:B70" si="6">+B52+1</f>
        <v>3</v>
      </c>
      <c r="C53" s="1030">
        <f>+G3</f>
        <v>0.95</v>
      </c>
      <c r="D53" s="1030">
        <v>1</v>
      </c>
      <c r="E53" s="1030">
        <v>1</v>
      </c>
      <c r="F53" s="1030">
        <v>1</v>
      </c>
      <c r="G53" s="1030">
        <v>1</v>
      </c>
      <c r="H53" s="1030">
        <v>1</v>
      </c>
      <c r="I53" s="1030">
        <v>1</v>
      </c>
      <c r="J53" s="1010"/>
      <c r="K53" s="1027">
        <v>2.4547063049594002</v>
      </c>
      <c r="L53" s="1028">
        <v>0</v>
      </c>
      <c r="M53" s="1028">
        <v>1.7282394739919966E-3</v>
      </c>
      <c r="N53" s="1028">
        <v>0.15728468973051624</v>
      </c>
      <c r="O53" s="1028">
        <v>2.2090100606073741E-2</v>
      </c>
      <c r="P53" s="1028">
        <v>2.8872185650515511E-2</v>
      </c>
      <c r="Q53" s="1028">
        <v>5.7805327932341942E-3</v>
      </c>
      <c r="R53" s="1028">
        <v>1.7054271180724553E-3</v>
      </c>
      <c r="S53" s="1028">
        <v>0.27223190982805323</v>
      </c>
      <c r="T53" s="1028">
        <v>1.3716385995415592</v>
      </c>
      <c r="U53" s="1028">
        <v>0.22312987888685026</v>
      </c>
      <c r="V53" s="1028">
        <v>0.2488150003391455</v>
      </c>
      <c r="W53" s="1028">
        <v>0.10332534907907938</v>
      </c>
      <c r="X53" s="1028">
        <v>1.691926043879716E-2</v>
      </c>
      <c r="Y53" s="1028">
        <v>4.6416104214948434E-3</v>
      </c>
      <c r="Z53" s="1141"/>
      <c r="AA53" s="1010"/>
      <c r="AB53" s="1010"/>
      <c r="AC53" s="1010"/>
      <c r="AD53" s="1010"/>
      <c r="AE53" s="1010"/>
      <c r="AF53" s="1010"/>
      <c r="AG53" s="1010"/>
      <c r="AH53" s="1010"/>
      <c r="AI53" s="1010"/>
      <c r="AJ53" s="1010"/>
      <c r="AK53" s="1010"/>
      <c r="AL53" s="1010"/>
      <c r="AM53" s="1010"/>
      <c r="AN53" s="1010"/>
      <c r="AO53" s="1010"/>
      <c r="AP53" s="1010"/>
      <c r="AQ53" s="1010"/>
      <c r="AR53" s="1010"/>
      <c r="AS53" s="1010"/>
      <c r="AT53" s="1010"/>
      <c r="AU53" s="1010"/>
      <c r="AV53" s="1010"/>
      <c r="AW53" s="1010"/>
      <c r="AX53" s="1010"/>
      <c r="AY53" s="1010"/>
      <c r="AZ53" s="1010"/>
      <c r="BA53" s="1010"/>
      <c r="BB53" s="1010"/>
      <c r="BC53" s="1010"/>
      <c r="BD53" s="1010"/>
      <c r="BE53" s="1010"/>
      <c r="BF53" s="1010"/>
      <c r="BG53" s="1010"/>
      <c r="BH53" s="1010"/>
      <c r="BI53" s="1010"/>
      <c r="BJ53" s="1010"/>
      <c r="BK53" s="1010"/>
      <c r="BL53" s="1010"/>
      <c r="BM53" s="1010"/>
      <c r="BN53" s="1010"/>
      <c r="BO53" s="1010"/>
      <c r="BP53" s="1010"/>
      <c r="BQ53" s="1010"/>
      <c r="BR53" s="1010"/>
      <c r="BS53" s="1010"/>
      <c r="BT53" s="1010"/>
      <c r="BU53" s="1010"/>
    </row>
    <row r="54" spans="1:73">
      <c r="A54" s="1010"/>
      <c r="B54" s="1022">
        <f t="shared" si="6"/>
        <v>4</v>
      </c>
      <c r="C54" s="1015">
        <v>1</v>
      </c>
      <c r="D54" s="1015">
        <f>+F4</f>
        <v>1.05</v>
      </c>
      <c r="E54" s="1015">
        <v>1</v>
      </c>
      <c r="F54" s="1015">
        <v>1</v>
      </c>
      <c r="G54" s="1015">
        <v>1</v>
      </c>
      <c r="H54" s="1015">
        <v>1</v>
      </c>
      <c r="I54" s="1015">
        <v>1</v>
      </c>
      <c r="J54" s="1010"/>
      <c r="K54" s="1027">
        <v>2.4017774627996471</v>
      </c>
      <c r="L54" s="1028">
        <v>0</v>
      </c>
      <c r="M54" s="1028">
        <v>1.6242986372420952E-3</v>
      </c>
      <c r="N54" s="1028">
        <v>0.147825177605859</v>
      </c>
      <c r="O54" s="1028">
        <v>2.0761544248324784E-2</v>
      </c>
      <c r="P54" s="1028">
        <v>2.8404680173223534E-2</v>
      </c>
      <c r="Q54" s="1028">
        <v>5.4328764502152701E-3</v>
      </c>
      <c r="R54" s="1028">
        <v>1.6028582760016462E-3</v>
      </c>
      <c r="S54" s="1028">
        <v>0.25241644557762755</v>
      </c>
      <c r="T54" s="1028">
        <v>1.3716385995415585</v>
      </c>
      <c r="U54" s="1028">
        <v>0.2119733849425077</v>
      </c>
      <c r="V54" s="1028">
        <v>0.24553111712834089</v>
      </c>
      <c r="W54" s="1028">
        <v>9.7111092662433673E-2</v>
      </c>
      <c r="X54" s="1028">
        <v>1.6341532985607313E-2</v>
      </c>
      <c r="Y54" s="1028">
        <v>4.3624518451878024E-3</v>
      </c>
      <c r="Z54" s="1141"/>
      <c r="AA54" s="1010"/>
      <c r="AB54" s="1010"/>
      <c r="AC54" s="1010"/>
      <c r="AD54" s="1010"/>
      <c r="AE54" s="1010"/>
      <c r="AF54" s="1010"/>
      <c r="AG54" s="1010"/>
      <c r="AH54" s="1010"/>
      <c r="AI54" s="1010"/>
      <c r="AJ54" s="1010"/>
      <c r="AK54" s="1010"/>
      <c r="AL54" s="1010"/>
      <c r="AM54" s="1010"/>
      <c r="AN54" s="1010"/>
      <c r="AO54" s="1010"/>
      <c r="AP54" s="1010"/>
      <c r="AQ54" s="1010"/>
      <c r="AR54" s="1010"/>
      <c r="AS54" s="1010"/>
      <c r="AT54" s="1010"/>
      <c r="AU54" s="1010"/>
      <c r="AV54" s="1010"/>
      <c r="AW54" s="1010"/>
      <c r="AX54" s="1010"/>
      <c r="AY54" s="1010"/>
      <c r="AZ54" s="1010"/>
      <c r="BA54" s="1010"/>
      <c r="BB54" s="1010"/>
      <c r="BC54" s="1010"/>
      <c r="BD54" s="1010"/>
      <c r="BE54" s="1010"/>
      <c r="BF54" s="1010"/>
      <c r="BG54" s="1010"/>
      <c r="BH54" s="1010"/>
      <c r="BI54" s="1010"/>
      <c r="BJ54" s="1010"/>
      <c r="BK54" s="1010"/>
      <c r="BL54" s="1010"/>
      <c r="BM54" s="1010"/>
      <c r="BN54" s="1010"/>
      <c r="BO54" s="1010"/>
      <c r="BP54" s="1010"/>
      <c r="BQ54" s="1010"/>
      <c r="BR54" s="1010"/>
      <c r="BS54" s="1010"/>
      <c r="BT54" s="1010"/>
      <c r="BU54" s="1010"/>
    </row>
    <row r="55" spans="1:73">
      <c r="A55" s="1010"/>
      <c r="B55" s="1022">
        <f t="shared" si="6"/>
        <v>5</v>
      </c>
      <c r="C55" s="1015">
        <v>1</v>
      </c>
      <c r="D55" s="1015">
        <f>+G4</f>
        <v>0.95</v>
      </c>
      <c r="E55" s="1015">
        <v>1</v>
      </c>
      <c r="F55" s="1015">
        <v>1</v>
      </c>
      <c r="G55" s="1015">
        <v>1</v>
      </c>
      <c r="H55" s="1015">
        <v>1</v>
      </c>
      <c r="I55" s="1015">
        <v>1</v>
      </c>
      <c r="J55" s="1010"/>
      <c r="K55" s="1027">
        <v>2.4212711951023391</v>
      </c>
      <c r="L55" s="1028">
        <v>0</v>
      </c>
      <c r="M55" s="1028">
        <v>1.6604596732696653E-3</v>
      </c>
      <c r="N55" s="1028">
        <v>0.1511161435961178</v>
      </c>
      <c r="O55" s="1028">
        <v>2.122374924704741E-2</v>
      </c>
      <c r="P55" s="1028">
        <v>2.8581801345220675E-2</v>
      </c>
      <c r="Q55" s="1028">
        <v>5.5538261552418875E-3</v>
      </c>
      <c r="R55" s="1028">
        <v>1.6385419948305904E-3</v>
      </c>
      <c r="S55" s="1028">
        <v>0.26539434394012101</v>
      </c>
      <c r="T55" s="1028">
        <v>1.3716385995415592</v>
      </c>
      <c r="U55" s="1028">
        <v>0.21197338494250781</v>
      </c>
      <c r="V55" s="1028">
        <v>0.24553111712834097</v>
      </c>
      <c r="W55" s="1028">
        <v>9.9273033601081154E-2</v>
      </c>
      <c r="X55" s="1028">
        <v>1.6547542118833171E-2</v>
      </c>
      <c r="Y55" s="1028">
        <v>4.4595711647054384E-3</v>
      </c>
      <c r="Z55" s="1141"/>
      <c r="AA55" s="1010"/>
      <c r="AB55" s="1010"/>
      <c r="AC55" s="1010"/>
      <c r="AD55" s="1010"/>
      <c r="AE55" s="1010"/>
      <c r="AF55" s="1010"/>
      <c r="AG55" s="1010"/>
      <c r="AH55" s="1010"/>
      <c r="AI55" s="1010"/>
      <c r="AJ55" s="1010"/>
      <c r="AK55" s="1010"/>
      <c r="AL55" s="1010"/>
      <c r="AM55" s="1010"/>
      <c r="AN55" s="1010"/>
      <c r="AO55" s="1010"/>
      <c r="AP55" s="1010"/>
      <c r="AQ55" s="1010"/>
      <c r="AR55" s="1010"/>
      <c r="AS55" s="1010"/>
      <c r="AT55" s="1010"/>
      <c r="AU55" s="1010"/>
      <c r="AV55" s="1010"/>
      <c r="AW55" s="1010"/>
      <c r="AX55" s="1010"/>
      <c r="AY55" s="1010"/>
      <c r="AZ55" s="1010"/>
      <c r="BA55" s="1010"/>
      <c r="BB55" s="1010"/>
      <c r="BC55" s="1010"/>
      <c r="BD55" s="1010"/>
      <c r="BE55" s="1010"/>
      <c r="BF55" s="1010"/>
      <c r="BG55" s="1010"/>
      <c r="BH55" s="1010"/>
      <c r="BI55" s="1010"/>
      <c r="BJ55" s="1010"/>
      <c r="BK55" s="1010"/>
      <c r="BL55" s="1010"/>
      <c r="BM55" s="1010"/>
      <c r="BN55" s="1010"/>
      <c r="BO55" s="1010"/>
      <c r="BP55" s="1010"/>
      <c r="BQ55" s="1010"/>
      <c r="BR55" s="1010"/>
      <c r="BS55" s="1010"/>
      <c r="BT55" s="1010"/>
      <c r="BU55" s="1010"/>
    </row>
    <row r="56" spans="1:73">
      <c r="A56" s="1010"/>
      <c r="B56" s="1029">
        <f t="shared" si="6"/>
        <v>6</v>
      </c>
      <c r="C56" s="1030">
        <v>1</v>
      </c>
      <c r="D56" s="1030">
        <v>1</v>
      </c>
      <c r="E56" s="1030">
        <f>+F5</f>
        <v>0.95</v>
      </c>
      <c r="F56" s="1030">
        <v>1</v>
      </c>
      <c r="G56" s="1030">
        <v>1</v>
      </c>
      <c r="H56" s="1030">
        <v>1</v>
      </c>
      <c r="I56" s="1030">
        <v>1</v>
      </c>
      <c r="J56" s="1010"/>
      <c r="K56" s="1027">
        <v>2.3981518107823239</v>
      </c>
      <c r="L56" s="1028">
        <v>0</v>
      </c>
      <c r="M56" s="1028">
        <v>1.8205055488574227E-3</v>
      </c>
      <c r="N56" s="1028">
        <v>0.14241276366491534</v>
      </c>
      <c r="O56" s="1028">
        <v>2.0952547202839879E-2</v>
      </c>
      <c r="P56" s="1028">
        <v>2.7404339406443594E-2</v>
      </c>
      <c r="Q56" s="1028">
        <v>5.2104306666281358E-3</v>
      </c>
      <c r="R56" s="1028">
        <v>1.7964753023788451E-3</v>
      </c>
      <c r="S56" s="1028">
        <v>0.25821303589822564</v>
      </c>
      <c r="T56" s="1028">
        <v>1.370562847202597</v>
      </c>
      <c r="U56" s="1028">
        <v>0.2118031716072182</v>
      </c>
      <c r="V56" s="1028">
        <v>0.24571493542281861</v>
      </c>
      <c r="W56" s="1028">
        <v>9.643493075003963E-2</v>
      </c>
      <c r="X56" s="1028">
        <v>1.4577425641924701E-2</v>
      </c>
      <c r="Y56" s="1028">
        <v>4.8894135651509464E-3</v>
      </c>
      <c r="Z56" s="1141"/>
      <c r="AA56" s="1010"/>
      <c r="AB56" s="1010"/>
      <c r="AC56" s="1010"/>
      <c r="AD56" s="1010"/>
      <c r="AE56" s="1010"/>
      <c r="AF56" s="1010"/>
      <c r="AG56" s="1010"/>
      <c r="AH56" s="1010"/>
      <c r="AI56" s="1010"/>
      <c r="AJ56" s="1010"/>
      <c r="AK56" s="1010"/>
      <c r="AL56" s="1010"/>
      <c r="AM56" s="1010"/>
      <c r="AN56" s="1010"/>
      <c r="AO56" s="1010"/>
      <c r="AP56" s="1010"/>
      <c r="AQ56" s="1010"/>
      <c r="AR56" s="1010"/>
      <c r="AS56" s="1010"/>
      <c r="AT56" s="1010"/>
      <c r="AU56" s="1010"/>
      <c r="AV56" s="1010"/>
      <c r="AW56" s="1010"/>
      <c r="AX56" s="1010"/>
      <c r="AY56" s="1010"/>
      <c r="AZ56" s="1010"/>
      <c r="BA56" s="1010"/>
      <c r="BB56" s="1010"/>
      <c r="BC56" s="1010"/>
      <c r="BD56" s="1010"/>
      <c r="BE56" s="1010"/>
      <c r="BF56" s="1010"/>
      <c r="BG56" s="1010"/>
      <c r="BH56" s="1010"/>
      <c r="BI56" s="1010"/>
      <c r="BJ56" s="1010"/>
      <c r="BK56" s="1010"/>
      <c r="BL56" s="1010"/>
      <c r="BM56" s="1010"/>
      <c r="BN56" s="1010"/>
      <c r="BO56" s="1010"/>
      <c r="BP56" s="1010"/>
      <c r="BQ56" s="1010"/>
      <c r="BR56" s="1010"/>
      <c r="BS56" s="1010"/>
      <c r="BT56" s="1010"/>
      <c r="BU56" s="1010"/>
    </row>
    <row r="57" spans="1:73">
      <c r="A57" s="1010"/>
      <c r="B57" s="1029">
        <f t="shared" si="6"/>
        <v>7</v>
      </c>
      <c r="C57" s="1030">
        <v>1</v>
      </c>
      <c r="D57" s="1030">
        <v>1</v>
      </c>
      <c r="E57" s="1030">
        <f>+G5</f>
        <v>1.05</v>
      </c>
      <c r="F57" s="1030">
        <v>1</v>
      </c>
      <c r="G57" s="1030">
        <v>1</v>
      </c>
      <c r="H57" s="1030">
        <v>1</v>
      </c>
      <c r="I57" s="1030">
        <v>1</v>
      </c>
      <c r="J57" s="1010"/>
      <c r="K57" s="1027">
        <v>2.4244248794700054</v>
      </c>
      <c r="L57" s="1028">
        <v>0</v>
      </c>
      <c r="M57" s="1028">
        <v>1.4794948863293543E-3</v>
      </c>
      <c r="N57" s="1028">
        <v>0.15655995420919266</v>
      </c>
      <c r="O57" s="1028">
        <v>2.1018904071997496E-2</v>
      </c>
      <c r="P57" s="1028">
        <v>2.9568156104698755E-2</v>
      </c>
      <c r="Q57" s="1028">
        <v>5.7797564634626767E-3</v>
      </c>
      <c r="R57" s="1028">
        <v>1.4599659006557851E-3</v>
      </c>
      <c r="S57" s="1028">
        <v>0.25903079845816712</v>
      </c>
      <c r="T57" s="1028">
        <v>1.3727252497452316</v>
      </c>
      <c r="U57" s="1028">
        <v>0.21214493802466211</v>
      </c>
      <c r="V57" s="1028">
        <v>0.24535660127597192</v>
      </c>
      <c r="W57" s="1028">
        <v>9.9895435720664921E-2</v>
      </c>
      <c r="X57" s="1028">
        <v>1.8391068477671794E-2</v>
      </c>
      <c r="Y57" s="1028">
        <v>3.9735459039552425E-3</v>
      </c>
      <c r="Z57" s="1141"/>
      <c r="AA57" s="1010"/>
      <c r="AB57" s="1010"/>
      <c r="AC57" s="1010"/>
      <c r="AD57" s="1010"/>
      <c r="AE57" s="1010"/>
      <c r="AF57" s="1010"/>
      <c r="AG57" s="1010"/>
      <c r="AH57" s="1010"/>
      <c r="AI57" s="1010"/>
      <c r="AJ57" s="1010"/>
      <c r="AK57" s="1010"/>
      <c r="AL57" s="1010"/>
      <c r="AM57" s="1010"/>
      <c r="AN57" s="1010"/>
      <c r="AO57" s="1010"/>
      <c r="AP57" s="1010"/>
      <c r="AQ57" s="1010"/>
      <c r="AR57" s="1010"/>
      <c r="AS57" s="1010"/>
      <c r="AT57" s="1010"/>
      <c r="AU57" s="1010"/>
      <c r="AV57" s="1010"/>
      <c r="AW57" s="1010"/>
      <c r="AX57" s="1010"/>
      <c r="AY57" s="1010"/>
      <c r="AZ57" s="1010"/>
      <c r="BA57" s="1010"/>
      <c r="BB57" s="1010"/>
      <c r="BC57" s="1010"/>
      <c r="BD57" s="1010"/>
      <c r="BE57" s="1010"/>
      <c r="BF57" s="1010"/>
      <c r="BG57" s="1010"/>
      <c r="BH57" s="1010"/>
      <c r="BI57" s="1010"/>
      <c r="BJ57" s="1010"/>
      <c r="BK57" s="1010"/>
      <c r="BL57" s="1010"/>
      <c r="BM57" s="1010"/>
      <c r="BN57" s="1010"/>
      <c r="BO57" s="1010"/>
      <c r="BP57" s="1010"/>
      <c r="BQ57" s="1010"/>
      <c r="BR57" s="1010"/>
      <c r="BS57" s="1010"/>
      <c r="BT57" s="1010"/>
      <c r="BU57" s="1010"/>
    </row>
    <row r="58" spans="1:73">
      <c r="A58" s="1010"/>
      <c r="B58" s="1022">
        <f t="shared" si="6"/>
        <v>8</v>
      </c>
      <c r="C58" s="1015">
        <v>1</v>
      </c>
      <c r="D58" s="1015">
        <v>1</v>
      </c>
      <c r="E58" s="1015">
        <v>1</v>
      </c>
      <c r="F58" s="1015">
        <f>+F6</f>
        <v>0.95</v>
      </c>
      <c r="G58" s="1015">
        <v>1</v>
      </c>
      <c r="H58" s="1015">
        <v>1</v>
      </c>
      <c r="I58" s="1015">
        <v>1</v>
      </c>
      <c r="J58" s="1010"/>
      <c r="K58" s="1027">
        <v>2.3412960583840761</v>
      </c>
      <c r="L58" s="1028">
        <v>0</v>
      </c>
      <c r="M58" s="1028">
        <v>1.6418275002923967E-3</v>
      </c>
      <c r="N58" s="1028">
        <v>0.14942045524399045</v>
      </c>
      <c r="O58" s="1028">
        <v>2.0985595575770056E-2</v>
      </c>
      <c r="P58" s="1028">
        <v>2.7553483074046994E-2</v>
      </c>
      <c r="Q58" s="1028">
        <v>5.4915061535724839E-3</v>
      </c>
      <c r="R58" s="1028">
        <v>1.6201557621688327E-3</v>
      </c>
      <c r="S58" s="1028">
        <v>0.25862031433665061</v>
      </c>
      <c r="T58" s="1028">
        <v>1.303056669564481</v>
      </c>
      <c r="U58" s="1028">
        <v>0.21197338494250778</v>
      </c>
      <c r="V58" s="1028">
        <v>0.24553111712834094</v>
      </c>
      <c r="W58" s="1028">
        <v>9.8159081625125419E-2</v>
      </c>
      <c r="X58" s="1028">
        <v>1.6116592577292373E-2</v>
      </c>
      <c r="Y58" s="1028">
        <v>4.4095299004201019E-3</v>
      </c>
      <c r="Z58" s="1141"/>
      <c r="AA58" s="1010"/>
      <c r="AB58" s="1010"/>
      <c r="AC58" s="1010"/>
      <c r="AD58" s="1010"/>
      <c r="AE58" s="1010"/>
      <c r="AF58" s="1010"/>
      <c r="AG58" s="1010"/>
      <c r="AH58" s="1010"/>
      <c r="AI58" s="1010"/>
      <c r="AJ58" s="1010"/>
      <c r="AK58" s="1010"/>
      <c r="AL58" s="1010"/>
      <c r="AM58" s="1010"/>
      <c r="AN58" s="1010"/>
      <c r="AO58" s="1010"/>
      <c r="AP58" s="1010"/>
      <c r="AQ58" s="1010"/>
      <c r="AR58" s="1010"/>
      <c r="AS58" s="1010"/>
      <c r="AT58" s="1010"/>
      <c r="AU58" s="1010"/>
      <c r="AV58" s="1010"/>
      <c r="AW58" s="1010"/>
      <c r="AX58" s="1010"/>
      <c r="AY58" s="1010"/>
      <c r="AZ58" s="1010"/>
      <c r="BA58" s="1010"/>
      <c r="BB58" s="1010"/>
      <c r="BC58" s="1010"/>
      <c r="BD58" s="1010"/>
      <c r="BE58" s="1010"/>
      <c r="BF58" s="1010"/>
      <c r="BG58" s="1010"/>
      <c r="BH58" s="1010"/>
      <c r="BI58" s="1010"/>
      <c r="BJ58" s="1010"/>
      <c r="BK58" s="1010"/>
      <c r="BL58" s="1010"/>
      <c r="BM58" s="1010"/>
      <c r="BN58" s="1010"/>
      <c r="BO58" s="1010"/>
      <c r="BP58" s="1010"/>
      <c r="BQ58" s="1010"/>
      <c r="BR58" s="1010"/>
      <c r="BS58" s="1010"/>
      <c r="BT58" s="1010"/>
      <c r="BU58" s="1010"/>
    </row>
    <row r="59" spans="1:73">
      <c r="A59" s="1010"/>
      <c r="B59" s="1022">
        <f t="shared" si="6"/>
        <v>9</v>
      </c>
      <c r="C59" s="1015">
        <v>1</v>
      </c>
      <c r="D59" s="1015">
        <v>1</v>
      </c>
      <c r="E59" s="1015">
        <v>1</v>
      </c>
      <c r="F59" s="1015">
        <f>+G6</f>
        <v>1.05</v>
      </c>
      <c r="G59" s="1015">
        <v>1</v>
      </c>
      <c r="H59" s="1015">
        <v>1</v>
      </c>
      <c r="I59" s="1015">
        <v>1</v>
      </c>
      <c r="J59" s="1010"/>
      <c r="K59" s="1027">
        <v>2.4809804325682334</v>
      </c>
      <c r="L59" s="1028">
        <v>0</v>
      </c>
      <c r="M59" s="1028">
        <v>1.6418275002923967E-3</v>
      </c>
      <c r="N59" s="1028">
        <v>0.14942045524399045</v>
      </c>
      <c r="O59" s="1028">
        <v>2.0985595575770056E-2</v>
      </c>
      <c r="P59" s="1028">
        <v>2.9425216941246661E-2</v>
      </c>
      <c r="Q59" s="1028">
        <v>5.4915061535724839E-3</v>
      </c>
      <c r="R59" s="1028">
        <v>1.6201557621688327E-3</v>
      </c>
      <c r="S59" s="1028">
        <v>0.25862031433665061</v>
      </c>
      <c r="T59" s="1028">
        <v>1.4402205295186363</v>
      </c>
      <c r="U59" s="1028">
        <v>0.21197338494250778</v>
      </c>
      <c r="V59" s="1028">
        <v>0.24553111712834094</v>
      </c>
      <c r="W59" s="1028">
        <v>9.8159081625125419E-2</v>
      </c>
      <c r="X59" s="1028">
        <v>1.6765372940094808E-2</v>
      </c>
      <c r="Y59" s="1028">
        <v>4.4095299004201019E-3</v>
      </c>
      <c r="Z59" s="1141"/>
      <c r="AA59" s="1010"/>
      <c r="AB59" s="1010"/>
      <c r="AC59" s="1010"/>
      <c r="AD59" s="1010"/>
      <c r="AE59" s="1010"/>
      <c r="AF59" s="1010"/>
      <c r="AG59" s="1010"/>
      <c r="AH59" s="1010"/>
      <c r="AI59" s="1010"/>
      <c r="AJ59" s="1010"/>
      <c r="AK59" s="1010"/>
      <c r="AL59" s="1010"/>
      <c r="AM59" s="1010"/>
      <c r="AN59" s="1010"/>
      <c r="AO59" s="1010"/>
      <c r="AP59" s="1010"/>
      <c r="AQ59" s="1010"/>
      <c r="AR59" s="1010"/>
      <c r="AS59" s="1010"/>
      <c r="AT59" s="1010"/>
      <c r="AU59" s="1010"/>
      <c r="AV59" s="1010"/>
      <c r="AW59" s="1010"/>
      <c r="AX59" s="1010"/>
      <c r="AY59" s="1010"/>
      <c r="AZ59" s="1010"/>
      <c r="BA59" s="1010"/>
      <c r="BB59" s="1010"/>
      <c r="BC59" s="1010"/>
      <c r="BD59" s="1010"/>
      <c r="BE59" s="1010"/>
      <c r="BF59" s="1010"/>
      <c r="BG59" s="1010"/>
      <c r="BH59" s="1010"/>
      <c r="BI59" s="1010"/>
      <c r="BJ59" s="1010"/>
      <c r="BK59" s="1010"/>
      <c r="BL59" s="1010"/>
      <c r="BM59" s="1010"/>
      <c r="BN59" s="1010"/>
      <c r="BO59" s="1010"/>
      <c r="BP59" s="1010"/>
      <c r="BQ59" s="1010"/>
      <c r="BR59" s="1010"/>
      <c r="BS59" s="1010"/>
      <c r="BT59" s="1010"/>
      <c r="BU59" s="1010"/>
    </row>
    <row r="60" spans="1:73">
      <c r="A60" s="1010"/>
      <c r="B60" s="1029">
        <f t="shared" si="6"/>
        <v>10</v>
      </c>
      <c r="C60" s="1030">
        <v>1</v>
      </c>
      <c r="D60" s="1030">
        <v>1</v>
      </c>
      <c r="E60" s="1030">
        <v>1</v>
      </c>
      <c r="F60" s="1030">
        <v>1</v>
      </c>
      <c r="G60" s="1030">
        <f>+F7</f>
        <v>0.95</v>
      </c>
      <c r="H60" s="1030">
        <v>1</v>
      </c>
      <c r="I60" s="1030">
        <v>1</v>
      </c>
      <c r="J60" s="1010"/>
      <c r="K60" s="1027">
        <v>2.4024428512494405</v>
      </c>
      <c r="L60" s="1028">
        <v>0</v>
      </c>
      <c r="M60" s="1028">
        <v>1.6418275002923967E-3</v>
      </c>
      <c r="N60" s="1028">
        <v>0.14942045524399045</v>
      </c>
      <c r="O60" s="1028">
        <v>2.0985595575770056E-2</v>
      </c>
      <c r="P60" s="1028">
        <v>2.8372881315156803E-2</v>
      </c>
      <c r="Q60" s="1028">
        <v>5.4915061535724839E-3</v>
      </c>
      <c r="R60" s="1028">
        <v>1.6201557621688327E-3</v>
      </c>
      <c r="S60" s="1028">
        <v>0.25862031433665061</v>
      </c>
      <c r="T60" s="1028">
        <v>1.3716385995415594</v>
      </c>
      <c r="U60" s="1028">
        <v>0.21197338494250778</v>
      </c>
      <c r="V60" s="1028">
        <v>0.23699256197042473</v>
      </c>
      <c r="W60" s="1028">
        <v>9.8159081625125419E-2</v>
      </c>
      <c r="X60" s="1028">
        <v>1.6400612382384893E-2</v>
      </c>
      <c r="Y60" s="1028">
        <v>4.4095299004201019E-3</v>
      </c>
      <c r="Z60" s="1141"/>
      <c r="AA60" s="1010"/>
      <c r="AB60" s="1010"/>
      <c r="AC60" s="1010"/>
      <c r="AD60" s="1010"/>
      <c r="AE60" s="1010"/>
      <c r="AF60" s="1010"/>
      <c r="AG60" s="1010"/>
      <c r="AH60" s="1010"/>
      <c r="AI60" s="1010"/>
      <c r="AJ60" s="1010"/>
      <c r="AK60" s="1010"/>
      <c r="AL60" s="1010"/>
      <c r="AM60" s="1010"/>
      <c r="AN60" s="1010"/>
      <c r="AO60" s="1010"/>
      <c r="AP60" s="1010"/>
      <c r="AQ60" s="1010"/>
      <c r="AR60" s="1010"/>
      <c r="AS60" s="1010"/>
      <c r="AT60" s="1010"/>
      <c r="AU60" s="1010"/>
      <c r="AV60" s="1010"/>
      <c r="AW60" s="1010"/>
      <c r="AX60" s="1010"/>
      <c r="AY60" s="1010"/>
      <c r="AZ60" s="1010"/>
      <c r="BA60" s="1010"/>
      <c r="BB60" s="1010"/>
      <c r="BC60" s="1010"/>
      <c r="BD60" s="1010"/>
      <c r="BE60" s="1010"/>
      <c r="BF60" s="1010"/>
      <c r="BG60" s="1010"/>
      <c r="BH60" s="1010"/>
      <c r="BI60" s="1010"/>
      <c r="BJ60" s="1010"/>
      <c r="BK60" s="1010"/>
      <c r="BL60" s="1010"/>
      <c r="BM60" s="1010"/>
      <c r="BN60" s="1010"/>
      <c r="BO60" s="1010"/>
      <c r="BP60" s="1010"/>
      <c r="BQ60" s="1010"/>
      <c r="BR60" s="1010"/>
      <c r="BS60" s="1010"/>
      <c r="BT60" s="1010"/>
      <c r="BU60" s="1010"/>
    </row>
    <row r="61" spans="1:73">
      <c r="A61" s="1010"/>
      <c r="B61" s="1029">
        <f t="shared" si="6"/>
        <v>11</v>
      </c>
      <c r="C61" s="1030">
        <v>1</v>
      </c>
      <c r="D61" s="1030">
        <v>1</v>
      </c>
      <c r="E61" s="1030">
        <v>1</v>
      </c>
      <c r="F61" s="1030">
        <v>1</v>
      </c>
      <c r="G61" s="1030">
        <f>+G6</f>
        <v>1.05</v>
      </c>
      <c r="H61" s="1030">
        <v>1</v>
      </c>
      <c r="I61" s="1030">
        <v>1</v>
      </c>
      <c r="J61" s="1010"/>
      <c r="K61" s="1027">
        <v>2.4198336397028712</v>
      </c>
      <c r="L61" s="1028">
        <v>0</v>
      </c>
      <c r="M61" s="1028">
        <v>1.6418275002923967E-3</v>
      </c>
      <c r="N61" s="1028">
        <v>0.14942045524399045</v>
      </c>
      <c r="O61" s="1028">
        <v>2.0985595575770056E-2</v>
      </c>
      <c r="P61" s="1028">
        <v>2.8605818700136856E-2</v>
      </c>
      <c r="Q61" s="1028">
        <v>5.4915061535724839E-3</v>
      </c>
      <c r="R61" s="1028">
        <v>1.6201557621688327E-3</v>
      </c>
      <c r="S61" s="1028">
        <v>0.25862031433665061</v>
      </c>
      <c r="T61" s="1028">
        <v>1.3716385995415594</v>
      </c>
      <c r="U61" s="1028">
        <v>0.21197338494250778</v>
      </c>
      <c r="V61" s="1028">
        <v>0.2540696722862571</v>
      </c>
      <c r="W61" s="1028">
        <v>9.8159081625125419E-2</v>
      </c>
      <c r="X61" s="1028">
        <v>1.6481353135002614E-2</v>
      </c>
      <c r="Y61" s="1028">
        <v>4.4095299004201019E-3</v>
      </c>
      <c r="Z61" s="1141"/>
      <c r="AA61" s="1010"/>
      <c r="AB61" s="1010"/>
      <c r="AC61" s="1010"/>
      <c r="AD61" s="1010"/>
      <c r="AE61" s="1010"/>
      <c r="AF61" s="1010"/>
      <c r="AG61" s="1010"/>
      <c r="AH61" s="1010"/>
      <c r="AI61" s="1010"/>
      <c r="AJ61" s="1010"/>
      <c r="AK61" s="1010"/>
      <c r="AL61" s="1010"/>
      <c r="AM61" s="1010"/>
      <c r="AN61" s="1010"/>
      <c r="AO61" s="1010"/>
      <c r="AP61" s="1010"/>
      <c r="AQ61" s="1010"/>
      <c r="AR61" s="1010"/>
      <c r="AS61" s="1010"/>
      <c r="AT61" s="1010"/>
      <c r="AU61" s="1010"/>
      <c r="AV61" s="1010"/>
      <c r="AW61" s="1010"/>
      <c r="AX61" s="1010"/>
      <c r="AY61" s="1010"/>
      <c r="AZ61" s="1010"/>
      <c r="BA61" s="1010"/>
      <c r="BB61" s="1010"/>
      <c r="BC61" s="1010"/>
      <c r="BD61" s="1010"/>
      <c r="BE61" s="1010"/>
      <c r="BF61" s="1010"/>
      <c r="BG61" s="1010"/>
      <c r="BH61" s="1010"/>
      <c r="BI61" s="1010"/>
      <c r="BJ61" s="1010"/>
      <c r="BK61" s="1010"/>
      <c r="BL61" s="1010"/>
      <c r="BM61" s="1010"/>
      <c r="BN61" s="1010"/>
      <c r="BO61" s="1010"/>
      <c r="BP61" s="1010"/>
      <c r="BQ61" s="1010"/>
      <c r="BR61" s="1010"/>
      <c r="BS61" s="1010"/>
      <c r="BT61" s="1010"/>
      <c r="BU61" s="1010"/>
    </row>
    <row r="62" spans="1:73">
      <c r="A62" s="1010"/>
      <c r="B62" s="1022">
        <f t="shared" si="6"/>
        <v>12</v>
      </c>
      <c r="C62" s="1015">
        <v>1</v>
      </c>
      <c r="D62" s="1015">
        <v>1</v>
      </c>
      <c r="E62" s="1015">
        <v>1</v>
      </c>
      <c r="F62" s="1015">
        <v>1</v>
      </c>
      <c r="G62" s="1015">
        <v>1</v>
      </c>
      <c r="H62" s="1015">
        <f>+F8</f>
        <v>0.95</v>
      </c>
      <c r="I62" s="1015">
        <v>1</v>
      </c>
      <c r="J62" s="1010"/>
      <c r="K62" s="1027">
        <v>2.3939870404855514</v>
      </c>
      <c r="L62" s="1028">
        <v>0</v>
      </c>
      <c r="M62" s="1028">
        <v>1.5597361252777768E-3</v>
      </c>
      <c r="N62" s="1028">
        <v>0.14184949761589821</v>
      </c>
      <c r="O62" s="1028">
        <v>2.0985595575770056E-2</v>
      </c>
      <c r="P62" s="1028">
        <v>2.8431301887573927E-2</v>
      </c>
      <c r="Q62" s="1028">
        <v>5.4915061535724839E-3</v>
      </c>
      <c r="R62" s="1028">
        <v>1.5380643871542128E-3</v>
      </c>
      <c r="S62" s="1028">
        <v>0.25436705317116975</v>
      </c>
      <c r="T62" s="1028">
        <v>1.3716385995415594</v>
      </c>
      <c r="U62" s="1028">
        <v>0.21197338494250778</v>
      </c>
      <c r="V62" s="1028">
        <v>0.24553111712834094</v>
      </c>
      <c r="W62" s="1028">
        <v>9.3185477130461339E-2</v>
      </c>
      <c r="X62" s="1028">
        <v>1.6369074837774656E-2</v>
      </c>
      <c r="Y62" s="1028">
        <v>4.1861042390448086E-3</v>
      </c>
      <c r="Z62" s="1141"/>
      <c r="AA62" s="1010"/>
      <c r="AB62" s="1010"/>
      <c r="AC62" s="1010"/>
      <c r="AD62" s="1010"/>
      <c r="AE62" s="1010"/>
      <c r="AF62" s="1010"/>
      <c r="AG62" s="1010"/>
      <c r="AH62" s="1010"/>
      <c r="AI62" s="1010"/>
      <c r="AJ62" s="1010"/>
      <c r="AK62" s="1010"/>
      <c r="AL62" s="1010"/>
      <c r="AM62" s="1010"/>
      <c r="AN62" s="1010"/>
      <c r="AO62" s="1010"/>
      <c r="AP62" s="1010"/>
      <c r="AQ62" s="1010"/>
      <c r="AR62" s="1010"/>
      <c r="AS62" s="1010"/>
      <c r="AT62" s="1010"/>
      <c r="AU62" s="1010"/>
      <c r="AV62" s="1010"/>
      <c r="AW62" s="1010"/>
      <c r="AX62" s="1010"/>
      <c r="AY62" s="1010"/>
      <c r="AZ62" s="1010"/>
      <c r="BA62" s="1010"/>
      <c r="BB62" s="1010"/>
      <c r="BC62" s="1010"/>
      <c r="BD62" s="1010"/>
      <c r="BE62" s="1010"/>
      <c r="BF62" s="1010"/>
      <c r="BG62" s="1010"/>
      <c r="BH62" s="1010"/>
      <c r="BI62" s="1010"/>
      <c r="BJ62" s="1010"/>
      <c r="BK62" s="1010"/>
      <c r="BL62" s="1010"/>
      <c r="BM62" s="1010"/>
      <c r="BN62" s="1010"/>
      <c r="BO62" s="1010"/>
      <c r="BP62" s="1010"/>
      <c r="BQ62" s="1010"/>
      <c r="BR62" s="1010"/>
      <c r="BS62" s="1010"/>
      <c r="BT62" s="1010"/>
      <c r="BU62" s="1010"/>
    </row>
    <row r="63" spans="1:73">
      <c r="A63" s="1010"/>
      <c r="B63" s="1022">
        <f t="shared" si="6"/>
        <v>13</v>
      </c>
      <c r="C63" s="1015">
        <v>1</v>
      </c>
      <c r="D63" s="1015">
        <v>1</v>
      </c>
      <c r="E63" s="1015">
        <v>1</v>
      </c>
      <c r="F63" s="1015">
        <v>1</v>
      </c>
      <c r="G63" s="1015">
        <v>1</v>
      </c>
      <c r="H63" s="1015">
        <f>+G8</f>
        <v>1.05</v>
      </c>
      <c r="I63" s="1015">
        <v>1</v>
      </c>
      <c r="J63" s="1010"/>
      <c r="K63" s="1027">
        <v>2.4282894504667607</v>
      </c>
      <c r="L63" s="1028">
        <v>0</v>
      </c>
      <c r="M63" s="1028">
        <v>1.723918875307017E-3</v>
      </c>
      <c r="N63" s="1028">
        <v>0.15699141287208263</v>
      </c>
      <c r="O63" s="1028">
        <v>2.0985595575770056E-2</v>
      </c>
      <c r="P63" s="1028">
        <v>2.8547398127719732E-2</v>
      </c>
      <c r="Q63" s="1028">
        <v>5.4915061535724839E-3</v>
      </c>
      <c r="R63" s="1028">
        <v>1.7022471371834528E-3</v>
      </c>
      <c r="S63" s="1028">
        <v>0.26287357550213158</v>
      </c>
      <c r="T63" s="1028">
        <v>1.3716385995415594</v>
      </c>
      <c r="U63" s="1028">
        <v>0.21197338494250778</v>
      </c>
      <c r="V63" s="1028">
        <v>0.24553111712834094</v>
      </c>
      <c r="W63" s="1028">
        <v>0.10313268611978955</v>
      </c>
      <c r="X63" s="1028">
        <v>1.6512890679612906E-2</v>
      </c>
      <c r="Y63" s="1028">
        <v>4.6329555617953986E-3</v>
      </c>
      <c r="Z63" s="1141"/>
      <c r="AA63" s="1010"/>
      <c r="AB63" s="1010"/>
      <c r="AC63" s="1010"/>
      <c r="AD63" s="1010"/>
      <c r="AE63" s="1010"/>
      <c r="AF63" s="1010"/>
      <c r="AG63" s="1010"/>
      <c r="AH63" s="1010"/>
      <c r="AI63" s="1010"/>
      <c r="AJ63" s="1010"/>
      <c r="AK63" s="1010"/>
      <c r="AL63" s="1010"/>
      <c r="AM63" s="1010"/>
      <c r="AN63" s="1010"/>
      <c r="AO63" s="1010"/>
      <c r="AP63" s="1010"/>
      <c r="AQ63" s="1010"/>
      <c r="AR63" s="1010"/>
      <c r="AS63" s="1010"/>
      <c r="AT63" s="1010"/>
      <c r="AU63" s="1010"/>
      <c r="AV63" s="1010"/>
      <c r="AW63" s="1010"/>
      <c r="AX63" s="1010"/>
      <c r="AY63" s="1010"/>
      <c r="AZ63" s="1010"/>
      <c r="BA63" s="1010"/>
      <c r="BB63" s="1010"/>
      <c r="BC63" s="1010"/>
      <c r="BD63" s="1010"/>
      <c r="BE63" s="1010"/>
      <c r="BF63" s="1010"/>
      <c r="BG63" s="1010"/>
      <c r="BH63" s="1010"/>
      <c r="BI63" s="1010"/>
      <c r="BJ63" s="1010"/>
      <c r="BK63" s="1010"/>
      <c r="BL63" s="1010"/>
      <c r="BM63" s="1010"/>
      <c r="BN63" s="1010"/>
      <c r="BO63" s="1010"/>
      <c r="BP63" s="1010"/>
      <c r="BQ63" s="1010"/>
      <c r="BR63" s="1010"/>
      <c r="BS63" s="1010"/>
      <c r="BT63" s="1010"/>
      <c r="BU63" s="1010"/>
    </row>
    <row r="64" spans="1:73">
      <c r="A64" s="1010"/>
      <c r="B64" s="1029">
        <f t="shared" si="6"/>
        <v>14</v>
      </c>
      <c r="C64" s="1015">
        <v>1</v>
      </c>
      <c r="D64" s="1015">
        <v>1</v>
      </c>
      <c r="E64" s="1015">
        <v>1</v>
      </c>
      <c r="F64" s="1015">
        <v>1</v>
      </c>
      <c r="G64" s="1015">
        <v>1</v>
      </c>
      <c r="H64" s="1015">
        <v>1</v>
      </c>
      <c r="I64" s="1015">
        <f>+F9</f>
        <v>0.95</v>
      </c>
      <c r="J64" s="1010"/>
      <c r="K64" s="1027">
        <v>2.3979695764844378</v>
      </c>
      <c r="L64" s="1028">
        <v>0</v>
      </c>
      <c r="M64" s="1028">
        <v>1.6418275002923967E-3</v>
      </c>
      <c r="N64" s="1028">
        <v>0.14942045524399045</v>
      </c>
      <c r="O64" s="1028">
        <v>2.0985595575770056E-2</v>
      </c>
      <c r="P64" s="1028">
        <v>2.8312868685717384E-2</v>
      </c>
      <c r="Q64" s="1028">
        <v>5.4915061535724839E-3</v>
      </c>
      <c r="R64" s="1028">
        <v>1.6201557621688327E-3</v>
      </c>
      <c r="S64" s="1028">
        <v>0.24568929861981814</v>
      </c>
      <c r="T64" s="1028">
        <v>1.3716385995415594</v>
      </c>
      <c r="U64" s="1028">
        <v>0.21197338494250778</v>
      </c>
      <c r="V64" s="1028">
        <v>0.24553111712834094</v>
      </c>
      <c r="W64" s="1028">
        <v>9.8159081625125419E-2</v>
      </c>
      <c r="X64" s="1028">
        <v>1.637981080573836E-2</v>
      </c>
      <c r="Y64" s="1028">
        <v>4.4095299004201019E-3</v>
      </c>
      <c r="Z64" s="1141"/>
      <c r="AA64" s="1010"/>
      <c r="AB64" s="1010"/>
      <c r="AC64" s="1010"/>
      <c r="AD64" s="1010"/>
      <c r="AE64" s="1010"/>
      <c r="AF64" s="1010"/>
      <c r="AG64" s="1010"/>
      <c r="AH64" s="1010"/>
      <c r="AI64" s="1010"/>
      <c r="AJ64" s="1010"/>
      <c r="AK64" s="1010"/>
      <c r="AL64" s="1010"/>
      <c r="AM64" s="1010"/>
      <c r="AN64" s="1010"/>
      <c r="AO64" s="1010"/>
      <c r="AP64" s="1010"/>
      <c r="AQ64" s="1010"/>
      <c r="AR64" s="1010"/>
      <c r="AS64" s="1010"/>
      <c r="AT64" s="1010"/>
      <c r="AU64" s="1010"/>
      <c r="AV64" s="1010"/>
      <c r="AW64" s="1010"/>
      <c r="AX64" s="1010"/>
      <c r="AY64" s="1010"/>
      <c r="AZ64" s="1010"/>
      <c r="BA64" s="1010"/>
      <c r="BB64" s="1010"/>
      <c r="BC64" s="1010"/>
      <c r="BD64" s="1010"/>
      <c r="BE64" s="1010"/>
      <c r="BF64" s="1010"/>
      <c r="BG64" s="1010"/>
      <c r="BH64" s="1010"/>
      <c r="BI64" s="1010"/>
      <c r="BJ64" s="1010"/>
      <c r="BK64" s="1010"/>
      <c r="BL64" s="1010"/>
      <c r="BM64" s="1010"/>
      <c r="BN64" s="1010"/>
      <c r="BO64" s="1010"/>
      <c r="BP64" s="1010"/>
      <c r="BQ64" s="1010"/>
      <c r="BR64" s="1010"/>
      <c r="BS64" s="1010"/>
      <c r="BT64" s="1010"/>
      <c r="BU64" s="1010"/>
    </row>
    <row r="65" spans="1:73" ht="13.5" thickBot="1">
      <c r="A65" s="1010"/>
      <c r="B65" s="1130">
        <f t="shared" si="6"/>
        <v>15</v>
      </c>
      <c r="C65" s="1131">
        <v>1</v>
      </c>
      <c r="D65" s="1131">
        <v>1</v>
      </c>
      <c r="E65" s="1131">
        <v>1</v>
      </c>
      <c r="F65" s="1131">
        <v>1</v>
      </c>
      <c r="G65" s="1131">
        <v>1</v>
      </c>
      <c r="H65" s="1131">
        <v>1</v>
      </c>
      <c r="I65" s="1131">
        <f>+G9</f>
        <v>1.05</v>
      </c>
      <c r="J65" s="1132"/>
      <c r="K65" s="1133">
        <v>2.4243069144678726</v>
      </c>
      <c r="L65" s="1134">
        <v>0</v>
      </c>
      <c r="M65" s="1134">
        <v>1.6418275002923967E-3</v>
      </c>
      <c r="N65" s="1134">
        <v>0.14942045524399045</v>
      </c>
      <c r="O65" s="1134">
        <v>2.0985595575770056E-2</v>
      </c>
      <c r="P65" s="1134">
        <v>2.8665831329576272E-2</v>
      </c>
      <c r="Q65" s="1134">
        <v>5.4915061535724839E-3</v>
      </c>
      <c r="R65" s="1134">
        <v>1.6201557621688327E-3</v>
      </c>
      <c r="S65" s="1134">
        <v>0.27155133005348309</v>
      </c>
      <c r="T65" s="1134">
        <v>1.3716385995415594</v>
      </c>
      <c r="U65" s="1134">
        <v>0.21197338494250778</v>
      </c>
      <c r="V65" s="1134">
        <v>0.24553111712834094</v>
      </c>
      <c r="W65" s="1134">
        <v>9.8159081625125419E-2</v>
      </c>
      <c r="X65" s="1134">
        <v>1.6502154711649036E-2</v>
      </c>
      <c r="Y65" s="1134">
        <v>4.4095299004201019E-3</v>
      </c>
      <c r="Z65" s="1141"/>
      <c r="AA65" s="1010"/>
      <c r="AB65" s="1010"/>
      <c r="AC65" s="1010"/>
      <c r="AD65" s="1010"/>
      <c r="AE65" s="1010"/>
      <c r="AF65" s="1010"/>
      <c r="AG65" s="1010"/>
      <c r="AH65" s="1010"/>
      <c r="AI65" s="1010"/>
      <c r="AJ65" s="1010"/>
      <c r="AK65" s="1010"/>
      <c r="AL65" s="1010"/>
      <c r="AM65" s="1010"/>
      <c r="AN65" s="1010"/>
      <c r="AO65" s="1010"/>
      <c r="AP65" s="1010"/>
      <c r="AQ65" s="1010"/>
      <c r="AR65" s="1010"/>
      <c r="AS65" s="1010"/>
      <c r="AT65" s="1010"/>
      <c r="AU65" s="1010"/>
      <c r="AV65" s="1010"/>
      <c r="AW65" s="1010"/>
      <c r="AX65" s="1010"/>
      <c r="AY65" s="1010"/>
      <c r="AZ65" s="1010"/>
      <c r="BA65" s="1010"/>
      <c r="BB65" s="1010"/>
      <c r="BC65" s="1010"/>
      <c r="BD65" s="1010"/>
      <c r="BE65" s="1010"/>
      <c r="BF65" s="1010"/>
      <c r="BG65" s="1010"/>
      <c r="BH65" s="1010"/>
      <c r="BI65" s="1010"/>
      <c r="BJ65" s="1010"/>
      <c r="BK65" s="1010"/>
      <c r="BL65" s="1010"/>
      <c r="BM65" s="1010"/>
      <c r="BN65" s="1010"/>
      <c r="BO65" s="1010"/>
      <c r="BP65" s="1010"/>
      <c r="BQ65" s="1010"/>
      <c r="BR65" s="1010"/>
      <c r="BS65" s="1010"/>
      <c r="BT65" s="1010"/>
      <c r="BU65" s="1010"/>
    </row>
    <row r="66" spans="1:73" ht="13.5" thickTop="1">
      <c r="A66" s="1010"/>
      <c r="B66" s="1126">
        <f t="shared" si="6"/>
        <v>16</v>
      </c>
      <c r="C66" s="1127">
        <f>(C$72=1)*$F$3
+(C$72=2)
+(C$72=3)
+(C$72=4)
+(C$72=5)</f>
        <v>1</v>
      </c>
      <c r="D66" s="1127">
        <v>1</v>
      </c>
      <c r="E66" s="1127">
        <v>1</v>
      </c>
      <c r="F66" s="1127">
        <f>(F$72=1)*$F$6
+(F$72=2)
+(F$72=3)
+(F$72=4)
+(F$72=5)</f>
        <v>0.95</v>
      </c>
      <c r="G66" s="1127">
        <f>(G$72=1)*$F$7
+(G$72=2)
+(G$72=3)
+(G$72=4)
+(G$72=5)</f>
        <v>1</v>
      </c>
      <c r="H66" s="1127">
        <f>(H$72=1)*$F$8
+(H$72=2)
+(H$72=3)
+(H$72=4)
+(H$72=5)</f>
        <v>1</v>
      </c>
      <c r="I66" s="1127">
        <f>(I$72=1)*$F$9
+(I$72=2)
+(I$72=3)
+(I$72=4)
+(I$72=5)</f>
        <v>1</v>
      </c>
      <c r="J66" s="1010"/>
      <c r="K66" s="1128">
        <v>2.3412960583840761</v>
      </c>
      <c r="L66" s="1129">
        <v>0</v>
      </c>
      <c r="M66" s="1129">
        <v>1.6418275002923967E-3</v>
      </c>
      <c r="N66" s="1129">
        <v>0.14942045524399045</v>
      </c>
      <c r="O66" s="1129">
        <v>2.0985595575770056E-2</v>
      </c>
      <c r="P66" s="1129">
        <v>2.7553483074046994E-2</v>
      </c>
      <c r="Q66" s="1129">
        <v>5.4915061535724839E-3</v>
      </c>
      <c r="R66" s="1129">
        <v>1.6201557621688327E-3</v>
      </c>
      <c r="S66" s="1129">
        <v>0.25862031433665061</v>
      </c>
      <c r="T66" s="1129">
        <v>1.303056669564481</v>
      </c>
      <c r="U66" s="1129">
        <v>0.21197338494250778</v>
      </c>
      <c r="V66" s="1129">
        <v>0.24553111712834094</v>
      </c>
      <c r="W66" s="1129">
        <v>9.8159081625125419E-2</v>
      </c>
      <c r="X66" s="1129">
        <v>1.6116592577292373E-2</v>
      </c>
      <c r="Y66" s="1129">
        <v>4.4095299004201019E-3</v>
      </c>
      <c r="Z66" s="1141"/>
      <c r="AA66" s="1010"/>
      <c r="AB66" s="1010"/>
      <c r="AC66" s="1010"/>
      <c r="AD66" s="1010"/>
      <c r="AE66" s="1010"/>
      <c r="AF66" s="1010"/>
      <c r="AG66" s="1010"/>
      <c r="AH66" s="1010"/>
      <c r="AI66" s="1010"/>
      <c r="AJ66" s="1010"/>
      <c r="AK66" s="1010"/>
      <c r="AL66" s="1010"/>
      <c r="AM66" s="1010"/>
      <c r="AN66" s="1010"/>
      <c r="AO66" s="1010"/>
      <c r="AP66" s="1010"/>
      <c r="AQ66" s="1010"/>
      <c r="AR66" s="1010"/>
      <c r="AS66" s="1010"/>
      <c r="AT66" s="1010"/>
      <c r="AU66" s="1010"/>
      <c r="AV66" s="1010"/>
      <c r="AW66" s="1010"/>
      <c r="AX66" s="1010"/>
      <c r="AY66" s="1010"/>
      <c r="AZ66" s="1010"/>
      <c r="BA66" s="1010"/>
      <c r="BB66" s="1010"/>
      <c r="BC66" s="1010"/>
      <c r="BD66" s="1010"/>
      <c r="BE66" s="1010"/>
      <c r="BF66" s="1010"/>
      <c r="BG66" s="1010"/>
      <c r="BH66" s="1010"/>
      <c r="BI66" s="1010"/>
      <c r="BJ66" s="1010"/>
      <c r="BK66" s="1010"/>
      <c r="BL66" s="1010"/>
      <c r="BM66" s="1010"/>
      <c r="BN66" s="1010"/>
      <c r="BO66" s="1010"/>
      <c r="BP66" s="1010"/>
      <c r="BQ66" s="1010"/>
      <c r="BR66" s="1010"/>
      <c r="BS66" s="1010"/>
      <c r="BT66" s="1010"/>
      <c r="BU66" s="1010"/>
    </row>
    <row r="67" spans="1:73">
      <c r="A67" s="1010"/>
      <c r="B67" s="1022">
        <f t="shared" si="6"/>
        <v>17</v>
      </c>
      <c r="C67" s="1127">
        <f>(C$72=1)*$F$3
+(C$72=2)*$F$3
+(C$72=3)
+(C$72=4)
+(C$72=5)</f>
        <v>1.05</v>
      </c>
      <c r="D67" s="1015">
        <v>1</v>
      </c>
      <c r="E67" s="1015">
        <v>1</v>
      </c>
      <c r="F67" s="1127">
        <f>(F$72=1)*$F$6
+(F$72=2)*$F$6
+(F$72=3)
+(F$72=4)
+(F$72=5)</f>
        <v>0.95</v>
      </c>
      <c r="G67" s="1127">
        <f>(G$72=1)*$F$7
+(G$72=2)*$F$7
+(G$72=3)
+(G$72=4)
+(G$72=5)</f>
        <v>1</v>
      </c>
      <c r="H67" s="1127">
        <f>(H$72=1)*$F$8
+(H$72=2)*$F$8
+(H$72=3)
+(H$72=4)
+(H$72=5)</f>
        <v>1</v>
      </c>
      <c r="I67" s="1127">
        <f>(I$72=1)*$F$9
+(I$72=2)*$F$9
+(I$72=3)
+(I$72=4)
+(I$72=5)</f>
        <v>1</v>
      </c>
      <c r="J67" s="1010"/>
      <c r="K67" s="1027">
        <v>2.3018773378992341</v>
      </c>
      <c r="L67" s="1028">
        <v>0</v>
      </c>
      <c r="M67" s="1028">
        <v>1.563645238373711E-3</v>
      </c>
      <c r="N67" s="1028">
        <v>0.14230519547046708</v>
      </c>
      <c r="O67" s="1028">
        <v>1.998628150073338E-2</v>
      </c>
      <c r="P67" s="1028">
        <v>2.7207107968594348E-2</v>
      </c>
      <c r="Q67" s="1028">
        <v>5.2300058605452221E-3</v>
      </c>
      <c r="R67" s="1028">
        <v>1.5430054877798405E-3</v>
      </c>
      <c r="S67" s="1028">
        <v>0.24630506127300053</v>
      </c>
      <c r="T67" s="1028">
        <v>1.3030566695644805</v>
      </c>
      <c r="U67" s="1028">
        <v>0.20187941423095973</v>
      </c>
      <c r="V67" s="1028">
        <v>0.24255998469951776</v>
      </c>
      <c r="W67" s="1028">
        <v>9.3484839642976575E-2</v>
      </c>
      <c r="X67" s="1028">
        <v>1.5683865152436648E-2</v>
      </c>
      <c r="Y67" s="1028">
        <v>4.1995522861143818E-3</v>
      </c>
      <c r="Z67" s="1141"/>
      <c r="AA67" s="1010"/>
      <c r="AB67" s="1010"/>
      <c r="AC67" s="1010"/>
      <c r="AD67" s="1010"/>
      <c r="AE67" s="1010"/>
      <c r="AF67" s="1010"/>
      <c r="AG67" s="1010"/>
      <c r="AH67" s="1010"/>
      <c r="AI67" s="1010"/>
      <c r="AJ67" s="1010"/>
      <c r="AK67" s="1010"/>
      <c r="AL67" s="1010"/>
      <c r="AM67" s="1010"/>
      <c r="AN67" s="1010"/>
      <c r="AO67" s="1010"/>
      <c r="AP67" s="1010"/>
      <c r="AQ67" s="1010"/>
      <c r="AR67" s="1010"/>
      <c r="AS67" s="1010"/>
      <c r="AT67" s="1010"/>
      <c r="AU67" s="1010"/>
      <c r="AV67" s="1010"/>
      <c r="AW67" s="1010"/>
      <c r="AX67" s="1010"/>
      <c r="AY67" s="1010"/>
      <c r="AZ67" s="1010"/>
      <c r="BA67" s="1010"/>
      <c r="BB67" s="1010"/>
      <c r="BC67" s="1010"/>
      <c r="BD67" s="1010"/>
      <c r="BE67" s="1010"/>
      <c r="BF67" s="1010"/>
      <c r="BG67" s="1010"/>
      <c r="BH67" s="1010"/>
      <c r="BI67" s="1010"/>
      <c r="BJ67" s="1010"/>
      <c r="BK67" s="1010"/>
      <c r="BL67" s="1010"/>
      <c r="BM67" s="1010"/>
      <c r="BN67" s="1010"/>
      <c r="BO67" s="1010"/>
      <c r="BP67" s="1010"/>
      <c r="BQ67" s="1010"/>
      <c r="BR67" s="1010"/>
      <c r="BS67" s="1010"/>
      <c r="BT67" s="1010"/>
      <c r="BU67" s="1010"/>
    </row>
    <row r="68" spans="1:73">
      <c r="A68" s="1010"/>
      <c r="B68" s="1029">
        <f t="shared" si="6"/>
        <v>18</v>
      </c>
      <c r="C68" s="1127">
        <f>(C$72=1)*$F$3
+(C$72=2)*$F$3
+(C$72=3)*$F$3
+(C$72=4)
+(C$72=5)</f>
        <v>1.05</v>
      </c>
      <c r="D68" s="1015">
        <v>1</v>
      </c>
      <c r="E68" s="1015">
        <v>1</v>
      </c>
      <c r="F68" s="1127">
        <f>(F$72=1)*$F$6
+(F$72=2)*$F$6
+(F$72=3)*$F$6
+(F$72=4)
+(F$72=5)</f>
        <v>0.95</v>
      </c>
      <c r="G68" s="1127">
        <f>(G$72=1)*$F$7
+(G$72=2)*$F$7
+(G$72=3)*$F$7
+(G$72=4)
+(G$72=5)</f>
        <v>1</v>
      </c>
      <c r="H68" s="1127">
        <f>(H$72=1)*$F$8
+(H$72=2)*$F$8
+(H$72=3)*$F$8
+(H$72=4)
+(H$72=5)</f>
        <v>0.95</v>
      </c>
      <c r="I68" s="1127">
        <f>(I$72=1)*$F$9
+(I$72=2)*$F$9
+(I$72=3)*$F$9
+(I$72=4)
+(I$72=5)</f>
        <v>1</v>
      </c>
      <c r="J68" s="1010"/>
      <c r="K68" s="1027">
        <v>2.2855428569558001</v>
      </c>
      <c r="L68" s="1028">
        <v>0</v>
      </c>
      <c r="M68" s="1028">
        <v>1.4854629764550255E-3</v>
      </c>
      <c r="N68" s="1028">
        <v>0.13509475963418877</v>
      </c>
      <c r="O68" s="1028">
        <v>1.998628150073338E-2</v>
      </c>
      <c r="P68" s="1028">
        <v>2.7151824044715406E-2</v>
      </c>
      <c r="Q68" s="1028">
        <v>5.2300058605452221E-3</v>
      </c>
      <c r="R68" s="1028">
        <v>1.4648232258611549E-3</v>
      </c>
      <c r="S68" s="1028">
        <v>0.24225433635349497</v>
      </c>
      <c r="T68" s="1028">
        <v>1.3030566695644805</v>
      </c>
      <c r="U68" s="1028">
        <v>0.20187941423095973</v>
      </c>
      <c r="V68" s="1028">
        <v>0.24255998469951776</v>
      </c>
      <c r="W68" s="1028">
        <v>8.8748073457582205E-2</v>
      </c>
      <c r="X68" s="1028">
        <v>1.5615381418228023E-2</v>
      </c>
      <c r="Y68" s="1028">
        <v>3.9867659419474356E-3</v>
      </c>
      <c r="Z68" s="1141"/>
      <c r="AA68" s="1010"/>
      <c r="AB68" s="1010"/>
      <c r="AC68" s="1010"/>
      <c r="AD68" s="1010"/>
      <c r="AE68" s="1010"/>
      <c r="AF68" s="1010"/>
      <c r="AG68" s="1010"/>
      <c r="AH68" s="1010"/>
      <c r="AI68" s="1010"/>
      <c r="AJ68" s="1010"/>
      <c r="AK68" s="1010"/>
      <c r="AL68" s="1010"/>
      <c r="AM68" s="1010"/>
      <c r="AN68" s="1010"/>
      <c r="AO68" s="1010"/>
      <c r="AP68" s="1010"/>
      <c r="AQ68" s="1010"/>
      <c r="AR68" s="1010"/>
      <c r="AS68" s="1010"/>
      <c r="AT68" s="1010"/>
      <c r="AU68" s="1010"/>
      <c r="AV68" s="1010"/>
      <c r="AW68" s="1010"/>
      <c r="AX68" s="1010"/>
      <c r="AY68" s="1010"/>
      <c r="AZ68" s="1010"/>
      <c r="BA68" s="1010"/>
      <c r="BB68" s="1010"/>
      <c r="BC68" s="1010"/>
      <c r="BD68" s="1010"/>
      <c r="BE68" s="1010"/>
      <c r="BF68" s="1010"/>
      <c r="BG68" s="1010"/>
      <c r="BH68" s="1010"/>
      <c r="BI68" s="1010"/>
      <c r="BJ68" s="1010"/>
      <c r="BK68" s="1010"/>
      <c r="BL68" s="1010"/>
      <c r="BM68" s="1010"/>
      <c r="BN68" s="1010"/>
      <c r="BO68" s="1010"/>
      <c r="BP68" s="1010"/>
      <c r="BQ68" s="1010"/>
      <c r="BR68" s="1010"/>
      <c r="BS68" s="1010"/>
      <c r="BT68" s="1010"/>
      <c r="BU68" s="1010"/>
    </row>
    <row r="69" spans="1:73">
      <c r="A69" s="1010"/>
      <c r="B69" s="1029">
        <f t="shared" si="6"/>
        <v>19</v>
      </c>
      <c r="C69" s="1127">
        <f>(C$72=1)*$F$3
+(C$72=2)*$F$3
+(C$72=3)*$F$3
+(C$72=4)*$F$3
+(C$72=5)</f>
        <v>1.05</v>
      </c>
      <c r="D69" s="1015">
        <v>1</v>
      </c>
      <c r="E69" s="1015">
        <v>1</v>
      </c>
      <c r="F69" s="1127">
        <f>(F$72=1)*$F$6
+(F$72=2)*$F$6
+(F$72=3)*$F$6
+(F$72=4)*$F$6
+(F$72=5)</f>
        <v>0.95</v>
      </c>
      <c r="G69" s="1127">
        <f>(G$72=1)*$F$7
+(G$72=2)*$F$7
+(G$72=3)*$F$7
+(G$72=4)*$F$7
+(G$72=5)</f>
        <v>1</v>
      </c>
      <c r="H69" s="1127">
        <f>(H$72=1)*$F$8
+(H$72=2)*$F$8
+(H$72=3)*$F$8
+(H$72=4)*$F$8
+(H$72=5)</f>
        <v>0.95</v>
      </c>
      <c r="I69" s="1127">
        <f>(I$72=1)*$F$9
+(I$72=2)*$F$9
+(I$72=3)*$F$9
+(I$72=4)*$F$9
+(I$72=5)</f>
        <v>0.95</v>
      </c>
      <c r="J69" s="1010"/>
      <c r="K69" s="1027">
        <v>2.2732075260076887</v>
      </c>
      <c r="L69" s="1028">
        <v>0</v>
      </c>
      <c r="M69" s="1028">
        <v>1.4854629764550255E-3</v>
      </c>
      <c r="N69" s="1028">
        <v>0.13509475963418877</v>
      </c>
      <c r="O69" s="1028">
        <v>1.998628150073338E-2</v>
      </c>
      <c r="P69" s="1028">
        <v>2.6986510791452749E-2</v>
      </c>
      <c r="Q69" s="1028">
        <v>5.2300058605452221E-3</v>
      </c>
      <c r="R69" s="1028">
        <v>1.4648232258611549E-3</v>
      </c>
      <c r="S69" s="1028">
        <v>0.2301416195358203</v>
      </c>
      <c r="T69" s="1028">
        <v>1.3030566695644805</v>
      </c>
      <c r="U69" s="1028">
        <v>0.20187941423095973</v>
      </c>
      <c r="V69" s="1028">
        <v>0.24255998469951776</v>
      </c>
      <c r="W69" s="1028">
        <v>8.8748073457582205E-2</v>
      </c>
      <c r="X69" s="1028">
        <v>1.5558080541053445E-2</v>
      </c>
      <c r="Y69" s="1028">
        <v>3.9867659419474356E-3</v>
      </c>
      <c r="Z69" s="1141"/>
      <c r="AA69" s="1010"/>
      <c r="AB69" s="1010"/>
      <c r="AC69" s="1010"/>
      <c r="AD69" s="1010"/>
      <c r="AE69" s="1010"/>
      <c r="AF69" s="1010"/>
      <c r="AG69" s="1010"/>
      <c r="AH69" s="1010"/>
      <c r="AI69" s="1010"/>
      <c r="AJ69" s="1010"/>
      <c r="AK69" s="1010"/>
      <c r="AL69" s="1010"/>
      <c r="AM69" s="1010"/>
      <c r="AN69" s="1010"/>
      <c r="AO69" s="1010"/>
      <c r="AP69" s="1010"/>
      <c r="AQ69" s="1010"/>
      <c r="AR69" s="1010"/>
      <c r="AS69" s="1010"/>
      <c r="AT69" s="1010"/>
      <c r="AU69" s="1010"/>
      <c r="AV69" s="1010"/>
      <c r="AW69" s="1010"/>
      <c r="AX69" s="1010"/>
      <c r="AY69" s="1010"/>
      <c r="AZ69" s="1010"/>
      <c r="BA69" s="1010"/>
      <c r="BB69" s="1010"/>
      <c r="BC69" s="1010"/>
      <c r="BD69" s="1010"/>
      <c r="BE69" s="1010"/>
      <c r="BF69" s="1010"/>
      <c r="BG69" s="1010"/>
      <c r="BH69" s="1010"/>
      <c r="BI69" s="1010"/>
      <c r="BJ69" s="1010"/>
      <c r="BK69" s="1010"/>
      <c r="BL69" s="1010"/>
      <c r="BM69" s="1010"/>
      <c r="BN69" s="1010"/>
      <c r="BO69" s="1010"/>
      <c r="BP69" s="1010"/>
      <c r="BQ69" s="1010"/>
      <c r="BR69" s="1010"/>
      <c r="BS69" s="1010"/>
      <c r="BT69" s="1010"/>
      <c r="BU69" s="1010"/>
    </row>
    <row r="70" spans="1:73">
      <c r="A70" s="1010"/>
      <c r="B70" s="1022">
        <f t="shared" si="6"/>
        <v>20</v>
      </c>
      <c r="C70" s="1127">
        <f>(C$72=1)*$F$3
+(C$72=2)*$F$3
+(C$72=3)*$F$3
+(C$72=4)*$F$3
+(C$72=5)*$F$3</f>
        <v>1.05</v>
      </c>
      <c r="D70" s="1015">
        <v>1</v>
      </c>
      <c r="E70" s="1015">
        <v>1</v>
      </c>
      <c r="F70" s="1127">
        <f>(F$72=1)*$F$6
+(F$72=2)*$F$6
+(F$72=3)*$F$6
+(F$72=4)*$F$6
+(F$72=5)*$F$6</f>
        <v>0.95</v>
      </c>
      <c r="G70" s="1127">
        <f>(G$72=1)*$F$7
+(G$72=2)*$F$7
+(G$72=3)*$F$7
+(G$72=4)*$F$7
+(G$72=5)*$F$7</f>
        <v>0.95</v>
      </c>
      <c r="H70" s="1127">
        <f>(H$72=1)*$F$8
+(H$72=2)*$F$8
+(H$72=3)*$F$8
+(H$72=4)*$F$8
+(H$72=5)*$F$8</f>
        <v>0.95</v>
      </c>
      <c r="I70" s="1127">
        <f>(I$72=1)*$F$9
+(I$72=2)*$F$9
+(I$72=3)*$F$9
+(I$72=4)*$F$9
+(I$72=5)*$F$9</f>
        <v>0.95</v>
      </c>
      <c r="J70" s="1010"/>
      <c r="K70" s="1027">
        <v>2.264512131780974</v>
      </c>
      <c r="L70" s="1028">
        <v>0</v>
      </c>
      <c r="M70" s="1028">
        <v>1.4854629764550255E-3</v>
      </c>
      <c r="N70" s="1028">
        <v>0.13509475963418877</v>
      </c>
      <c r="O70" s="1028">
        <v>1.998628150073338E-2</v>
      </c>
      <c r="P70" s="1028">
        <v>2.687004209896271E-2</v>
      </c>
      <c r="Q70" s="1028">
        <v>5.2300058605452221E-3</v>
      </c>
      <c r="R70" s="1028">
        <v>1.4648232258611549E-3</v>
      </c>
      <c r="S70" s="1028">
        <v>0.2301416195358203</v>
      </c>
      <c r="T70" s="1028">
        <v>1.3030566695644805</v>
      </c>
      <c r="U70" s="1028">
        <v>0.20187941423095973</v>
      </c>
      <c r="V70" s="1028">
        <v>0.23402142954160163</v>
      </c>
      <c r="W70" s="1028">
        <v>8.8748073457582205E-2</v>
      </c>
      <c r="X70" s="1028">
        <v>1.5517710164744701E-2</v>
      </c>
      <c r="Y70" s="1028">
        <v>3.9867659419474356E-3</v>
      </c>
      <c r="Z70" s="1141"/>
      <c r="AA70" s="1010"/>
      <c r="AB70" s="1010"/>
      <c r="AC70" s="1010"/>
      <c r="AD70" s="1010"/>
      <c r="AE70" s="1010"/>
      <c r="AF70" s="1010"/>
      <c r="AG70" s="1010"/>
      <c r="AH70" s="1010"/>
      <c r="AI70" s="1010"/>
      <c r="AJ70" s="1010"/>
      <c r="AK70" s="1010"/>
      <c r="AL70" s="1010"/>
      <c r="AM70" s="1010"/>
      <c r="AN70" s="1010"/>
      <c r="AO70" s="1010"/>
      <c r="AP70" s="1010"/>
      <c r="AQ70" s="1010"/>
      <c r="AR70" s="1010"/>
      <c r="AS70" s="1010"/>
      <c r="AT70" s="1010"/>
      <c r="AU70" s="1010"/>
      <c r="AV70" s="1010"/>
      <c r="AW70" s="1010"/>
      <c r="AX70" s="1010"/>
      <c r="AY70" s="1010"/>
      <c r="AZ70" s="1010"/>
      <c r="BA70" s="1010"/>
      <c r="BB70" s="1010"/>
      <c r="BC70" s="1010"/>
      <c r="BD70" s="1010"/>
      <c r="BE70" s="1010"/>
      <c r="BF70" s="1010"/>
      <c r="BG70" s="1010"/>
      <c r="BH70" s="1010"/>
      <c r="BI70" s="1010"/>
      <c r="BJ70" s="1010"/>
      <c r="BK70" s="1010"/>
      <c r="BL70" s="1010"/>
      <c r="BM70" s="1010"/>
      <c r="BN70" s="1010"/>
      <c r="BO70" s="1010"/>
      <c r="BP70" s="1010"/>
      <c r="BQ70" s="1010"/>
      <c r="BR70" s="1010"/>
      <c r="BS70" s="1010"/>
      <c r="BT70" s="1010"/>
      <c r="BU70" s="1010"/>
    </row>
    <row r="71" spans="1:73">
      <c r="A71" s="1010"/>
      <c r="B71" s="1010"/>
      <c r="C71" s="1010"/>
      <c r="D71" s="1010"/>
      <c r="E71" s="1010"/>
      <c r="F71" s="1010"/>
      <c r="G71" s="1010"/>
      <c r="H71" s="1010"/>
      <c r="I71" s="1010"/>
      <c r="J71" s="1010"/>
      <c r="K71" s="1010"/>
      <c r="L71" s="1010"/>
      <c r="M71" s="1010"/>
      <c r="N71" s="1010"/>
      <c r="O71" s="1010"/>
      <c r="P71" s="1010"/>
      <c r="Q71" s="1010"/>
      <c r="R71" s="1010"/>
      <c r="S71" s="1010"/>
      <c r="T71" s="1010"/>
      <c r="U71" s="1010"/>
      <c r="V71" s="1010"/>
      <c r="W71" s="1010"/>
      <c r="X71" s="1010"/>
      <c r="Y71" s="1010"/>
      <c r="Z71" s="1010"/>
      <c r="AA71" s="1010"/>
      <c r="AB71" s="1010"/>
      <c r="AC71" s="1010"/>
      <c r="AD71" s="1010"/>
      <c r="AE71" s="1010"/>
      <c r="AF71" s="1010"/>
      <c r="AG71" s="1010"/>
      <c r="AH71" s="1010"/>
      <c r="AI71" s="1010"/>
      <c r="AJ71" s="1010"/>
      <c r="AK71" s="1010"/>
      <c r="AL71" s="1010"/>
      <c r="AM71" s="1010"/>
      <c r="AN71" s="1010"/>
      <c r="AO71" s="1010"/>
      <c r="AP71" s="1010"/>
      <c r="AQ71" s="1010"/>
      <c r="AR71" s="1010"/>
      <c r="AS71" s="1010"/>
      <c r="AT71" s="1010"/>
      <c r="AU71" s="1010"/>
      <c r="AV71" s="1010"/>
      <c r="AW71" s="1010"/>
      <c r="AX71" s="1010"/>
      <c r="AY71" s="1010"/>
      <c r="AZ71" s="1010"/>
      <c r="BA71" s="1010"/>
      <c r="BB71" s="1010"/>
      <c r="BC71" s="1010"/>
      <c r="BD71" s="1010"/>
      <c r="BE71" s="1010"/>
      <c r="BF71" s="1010"/>
      <c r="BG71" s="1010"/>
      <c r="BH71" s="1010"/>
      <c r="BI71" s="1010"/>
      <c r="BJ71" s="1010"/>
      <c r="BK71" s="1010"/>
      <c r="BL71" s="1010"/>
      <c r="BM71" s="1010"/>
      <c r="BN71" s="1010"/>
      <c r="BO71" s="1010"/>
      <c r="BP71" s="1010"/>
      <c r="BQ71" s="1010"/>
      <c r="BR71" s="1010"/>
      <c r="BS71" s="1010"/>
      <c r="BT71" s="1010"/>
      <c r="BU71" s="1010"/>
    </row>
    <row r="72" spans="1:73">
      <c r="A72" s="1010"/>
      <c r="B72" s="1135" t="s">
        <v>1179</v>
      </c>
      <c r="C72" s="1014">
        <f>6-RANK($N$101,($N$101,$N$104:$N$107))</f>
        <v>2</v>
      </c>
      <c r="D72" s="1136"/>
      <c r="E72" s="1136"/>
      <c r="F72" s="1014">
        <f>6-RANK($N$104,($N$101,$N$104:$N$107))</f>
        <v>1</v>
      </c>
      <c r="G72" s="1014">
        <f>6-RANK($N$105,($N$101,$N$104:$N$107))</f>
        <v>5</v>
      </c>
      <c r="H72" s="1014">
        <f>6-RANK($N$106,($N$101,$N$104:$N$107))</f>
        <v>3</v>
      </c>
      <c r="I72" s="1014">
        <f>6-RANK($N$107,($N$101,$N$104:$N$107))</f>
        <v>4</v>
      </c>
      <c r="J72" s="1010"/>
      <c r="K72" s="1010"/>
      <c r="L72" s="1010"/>
      <c r="M72" s="1010"/>
      <c r="N72" s="1010"/>
      <c r="O72" s="1010"/>
      <c r="P72" s="1010"/>
      <c r="Q72" s="1010"/>
      <c r="R72" s="1010"/>
      <c r="S72" s="1010"/>
      <c r="T72" s="1010"/>
      <c r="U72" s="1010"/>
      <c r="V72" s="1010"/>
      <c r="W72" s="1010"/>
      <c r="X72" s="1010"/>
      <c r="Y72" s="1010"/>
      <c r="Z72" s="1010"/>
      <c r="AA72" s="1010"/>
      <c r="AB72" s="1010"/>
      <c r="AC72" s="1010"/>
      <c r="AD72" s="1010"/>
      <c r="AE72" s="1010"/>
      <c r="AF72" s="1010"/>
      <c r="AG72" s="1010"/>
      <c r="AH72" s="1010"/>
      <c r="AI72" s="1010"/>
      <c r="AJ72" s="1010"/>
      <c r="AK72" s="1010"/>
      <c r="AL72" s="1010"/>
      <c r="AM72" s="1010"/>
      <c r="AN72" s="1010"/>
      <c r="AO72" s="1010"/>
      <c r="AP72" s="1010"/>
      <c r="AQ72" s="1010"/>
      <c r="AR72" s="1010"/>
      <c r="AS72" s="1010"/>
      <c r="AT72" s="1010"/>
      <c r="AU72" s="1010"/>
      <c r="AV72" s="1010"/>
      <c r="AW72" s="1010"/>
      <c r="AX72" s="1010"/>
      <c r="AY72" s="1010"/>
      <c r="AZ72" s="1010"/>
      <c r="BA72" s="1010"/>
      <c r="BB72" s="1010"/>
      <c r="BC72" s="1010"/>
      <c r="BD72" s="1010"/>
      <c r="BE72" s="1010"/>
      <c r="BF72" s="1010"/>
      <c r="BG72" s="1010"/>
      <c r="BH72" s="1010"/>
      <c r="BI72" s="1010"/>
      <c r="BJ72" s="1010"/>
      <c r="BK72" s="1010"/>
      <c r="BL72" s="1010"/>
      <c r="BM72" s="1010"/>
      <c r="BN72" s="1010"/>
      <c r="BO72" s="1010"/>
      <c r="BP72" s="1010"/>
      <c r="BQ72" s="1010"/>
      <c r="BR72" s="1010"/>
      <c r="BS72" s="1010"/>
      <c r="BT72" s="1010"/>
      <c r="BU72" s="1010"/>
    </row>
    <row r="73" spans="1:73">
      <c r="A73" s="1010"/>
      <c r="B73" s="1010"/>
      <c r="C73" s="1010"/>
      <c r="D73" s="1010"/>
      <c r="E73" s="1010"/>
      <c r="F73" s="1010"/>
      <c r="G73" s="1010"/>
      <c r="H73" s="1010"/>
      <c r="I73" s="1010"/>
      <c r="J73" s="1010"/>
      <c r="K73" s="1010"/>
      <c r="L73" s="1010"/>
      <c r="M73" s="1010"/>
      <c r="N73" s="1010"/>
      <c r="O73" s="1010"/>
      <c r="P73" s="1010"/>
      <c r="Q73" s="1010"/>
      <c r="R73" s="1010"/>
      <c r="S73" s="1010"/>
      <c r="T73" s="1010"/>
      <c r="U73" s="1010"/>
      <c r="V73" s="1010"/>
      <c r="W73" s="1010"/>
      <c r="X73" s="1010"/>
      <c r="Y73" s="1010"/>
      <c r="Z73" s="1010"/>
      <c r="AA73" s="1010"/>
      <c r="AB73" s="1010"/>
      <c r="AC73" s="1010"/>
      <c r="AD73" s="1010"/>
      <c r="AE73" s="1010"/>
      <c r="AF73" s="1010"/>
      <c r="AG73" s="1010"/>
      <c r="AH73" s="1010"/>
      <c r="AI73" s="1010"/>
      <c r="AJ73" s="1010"/>
      <c r="AK73" s="1010"/>
      <c r="AL73" s="1010"/>
      <c r="AM73" s="1010"/>
      <c r="AN73" s="1010"/>
      <c r="AO73" s="1010"/>
      <c r="AP73" s="1010"/>
      <c r="AQ73" s="1010"/>
      <c r="AR73" s="1010"/>
      <c r="AS73" s="1010"/>
      <c r="AT73" s="1010"/>
      <c r="AU73" s="1010"/>
      <c r="AV73" s="1010"/>
      <c r="AW73" s="1010"/>
      <c r="AX73" s="1010"/>
      <c r="AY73" s="1010"/>
      <c r="AZ73" s="1010"/>
      <c r="BA73" s="1010"/>
      <c r="BB73" s="1010"/>
      <c r="BC73" s="1010"/>
      <c r="BD73" s="1010"/>
      <c r="BE73" s="1010"/>
      <c r="BF73" s="1010"/>
      <c r="BG73" s="1010"/>
      <c r="BH73" s="1010"/>
      <c r="BI73" s="1010"/>
      <c r="BJ73" s="1010"/>
      <c r="BK73" s="1010"/>
      <c r="BL73" s="1010"/>
      <c r="BM73" s="1010"/>
      <c r="BN73" s="1010"/>
      <c r="BO73" s="1010"/>
      <c r="BP73" s="1010"/>
      <c r="BQ73" s="1010"/>
      <c r="BR73" s="1010"/>
      <c r="BS73" s="1010"/>
      <c r="BT73" s="1010"/>
      <c r="BU73" s="1010"/>
    </row>
    <row r="74" spans="1:73">
      <c r="A74" s="1010"/>
      <c r="B74" s="1012" t="s">
        <v>1143</v>
      </c>
      <c r="C74" s="1010"/>
      <c r="D74" s="1010"/>
      <c r="E74" s="1010"/>
      <c r="F74" s="1010"/>
      <c r="G74" s="1010"/>
      <c r="H74" s="1010"/>
      <c r="I74" s="1010"/>
      <c r="J74" s="1010"/>
      <c r="K74" s="1010"/>
      <c r="L74" s="1010"/>
      <c r="M74" s="1010"/>
      <c r="N74" s="1010"/>
      <c r="O74" s="1010"/>
      <c r="P74" s="1010"/>
      <c r="Q74" s="1010"/>
      <c r="R74" s="1010"/>
      <c r="S74" s="1010"/>
      <c r="T74" s="1010"/>
      <c r="U74" s="1010"/>
      <c r="V74" s="1010"/>
      <c r="W74" s="1010"/>
      <c r="X74" s="1010"/>
      <c r="Y74" s="1010"/>
      <c r="Z74" s="1010"/>
      <c r="AA74" s="1010"/>
      <c r="AB74" s="1010"/>
      <c r="AC74" s="1010"/>
      <c r="AD74" s="1010"/>
      <c r="AE74" s="1010"/>
      <c r="AF74" s="1010"/>
      <c r="AG74" s="1010"/>
      <c r="AH74" s="1010"/>
      <c r="AI74" s="1010"/>
      <c r="AJ74" s="1010"/>
      <c r="AK74" s="1010"/>
      <c r="AL74" s="1010"/>
      <c r="AM74" s="1010"/>
      <c r="AN74" s="1010"/>
      <c r="AO74" s="1010"/>
      <c r="AP74" s="1010"/>
      <c r="AQ74" s="1010"/>
      <c r="AR74" s="1010"/>
      <c r="AS74" s="1010"/>
      <c r="AT74" s="1010"/>
      <c r="AU74" s="1010"/>
      <c r="AV74" s="1010"/>
      <c r="AW74" s="1010"/>
      <c r="AX74" s="1010"/>
      <c r="AY74" s="1010"/>
      <c r="AZ74" s="1010"/>
      <c r="BA74" s="1010"/>
      <c r="BB74" s="1010"/>
      <c r="BC74" s="1010"/>
      <c r="BD74" s="1010"/>
      <c r="BE74" s="1010"/>
      <c r="BF74" s="1010"/>
      <c r="BG74" s="1010"/>
      <c r="BH74" s="1010"/>
      <c r="BI74" s="1010"/>
      <c r="BJ74" s="1010"/>
      <c r="BK74" s="1010"/>
      <c r="BL74" s="1010"/>
      <c r="BM74" s="1010"/>
      <c r="BN74" s="1010"/>
      <c r="BO74" s="1010"/>
      <c r="BP74" s="1010"/>
      <c r="BQ74" s="1010"/>
      <c r="BR74" s="1010"/>
      <c r="BS74" s="1010"/>
      <c r="BT74" s="1010"/>
      <c r="BU74" s="1010"/>
    </row>
    <row r="75" spans="1:73">
      <c r="A75" s="1010"/>
      <c r="B75" s="1010"/>
      <c r="C75" s="1010"/>
      <c r="D75" s="1010"/>
      <c r="E75" s="1010"/>
      <c r="F75" s="1010"/>
      <c r="G75" s="1010"/>
      <c r="H75" s="1010"/>
      <c r="I75" s="1010"/>
      <c r="J75" s="1010"/>
      <c r="K75" s="1010"/>
      <c r="L75" s="1010"/>
      <c r="M75" s="1010"/>
      <c r="N75" s="1010"/>
      <c r="O75" s="1010"/>
      <c r="P75" s="1010"/>
      <c r="Q75" s="1010"/>
      <c r="R75" s="1010"/>
      <c r="S75" s="1010"/>
      <c r="T75" s="1010"/>
      <c r="U75" s="1010"/>
      <c r="V75" s="1010"/>
      <c r="W75" s="1010"/>
      <c r="X75" s="1010"/>
      <c r="Y75" s="1010"/>
      <c r="Z75" s="1010"/>
      <c r="AA75" s="1010"/>
      <c r="AB75" s="1010"/>
      <c r="AC75" s="1010"/>
      <c r="AD75" s="1010"/>
      <c r="AE75" s="1010"/>
      <c r="AF75" s="1010"/>
      <c r="AG75" s="1010"/>
      <c r="AH75" s="1010"/>
      <c r="AI75" s="1010"/>
      <c r="AJ75" s="1010"/>
      <c r="AK75" s="1010"/>
      <c r="AL75" s="1010"/>
      <c r="AM75" s="1010"/>
      <c r="AN75" s="1010"/>
      <c r="AO75" s="1010"/>
      <c r="AP75" s="1010"/>
      <c r="AQ75" s="1010"/>
      <c r="AR75" s="1010"/>
      <c r="AS75" s="1010"/>
      <c r="AT75" s="1010"/>
      <c r="AU75" s="1010"/>
      <c r="AV75" s="1010"/>
      <c r="AW75" s="1010"/>
      <c r="AX75" s="1010"/>
      <c r="AY75" s="1010"/>
      <c r="AZ75" s="1010"/>
      <c r="BA75" s="1010"/>
      <c r="BB75" s="1010"/>
      <c r="BC75" s="1010"/>
      <c r="BD75" s="1010"/>
      <c r="BE75" s="1010"/>
      <c r="BF75" s="1010"/>
      <c r="BG75" s="1010"/>
      <c r="BH75" s="1010"/>
      <c r="BI75" s="1010"/>
      <c r="BJ75" s="1010"/>
      <c r="BK75" s="1010"/>
      <c r="BL75" s="1010"/>
      <c r="BM75" s="1010"/>
      <c r="BN75" s="1010"/>
      <c r="BO75" s="1010"/>
      <c r="BP75" s="1010"/>
      <c r="BQ75" s="1010"/>
      <c r="BR75" s="1010"/>
      <c r="BS75" s="1010"/>
      <c r="BT75" s="1010"/>
      <c r="BU75" s="1010"/>
    </row>
    <row r="76" spans="1:73" ht="51">
      <c r="A76" s="1010"/>
      <c r="B76" s="1021" t="s">
        <v>1140</v>
      </c>
      <c r="C76" s="1021" t="s">
        <v>1141</v>
      </c>
      <c r="D76" s="1021" t="s">
        <v>1142</v>
      </c>
      <c r="E76" s="1021" t="s">
        <v>1129</v>
      </c>
      <c r="F76" s="1021" t="s">
        <v>1130</v>
      </c>
      <c r="G76" s="1021" t="s">
        <v>989</v>
      </c>
      <c r="H76" s="1021" t="s">
        <v>122</v>
      </c>
      <c r="I76" s="1021" t="s">
        <v>123</v>
      </c>
      <c r="J76" s="1021" t="s">
        <v>1168</v>
      </c>
      <c r="K76" s="1021" t="s">
        <v>135</v>
      </c>
      <c r="L76" s="1021" t="s">
        <v>84</v>
      </c>
      <c r="M76" s="1021" t="s">
        <v>136</v>
      </c>
      <c r="N76" s="1021" t="s">
        <v>1128</v>
      </c>
      <c r="O76" s="1021" t="s">
        <v>137</v>
      </c>
      <c r="P76" s="1021" t="s">
        <v>138</v>
      </c>
      <c r="Q76" s="1021" t="s">
        <v>139</v>
      </c>
      <c r="R76" s="1021" t="s">
        <v>1134</v>
      </c>
      <c r="S76" s="1021" t="s">
        <v>45</v>
      </c>
      <c r="T76" s="1010"/>
      <c r="U76" s="1010"/>
      <c r="V76" s="1010"/>
      <c r="W76" s="1010"/>
      <c r="X76" s="1010"/>
      <c r="Y76" s="1010"/>
      <c r="Z76" s="1010"/>
      <c r="AA76" s="1010"/>
      <c r="AB76" s="1010"/>
      <c r="AC76" s="1010"/>
      <c r="AD76" s="1010"/>
      <c r="AE76" s="1010"/>
      <c r="AF76" s="1010"/>
      <c r="AG76" s="1010"/>
      <c r="AH76" s="1010"/>
      <c r="AI76" s="1010"/>
      <c r="AJ76" s="1010"/>
      <c r="AK76" s="1010"/>
      <c r="AL76" s="1010"/>
      <c r="AM76" s="1010"/>
      <c r="AN76" s="1010"/>
      <c r="AO76" s="1010"/>
      <c r="AP76" s="1010"/>
      <c r="AQ76" s="1010"/>
      <c r="AR76" s="1010"/>
      <c r="AS76" s="1010"/>
      <c r="AT76" s="1010"/>
      <c r="AU76" s="1010"/>
      <c r="AV76" s="1010"/>
      <c r="AW76" s="1010"/>
      <c r="AX76" s="1010"/>
      <c r="AY76" s="1010"/>
      <c r="AZ76" s="1010"/>
      <c r="BA76" s="1010"/>
      <c r="BB76" s="1010"/>
      <c r="BC76" s="1010"/>
      <c r="BD76" s="1010"/>
      <c r="BE76" s="1010"/>
      <c r="BF76" s="1010"/>
      <c r="BG76" s="1010"/>
      <c r="BH76" s="1010"/>
      <c r="BI76" s="1010"/>
      <c r="BJ76" s="1010"/>
      <c r="BK76" s="1010"/>
      <c r="BL76" s="1010"/>
      <c r="BM76" s="1010"/>
      <c r="BN76" s="1010"/>
      <c r="BO76" s="1010"/>
      <c r="BP76" s="1010"/>
      <c r="BQ76" s="1010"/>
      <c r="BR76" s="1010"/>
      <c r="BS76" s="1010"/>
      <c r="BT76" s="1010"/>
      <c r="BU76" s="1010"/>
    </row>
    <row r="77" spans="1:73">
      <c r="A77" s="1010"/>
      <c r="B77" s="1014" t="str">
        <f>+$B$3</f>
        <v>Operating Capacity Factor</v>
      </c>
      <c r="C77" s="1023">
        <f>+H3</f>
        <v>1.0185</v>
      </c>
      <c r="D77" s="1023" t="str">
        <f>+B77&amp;" = "&amp;C77*100&amp;"%"</f>
        <v>Operating Capacity Factor = 101.85%</v>
      </c>
      <c r="E77" s="1026">
        <f t="shared" ref="E77:S77" si="7">+K52</f>
        <v>2.3717195249913128</v>
      </c>
      <c r="F77" s="1026">
        <f t="shared" si="7"/>
        <v>0</v>
      </c>
      <c r="G77" s="1026">
        <f t="shared" si="7"/>
        <v>1.563645238373711E-3</v>
      </c>
      <c r="H77" s="1026">
        <f t="shared" si="7"/>
        <v>0.14230519547046708</v>
      </c>
      <c r="I77" s="1026">
        <f t="shared" si="7"/>
        <v>1.998628150073338E-2</v>
      </c>
      <c r="J77" s="1026">
        <f t="shared" si="7"/>
        <v>2.8142974902194199E-2</v>
      </c>
      <c r="K77" s="1026">
        <f t="shared" si="7"/>
        <v>5.2300058605452221E-3</v>
      </c>
      <c r="L77" s="1026">
        <f t="shared" si="7"/>
        <v>1.5430054877798405E-3</v>
      </c>
      <c r="M77" s="1026">
        <f t="shared" si="7"/>
        <v>0.24630506127300053</v>
      </c>
      <c r="N77" s="1026">
        <f t="shared" si="7"/>
        <v>1.3716385995415585</v>
      </c>
      <c r="O77" s="1026">
        <f t="shared" si="7"/>
        <v>0.20187941423095973</v>
      </c>
      <c r="P77" s="1026">
        <f t="shared" si="7"/>
        <v>0.24255998469951776</v>
      </c>
      <c r="Q77" s="1026">
        <f t="shared" si="7"/>
        <v>9.3484839642976575E-2</v>
      </c>
      <c r="R77" s="1026">
        <f t="shared" si="7"/>
        <v>1.6008255333838126E-2</v>
      </c>
      <c r="S77" s="1026">
        <f t="shared" si="7"/>
        <v>4.1995522861143818E-3</v>
      </c>
      <c r="T77" s="1010"/>
      <c r="U77" s="1010"/>
      <c r="V77" s="1010"/>
      <c r="W77" s="1010"/>
      <c r="X77" s="1010"/>
      <c r="Y77" s="1010"/>
      <c r="Z77" s="1010"/>
      <c r="AA77" s="1010"/>
      <c r="AB77" s="1010"/>
      <c r="AC77" s="1010"/>
      <c r="AD77" s="1010"/>
      <c r="AE77" s="1010"/>
      <c r="AF77" s="1010"/>
      <c r="AG77" s="1010"/>
      <c r="AH77" s="1010"/>
      <c r="AI77" s="1010"/>
      <c r="AJ77" s="1010"/>
      <c r="AK77" s="1010"/>
      <c r="AL77" s="1010"/>
      <c r="AM77" s="1010"/>
      <c r="AN77" s="1010"/>
      <c r="AO77" s="1010"/>
      <c r="AP77" s="1010"/>
      <c r="AQ77" s="1010"/>
      <c r="AR77" s="1010"/>
      <c r="AS77" s="1010"/>
      <c r="AT77" s="1010"/>
      <c r="AU77" s="1010"/>
      <c r="AV77" s="1010"/>
      <c r="AW77" s="1010"/>
      <c r="AX77" s="1010"/>
      <c r="AY77" s="1010"/>
      <c r="AZ77" s="1010"/>
      <c r="BA77" s="1010"/>
      <c r="BB77" s="1010"/>
      <c r="BC77" s="1010"/>
      <c r="BD77" s="1010"/>
      <c r="BE77" s="1010"/>
      <c r="BF77" s="1010"/>
      <c r="BG77" s="1010"/>
      <c r="BH77" s="1010"/>
      <c r="BI77" s="1010"/>
      <c r="BJ77" s="1010"/>
      <c r="BK77" s="1010"/>
      <c r="BL77" s="1010"/>
      <c r="BM77" s="1010"/>
      <c r="BN77" s="1010"/>
      <c r="BO77" s="1010"/>
      <c r="BP77" s="1010"/>
      <c r="BQ77" s="1010"/>
      <c r="BR77" s="1010"/>
      <c r="BS77" s="1010"/>
      <c r="BT77" s="1010"/>
      <c r="BU77" s="1010"/>
    </row>
    <row r="78" spans="1:73">
      <c r="A78" s="1010"/>
      <c r="B78" s="1014" t="str">
        <f t="shared" ref="B78:B79" si="8">+$B$3</f>
        <v>Operating Capacity Factor</v>
      </c>
      <c r="C78" s="1023">
        <f>+C3</f>
        <v>0.97</v>
      </c>
      <c r="D78" s="1014" t="str">
        <f t="shared" ref="D78:D79" si="9">+B78&amp;" = "&amp;C78*100&amp;"%"</f>
        <v>Operating Capacity Factor = 97%</v>
      </c>
      <c r="E78" s="1026">
        <f t="shared" ref="E78:S78" si="10">+K$51</f>
        <v>2.4111382454761561</v>
      </c>
      <c r="F78" s="1026">
        <f t="shared" si="10"/>
        <v>0</v>
      </c>
      <c r="G78" s="1026">
        <f t="shared" si="10"/>
        <v>1.6418275002923967E-3</v>
      </c>
      <c r="H78" s="1026">
        <f t="shared" si="10"/>
        <v>0.14942045524399045</v>
      </c>
      <c r="I78" s="1026">
        <f t="shared" si="10"/>
        <v>2.0985595575770056E-2</v>
      </c>
      <c r="J78" s="1026">
        <f t="shared" si="10"/>
        <v>2.8489350007646817E-2</v>
      </c>
      <c r="K78" s="1026">
        <f t="shared" si="10"/>
        <v>5.4915061535724839E-3</v>
      </c>
      <c r="L78" s="1026">
        <f t="shared" si="10"/>
        <v>1.6201557621688327E-3</v>
      </c>
      <c r="M78" s="1026">
        <f t="shared" si="10"/>
        <v>0.25862031433665061</v>
      </c>
      <c r="N78" s="1026">
        <f t="shared" si="10"/>
        <v>1.3716385995415594</v>
      </c>
      <c r="O78" s="1026">
        <f t="shared" si="10"/>
        <v>0.21197338494250778</v>
      </c>
      <c r="P78" s="1026">
        <f t="shared" si="10"/>
        <v>0.24553111712834094</v>
      </c>
      <c r="Q78" s="1026">
        <f t="shared" si="10"/>
        <v>9.8159081625125419E-2</v>
      </c>
      <c r="R78" s="1026">
        <f t="shared" si="10"/>
        <v>1.6440982758693726E-2</v>
      </c>
      <c r="S78" s="1026">
        <f t="shared" si="10"/>
        <v>4.4095299004201019E-3</v>
      </c>
      <c r="T78" s="1010"/>
      <c r="U78" s="1010"/>
      <c r="V78" s="1010"/>
      <c r="W78" s="1010"/>
      <c r="X78" s="1010"/>
      <c r="Y78" s="1010"/>
      <c r="Z78" s="1010"/>
      <c r="AA78" s="1010"/>
      <c r="AB78" s="1010"/>
      <c r="AC78" s="1010"/>
      <c r="AD78" s="1010"/>
      <c r="AE78" s="1010"/>
      <c r="AF78" s="1010"/>
      <c r="AG78" s="1010"/>
      <c r="AH78" s="1010"/>
      <c r="AI78" s="1010"/>
      <c r="AJ78" s="1010"/>
      <c r="AK78" s="1010"/>
      <c r="AL78" s="1010"/>
      <c r="AM78" s="1010"/>
      <c r="AN78" s="1010"/>
      <c r="AO78" s="1010"/>
      <c r="AP78" s="1010"/>
      <c r="AQ78" s="1010"/>
      <c r="AR78" s="1010"/>
      <c r="AS78" s="1010"/>
      <c r="AT78" s="1010"/>
      <c r="AU78" s="1010"/>
      <c r="AV78" s="1010"/>
      <c r="AW78" s="1010"/>
      <c r="AX78" s="1010"/>
      <c r="AY78" s="1010"/>
      <c r="AZ78" s="1010"/>
      <c r="BA78" s="1010"/>
      <c r="BB78" s="1010"/>
      <c r="BC78" s="1010"/>
      <c r="BD78" s="1010"/>
      <c r="BE78" s="1010"/>
      <c r="BF78" s="1010"/>
      <c r="BG78" s="1010"/>
      <c r="BH78" s="1010"/>
      <c r="BI78" s="1010"/>
      <c r="BJ78" s="1010"/>
      <c r="BK78" s="1010"/>
      <c r="BL78" s="1010"/>
      <c r="BM78" s="1010"/>
      <c r="BN78" s="1010"/>
      <c r="BO78" s="1010"/>
      <c r="BP78" s="1010"/>
      <c r="BQ78" s="1010"/>
      <c r="BR78" s="1010"/>
      <c r="BS78" s="1010"/>
      <c r="BT78" s="1010"/>
      <c r="BU78" s="1010"/>
    </row>
    <row r="79" spans="1:73">
      <c r="A79" s="1010"/>
      <c r="B79" s="1014" t="str">
        <f t="shared" si="8"/>
        <v>Operating Capacity Factor</v>
      </c>
      <c r="C79" s="1023">
        <f>+I3</f>
        <v>0.92149999999999999</v>
      </c>
      <c r="D79" s="1014" t="str">
        <f t="shared" si="9"/>
        <v>Operating Capacity Factor = 92.15%</v>
      </c>
      <c r="E79" s="1026">
        <f t="shared" ref="E79:S80" si="11">+K53</f>
        <v>2.4547063049594002</v>
      </c>
      <c r="F79" s="1026">
        <f t="shared" si="11"/>
        <v>0</v>
      </c>
      <c r="G79" s="1026">
        <f t="shared" si="11"/>
        <v>1.7282394739919966E-3</v>
      </c>
      <c r="H79" s="1026">
        <f t="shared" si="11"/>
        <v>0.15728468973051624</v>
      </c>
      <c r="I79" s="1026">
        <f t="shared" si="11"/>
        <v>2.2090100606073741E-2</v>
      </c>
      <c r="J79" s="1026">
        <f t="shared" si="11"/>
        <v>2.8872185650515511E-2</v>
      </c>
      <c r="K79" s="1026">
        <f t="shared" si="11"/>
        <v>5.7805327932341942E-3</v>
      </c>
      <c r="L79" s="1026">
        <f t="shared" si="11"/>
        <v>1.7054271180724553E-3</v>
      </c>
      <c r="M79" s="1026">
        <f t="shared" si="11"/>
        <v>0.27223190982805323</v>
      </c>
      <c r="N79" s="1026">
        <f t="shared" si="11"/>
        <v>1.3716385995415592</v>
      </c>
      <c r="O79" s="1026">
        <f t="shared" si="11"/>
        <v>0.22312987888685026</v>
      </c>
      <c r="P79" s="1026">
        <f t="shared" si="11"/>
        <v>0.2488150003391455</v>
      </c>
      <c r="Q79" s="1026">
        <f t="shared" si="11"/>
        <v>0.10332534907907938</v>
      </c>
      <c r="R79" s="1026">
        <f t="shared" si="11"/>
        <v>1.691926043879716E-2</v>
      </c>
      <c r="S79" s="1026">
        <f t="shared" si="11"/>
        <v>4.6416104214948434E-3</v>
      </c>
      <c r="T79" s="1010"/>
      <c r="U79" s="1010"/>
      <c r="V79" s="1010"/>
      <c r="W79" s="1010"/>
      <c r="X79" s="1010"/>
      <c r="Y79" s="1010"/>
      <c r="Z79" s="1010"/>
      <c r="AA79" s="1010"/>
      <c r="AB79" s="1010"/>
      <c r="AC79" s="1010"/>
      <c r="AD79" s="1010"/>
      <c r="AE79" s="1010"/>
      <c r="AF79" s="1010"/>
      <c r="AG79" s="1010"/>
      <c r="AH79" s="1010"/>
      <c r="AI79" s="1010"/>
      <c r="AJ79" s="1010"/>
      <c r="AK79" s="1010"/>
      <c r="AL79" s="1010"/>
      <c r="AM79" s="1010"/>
      <c r="AN79" s="1010"/>
      <c r="AO79" s="1010"/>
      <c r="AP79" s="1010"/>
      <c r="AQ79" s="1010"/>
      <c r="AR79" s="1010"/>
      <c r="AS79" s="1010"/>
      <c r="AT79" s="1010"/>
      <c r="AU79" s="1010"/>
      <c r="AV79" s="1010"/>
      <c r="AW79" s="1010"/>
      <c r="AX79" s="1010"/>
      <c r="AY79" s="1010"/>
      <c r="AZ79" s="1010"/>
      <c r="BA79" s="1010"/>
      <c r="BB79" s="1010"/>
      <c r="BC79" s="1010"/>
      <c r="BD79" s="1010"/>
      <c r="BE79" s="1010"/>
      <c r="BF79" s="1010"/>
      <c r="BG79" s="1010"/>
      <c r="BH79" s="1010"/>
      <c r="BI79" s="1010"/>
      <c r="BJ79" s="1010"/>
      <c r="BK79" s="1010"/>
      <c r="BL79" s="1010"/>
      <c r="BM79" s="1010"/>
      <c r="BN79" s="1010"/>
      <c r="BO79" s="1010"/>
      <c r="BP79" s="1010"/>
      <c r="BQ79" s="1010"/>
      <c r="BR79" s="1010"/>
      <c r="BS79" s="1010"/>
      <c r="BT79" s="1010"/>
      <c r="BU79" s="1010"/>
    </row>
    <row r="80" spans="1:73">
      <c r="A80" s="1010"/>
      <c r="B80" s="1014" t="str">
        <f>+$B$4</f>
        <v>Plant Design Capacity (kg of H2/day)</v>
      </c>
      <c r="C80" s="1031">
        <f ca="1">ROUND(H4,0)</f>
        <v>59325</v>
      </c>
      <c r="D80" s="1014" t="str">
        <f ca="1">+B80&amp;" = "&amp;TEXT(C80,"0,000")</f>
        <v>Plant Design Capacity (kg of H2/day) = 59325,000</v>
      </c>
      <c r="E80" s="1026">
        <f t="shared" si="11"/>
        <v>2.4017774627996471</v>
      </c>
      <c r="F80" s="1026">
        <f t="shared" si="11"/>
        <v>0</v>
      </c>
      <c r="G80" s="1026">
        <f t="shared" si="11"/>
        <v>1.6242986372420952E-3</v>
      </c>
      <c r="H80" s="1026">
        <f t="shared" si="11"/>
        <v>0.147825177605859</v>
      </c>
      <c r="I80" s="1026">
        <f t="shared" si="11"/>
        <v>2.0761544248324784E-2</v>
      </c>
      <c r="J80" s="1026">
        <f t="shared" si="11"/>
        <v>2.8404680173223534E-2</v>
      </c>
      <c r="K80" s="1026">
        <f t="shared" si="11"/>
        <v>5.4328764502152701E-3</v>
      </c>
      <c r="L80" s="1026">
        <f t="shared" si="11"/>
        <v>1.6028582760016462E-3</v>
      </c>
      <c r="M80" s="1026">
        <f t="shared" si="11"/>
        <v>0.25241644557762755</v>
      </c>
      <c r="N80" s="1026">
        <f t="shared" si="11"/>
        <v>1.3716385995415585</v>
      </c>
      <c r="O80" s="1026">
        <f t="shared" si="11"/>
        <v>0.2119733849425077</v>
      </c>
      <c r="P80" s="1026">
        <f t="shared" si="11"/>
        <v>0.24553111712834089</v>
      </c>
      <c r="Q80" s="1026">
        <f t="shared" si="11"/>
        <v>9.7111092662433673E-2</v>
      </c>
      <c r="R80" s="1026">
        <f t="shared" si="11"/>
        <v>1.6341532985607313E-2</v>
      </c>
      <c r="S80" s="1026">
        <f t="shared" si="11"/>
        <v>4.3624518451878024E-3</v>
      </c>
      <c r="T80" s="1010"/>
      <c r="U80" s="1010"/>
      <c r="V80" s="1010"/>
      <c r="W80" s="1010"/>
      <c r="X80" s="1010"/>
      <c r="Y80" s="1010"/>
      <c r="Z80" s="1010"/>
      <c r="AA80" s="1010"/>
      <c r="AB80" s="1010"/>
      <c r="AC80" s="1010"/>
      <c r="AD80" s="1010"/>
      <c r="AE80" s="1010"/>
      <c r="AF80" s="1010"/>
      <c r="AG80" s="1010"/>
      <c r="AH80" s="1010"/>
      <c r="AI80" s="1010"/>
      <c r="AJ80" s="1010"/>
      <c r="AK80" s="1010"/>
      <c r="AL80" s="1010"/>
      <c r="AM80" s="1010"/>
      <c r="AN80" s="1010"/>
      <c r="AO80" s="1010"/>
      <c r="AP80" s="1010"/>
      <c r="AQ80" s="1010"/>
      <c r="AR80" s="1010"/>
      <c r="AS80" s="1010"/>
      <c r="AT80" s="1010"/>
      <c r="AU80" s="1010"/>
      <c r="AV80" s="1010"/>
      <c r="AW80" s="1010"/>
      <c r="AX80" s="1010"/>
      <c r="AY80" s="1010"/>
      <c r="AZ80" s="1010"/>
      <c r="BA80" s="1010"/>
      <c r="BB80" s="1010"/>
      <c r="BC80" s="1010"/>
      <c r="BD80" s="1010"/>
      <c r="BE80" s="1010"/>
      <c r="BF80" s="1010"/>
      <c r="BG80" s="1010"/>
      <c r="BH80" s="1010"/>
      <c r="BI80" s="1010"/>
      <c r="BJ80" s="1010"/>
      <c r="BK80" s="1010"/>
      <c r="BL80" s="1010"/>
      <c r="BM80" s="1010"/>
      <c r="BN80" s="1010"/>
      <c r="BO80" s="1010"/>
      <c r="BP80" s="1010"/>
      <c r="BQ80" s="1010"/>
      <c r="BR80" s="1010"/>
      <c r="BS80" s="1010"/>
      <c r="BT80" s="1010"/>
      <c r="BU80" s="1010"/>
    </row>
    <row r="81" spans="1:73">
      <c r="A81" s="1010"/>
      <c r="B81" s="1014" t="str">
        <f t="shared" ref="B81:B82" si="12">+$B$4</f>
        <v>Plant Design Capacity (kg of H2/day)</v>
      </c>
      <c r="C81" s="1031">
        <f ca="1">+ROUND(C4,0)</f>
        <v>56500</v>
      </c>
      <c r="D81" s="1014" t="str">
        <f t="shared" ref="D81:D82" ca="1" si="13">+B81&amp;" = "&amp;TEXT(C81,"0,000")</f>
        <v>Plant Design Capacity (kg of H2/day) = 56500,000</v>
      </c>
      <c r="E81" s="1026">
        <f t="shared" ref="E81:S81" si="14">+K$51</f>
        <v>2.4111382454761561</v>
      </c>
      <c r="F81" s="1026">
        <f t="shared" si="14"/>
        <v>0</v>
      </c>
      <c r="G81" s="1026">
        <f t="shared" si="14"/>
        <v>1.6418275002923967E-3</v>
      </c>
      <c r="H81" s="1026">
        <f t="shared" si="14"/>
        <v>0.14942045524399045</v>
      </c>
      <c r="I81" s="1026">
        <f t="shared" si="14"/>
        <v>2.0985595575770056E-2</v>
      </c>
      <c r="J81" s="1026">
        <f t="shared" si="14"/>
        <v>2.8489350007646817E-2</v>
      </c>
      <c r="K81" s="1026">
        <f t="shared" si="14"/>
        <v>5.4915061535724839E-3</v>
      </c>
      <c r="L81" s="1026">
        <f t="shared" si="14"/>
        <v>1.6201557621688327E-3</v>
      </c>
      <c r="M81" s="1026">
        <f t="shared" si="14"/>
        <v>0.25862031433665061</v>
      </c>
      <c r="N81" s="1026">
        <f t="shared" si="14"/>
        <v>1.3716385995415594</v>
      </c>
      <c r="O81" s="1026">
        <f t="shared" si="14"/>
        <v>0.21197338494250778</v>
      </c>
      <c r="P81" s="1026">
        <f t="shared" si="14"/>
        <v>0.24553111712834094</v>
      </c>
      <c r="Q81" s="1026">
        <f t="shared" si="14"/>
        <v>9.8159081625125419E-2</v>
      </c>
      <c r="R81" s="1026">
        <f t="shared" si="14"/>
        <v>1.6440982758693726E-2</v>
      </c>
      <c r="S81" s="1026">
        <f t="shared" si="14"/>
        <v>4.4095299004201019E-3</v>
      </c>
      <c r="T81" s="1010"/>
      <c r="U81" s="1010"/>
      <c r="V81" s="1010"/>
      <c r="W81" s="1010"/>
      <c r="X81" s="1010"/>
      <c r="Y81" s="1010"/>
      <c r="Z81" s="1010"/>
      <c r="AA81" s="1010"/>
      <c r="AB81" s="1010"/>
      <c r="AC81" s="1010"/>
      <c r="AD81" s="1010"/>
      <c r="AE81" s="1010"/>
      <c r="AF81" s="1010"/>
      <c r="AG81" s="1010"/>
      <c r="AH81" s="1010"/>
      <c r="AI81" s="1010"/>
      <c r="AJ81" s="1010"/>
      <c r="AK81" s="1010"/>
      <c r="AL81" s="1010"/>
      <c r="AM81" s="1010"/>
      <c r="AN81" s="1010"/>
      <c r="AO81" s="1010"/>
      <c r="AP81" s="1010"/>
      <c r="AQ81" s="1010"/>
      <c r="AR81" s="1010"/>
      <c r="AS81" s="1010"/>
      <c r="AT81" s="1010"/>
      <c r="AU81" s="1010"/>
      <c r="AV81" s="1010"/>
      <c r="AW81" s="1010"/>
      <c r="AX81" s="1010"/>
      <c r="AY81" s="1010"/>
      <c r="AZ81" s="1010"/>
      <c r="BA81" s="1010"/>
      <c r="BB81" s="1010"/>
      <c r="BC81" s="1010"/>
      <c r="BD81" s="1010"/>
      <c r="BE81" s="1010"/>
      <c r="BF81" s="1010"/>
      <c r="BG81" s="1010"/>
      <c r="BH81" s="1010"/>
      <c r="BI81" s="1010"/>
      <c r="BJ81" s="1010"/>
      <c r="BK81" s="1010"/>
      <c r="BL81" s="1010"/>
      <c r="BM81" s="1010"/>
      <c r="BN81" s="1010"/>
      <c r="BO81" s="1010"/>
      <c r="BP81" s="1010"/>
      <c r="BQ81" s="1010"/>
      <c r="BR81" s="1010"/>
      <c r="BS81" s="1010"/>
      <c r="BT81" s="1010"/>
      <c r="BU81" s="1010"/>
    </row>
    <row r="82" spans="1:73">
      <c r="A82" s="1010"/>
      <c r="B82" s="1014" t="str">
        <f t="shared" si="12"/>
        <v>Plant Design Capacity (kg of H2/day)</v>
      </c>
      <c r="C82" s="1031">
        <f ca="1">ROUND(I4,0)</f>
        <v>53675</v>
      </c>
      <c r="D82" s="1014" t="str">
        <f t="shared" ca="1" si="13"/>
        <v>Plant Design Capacity (kg of H2/day) = 53675,000</v>
      </c>
      <c r="E82" s="1026">
        <f t="shared" ref="E82:S83" si="15">+K55</f>
        <v>2.4212711951023391</v>
      </c>
      <c r="F82" s="1026">
        <f t="shared" si="15"/>
        <v>0</v>
      </c>
      <c r="G82" s="1026">
        <f t="shared" si="15"/>
        <v>1.6604596732696653E-3</v>
      </c>
      <c r="H82" s="1026">
        <f t="shared" si="15"/>
        <v>0.1511161435961178</v>
      </c>
      <c r="I82" s="1026">
        <f t="shared" si="15"/>
        <v>2.122374924704741E-2</v>
      </c>
      <c r="J82" s="1026">
        <f t="shared" si="15"/>
        <v>2.8581801345220675E-2</v>
      </c>
      <c r="K82" s="1026">
        <f t="shared" si="15"/>
        <v>5.5538261552418875E-3</v>
      </c>
      <c r="L82" s="1026">
        <f t="shared" si="15"/>
        <v>1.6385419948305904E-3</v>
      </c>
      <c r="M82" s="1026">
        <f t="shared" si="15"/>
        <v>0.26539434394012101</v>
      </c>
      <c r="N82" s="1026">
        <f t="shared" si="15"/>
        <v>1.3716385995415592</v>
      </c>
      <c r="O82" s="1026">
        <f t="shared" si="15"/>
        <v>0.21197338494250781</v>
      </c>
      <c r="P82" s="1026">
        <f t="shared" si="15"/>
        <v>0.24553111712834097</v>
      </c>
      <c r="Q82" s="1026">
        <f t="shared" si="15"/>
        <v>9.9273033601081154E-2</v>
      </c>
      <c r="R82" s="1026">
        <f t="shared" si="15"/>
        <v>1.6547542118833171E-2</v>
      </c>
      <c r="S82" s="1026">
        <f t="shared" si="15"/>
        <v>4.4595711647054384E-3</v>
      </c>
      <c r="T82" s="1010"/>
      <c r="U82" s="1010"/>
      <c r="V82" s="1010"/>
      <c r="W82" s="1010"/>
      <c r="X82" s="1010"/>
      <c r="Y82" s="1010"/>
      <c r="Z82" s="1010"/>
      <c r="AA82" s="1010"/>
      <c r="AB82" s="1010"/>
      <c r="AC82" s="1010"/>
      <c r="AD82" s="1010"/>
      <c r="AE82" s="1010"/>
      <c r="AF82" s="1010"/>
      <c r="AG82" s="1010"/>
      <c r="AH82" s="1010"/>
      <c r="AI82" s="1010"/>
      <c r="AJ82" s="1010"/>
      <c r="AK82" s="1010"/>
      <c r="AL82" s="1010"/>
      <c r="AM82" s="1010"/>
      <c r="AN82" s="1010"/>
      <c r="AO82" s="1010"/>
      <c r="AP82" s="1010"/>
      <c r="AQ82" s="1010"/>
      <c r="AR82" s="1010"/>
      <c r="AS82" s="1010"/>
      <c r="AT82" s="1010"/>
      <c r="AU82" s="1010"/>
      <c r="AV82" s="1010"/>
      <c r="AW82" s="1010"/>
      <c r="AX82" s="1010"/>
      <c r="AY82" s="1010"/>
      <c r="AZ82" s="1010"/>
      <c r="BA82" s="1010"/>
      <c r="BB82" s="1010"/>
      <c r="BC82" s="1010"/>
      <c r="BD82" s="1010"/>
      <c r="BE82" s="1010"/>
      <c r="BF82" s="1010"/>
      <c r="BG82" s="1010"/>
      <c r="BH82" s="1010"/>
      <c r="BI82" s="1010"/>
      <c r="BJ82" s="1010"/>
      <c r="BK82" s="1010"/>
      <c r="BL82" s="1010"/>
      <c r="BM82" s="1010"/>
      <c r="BN82" s="1010"/>
      <c r="BO82" s="1010"/>
      <c r="BP82" s="1010"/>
      <c r="BQ82" s="1010"/>
      <c r="BR82" s="1010"/>
      <c r="BS82" s="1010"/>
      <c r="BT82" s="1010"/>
      <c r="BU82" s="1010"/>
    </row>
    <row r="83" spans="1:73">
      <c r="A83" s="1010"/>
      <c r="B83" s="1014" t="str">
        <f>+$B$5</f>
        <v>After-tax Real IRR</v>
      </c>
      <c r="C83" s="1023">
        <f ca="1">+ROUND(H5,2)</f>
        <v>0.08</v>
      </c>
      <c r="D83" s="1014" t="str">
        <f t="shared" ref="D83:D85" ca="1" si="16">+B83&amp;" = "&amp;C83*100&amp;"%"</f>
        <v>After-tax Real IRR = 8%</v>
      </c>
      <c r="E83" s="1026">
        <f t="shared" si="15"/>
        <v>2.3981518107823239</v>
      </c>
      <c r="F83" s="1026">
        <f t="shared" si="15"/>
        <v>0</v>
      </c>
      <c r="G83" s="1026">
        <f t="shared" si="15"/>
        <v>1.8205055488574227E-3</v>
      </c>
      <c r="H83" s="1026">
        <f t="shared" si="15"/>
        <v>0.14241276366491534</v>
      </c>
      <c r="I83" s="1026">
        <f t="shared" si="15"/>
        <v>2.0952547202839879E-2</v>
      </c>
      <c r="J83" s="1026">
        <f t="shared" si="15"/>
        <v>2.7404339406443594E-2</v>
      </c>
      <c r="K83" s="1026">
        <f t="shared" si="15"/>
        <v>5.2104306666281358E-3</v>
      </c>
      <c r="L83" s="1026">
        <f t="shared" si="15"/>
        <v>1.7964753023788451E-3</v>
      </c>
      <c r="M83" s="1026">
        <f t="shared" si="15"/>
        <v>0.25821303589822564</v>
      </c>
      <c r="N83" s="1026">
        <f t="shared" si="15"/>
        <v>1.370562847202597</v>
      </c>
      <c r="O83" s="1026">
        <f t="shared" si="15"/>
        <v>0.2118031716072182</v>
      </c>
      <c r="P83" s="1026">
        <f t="shared" si="15"/>
        <v>0.24571493542281861</v>
      </c>
      <c r="Q83" s="1026">
        <f t="shared" si="15"/>
        <v>9.643493075003963E-2</v>
      </c>
      <c r="R83" s="1026">
        <f t="shared" si="15"/>
        <v>1.4577425641924701E-2</v>
      </c>
      <c r="S83" s="1026">
        <f t="shared" si="15"/>
        <v>4.8894135651509464E-3</v>
      </c>
      <c r="T83" s="1010"/>
      <c r="U83" s="1010"/>
      <c r="V83" s="1010"/>
      <c r="W83" s="1010"/>
      <c r="X83" s="1010"/>
      <c r="Y83" s="1010"/>
      <c r="Z83" s="1010"/>
      <c r="AA83" s="1010"/>
      <c r="AB83" s="1010"/>
      <c r="AC83" s="1010"/>
      <c r="AD83" s="1010"/>
      <c r="AE83" s="1010"/>
      <c r="AF83" s="1010"/>
      <c r="AG83" s="1010"/>
      <c r="AH83" s="1010"/>
      <c r="AI83" s="1010"/>
      <c r="AJ83" s="1010"/>
      <c r="AK83" s="1010"/>
      <c r="AL83" s="1010"/>
      <c r="AM83" s="1010"/>
      <c r="AN83" s="1010"/>
      <c r="AO83" s="1010"/>
      <c r="AP83" s="1010"/>
      <c r="AQ83" s="1010"/>
      <c r="AR83" s="1010"/>
      <c r="AS83" s="1010"/>
      <c r="AT83" s="1010"/>
      <c r="AU83" s="1010"/>
      <c r="AV83" s="1010"/>
      <c r="AW83" s="1010"/>
      <c r="AX83" s="1010"/>
      <c r="AY83" s="1010"/>
      <c r="AZ83" s="1010"/>
      <c r="BA83" s="1010"/>
      <c r="BB83" s="1010"/>
      <c r="BC83" s="1010"/>
      <c r="BD83" s="1010"/>
      <c r="BE83" s="1010"/>
      <c r="BF83" s="1010"/>
      <c r="BG83" s="1010"/>
      <c r="BH83" s="1010"/>
      <c r="BI83" s="1010"/>
      <c r="BJ83" s="1010"/>
      <c r="BK83" s="1010"/>
      <c r="BL83" s="1010"/>
      <c r="BM83" s="1010"/>
      <c r="BN83" s="1010"/>
      <c r="BO83" s="1010"/>
      <c r="BP83" s="1010"/>
      <c r="BQ83" s="1010"/>
      <c r="BR83" s="1010"/>
      <c r="BS83" s="1010"/>
      <c r="BT83" s="1010"/>
      <c r="BU83" s="1010"/>
    </row>
    <row r="84" spans="1:73">
      <c r="A84" s="1010"/>
      <c r="B84" s="1014" t="str">
        <f t="shared" ref="B84:B85" si="17">+$B$5</f>
        <v>After-tax Real IRR</v>
      </c>
      <c r="C84" s="1023">
        <f ca="1">ROUND(C5,2)</f>
        <v>0.08</v>
      </c>
      <c r="D84" s="1014" t="str">
        <f t="shared" ca="1" si="16"/>
        <v>After-tax Real IRR = 8%</v>
      </c>
      <c r="E84" s="1026">
        <f t="shared" ref="E84:S84" si="18">+K$51</f>
        <v>2.4111382454761561</v>
      </c>
      <c r="F84" s="1026">
        <f t="shared" si="18"/>
        <v>0</v>
      </c>
      <c r="G84" s="1026">
        <f t="shared" si="18"/>
        <v>1.6418275002923967E-3</v>
      </c>
      <c r="H84" s="1026">
        <f t="shared" si="18"/>
        <v>0.14942045524399045</v>
      </c>
      <c r="I84" s="1026">
        <f t="shared" si="18"/>
        <v>2.0985595575770056E-2</v>
      </c>
      <c r="J84" s="1026">
        <f t="shared" si="18"/>
        <v>2.8489350007646817E-2</v>
      </c>
      <c r="K84" s="1026">
        <f t="shared" si="18"/>
        <v>5.4915061535724839E-3</v>
      </c>
      <c r="L84" s="1026">
        <f t="shared" si="18"/>
        <v>1.6201557621688327E-3</v>
      </c>
      <c r="M84" s="1026">
        <f t="shared" si="18"/>
        <v>0.25862031433665061</v>
      </c>
      <c r="N84" s="1026">
        <f t="shared" si="18"/>
        <v>1.3716385995415594</v>
      </c>
      <c r="O84" s="1026">
        <f t="shared" si="18"/>
        <v>0.21197338494250778</v>
      </c>
      <c r="P84" s="1026">
        <f t="shared" si="18"/>
        <v>0.24553111712834094</v>
      </c>
      <c r="Q84" s="1026">
        <f t="shared" si="18"/>
        <v>9.8159081625125419E-2</v>
      </c>
      <c r="R84" s="1026">
        <f t="shared" si="18"/>
        <v>1.6440982758693726E-2</v>
      </c>
      <c r="S84" s="1026">
        <f t="shared" si="18"/>
        <v>4.4095299004201019E-3</v>
      </c>
      <c r="T84" s="1010"/>
      <c r="U84" s="1010"/>
      <c r="V84" s="1010"/>
      <c r="W84" s="1010"/>
      <c r="X84" s="1010"/>
      <c r="Y84" s="1010"/>
      <c r="Z84" s="1010"/>
      <c r="AA84" s="1010"/>
      <c r="AB84" s="1010"/>
      <c r="AC84" s="1010"/>
      <c r="AD84" s="1010"/>
      <c r="AE84" s="1010"/>
      <c r="AF84" s="1010"/>
      <c r="AG84" s="1010"/>
      <c r="AH84" s="1010"/>
      <c r="AI84" s="1010"/>
      <c r="AJ84" s="1010"/>
      <c r="AK84" s="1010"/>
      <c r="AL84" s="1010"/>
      <c r="AM84" s="1010"/>
      <c r="AN84" s="1010"/>
      <c r="AO84" s="1010"/>
      <c r="AP84" s="1010"/>
      <c r="AQ84" s="1010"/>
      <c r="AR84" s="1010"/>
      <c r="AS84" s="1010"/>
      <c r="AT84" s="1010"/>
      <c r="AU84" s="1010"/>
      <c r="AV84" s="1010"/>
      <c r="AW84" s="1010"/>
      <c r="AX84" s="1010"/>
      <c r="AY84" s="1010"/>
      <c r="AZ84" s="1010"/>
      <c r="BA84" s="1010"/>
      <c r="BB84" s="1010"/>
      <c r="BC84" s="1010"/>
      <c r="BD84" s="1010"/>
      <c r="BE84" s="1010"/>
      <c r="BF84" s="1010"/>
      <c r="BG84" s="1010"/>
      <c r="BH84" s="1010"/>
      <c r="BI84" s="1010"/>
      <c r="BJ84" s="1010"/>
      <c r="BK84" s="1010"/>
      <c r="BL84" s="1010"/>
      <c r="BM84" s="1010"/>
      <c r="BN84" s="1010"/>
      <c r="BO84" s="1010"/>
      <c r="BP84" s="1010"/>
      <c r="BQ84" s="1010"/>
      <c r="BR84" s="1010"/>
      <c r="BS84" s="1010"/>
      <c r="BT84" s="1010"/>
      <c r="BU84" s="1010"/>
    </row>
    <row r="85" spans="1:73">
      <c r="A85" s="1010"/>
      <c r="B85" s="1014" t="str">
        <f t="shared" si="17"/>
        <v>After-tax Real IRR</v>
      </c>
      <c r="C85" s="1023">
        <f ca="1">ROUND(I5,2)</f>
        <v>0.08</v>
      </c>
      <c r="D85" s="1014" t="str">
        <f t="shared" ca="1" si="16"/>
        <v>After-tax Real IRR = 8%</v>
      </c>
      <c r="E85" s="1026">
        <f t="shared" ref="E85:S86" si="19">+K57</f>
        <v>2.4244248794700054</v>
      </c>
      <c r="F85" s="1026">
        <f t="shared" si="19"/>
        <v>0</v>
      </c>
      <c r="G85" s="1026">
        <f t="shared" si="19"/>
        <v>1.4794948863293543E-3</v>
      </c>
      <c r="H85" s="1026">
        <f t="shared" si="19"/>
        <v>0.15655995420919266</v>
      </c>
      <c r="I85" s="1026">
        <f t="shared" si="19"/>
        <v>2.1018904071997496E-2</v>
      </c>
      <c r="J85" s="1026">
        <f t="shared" si="19"/>
        <v>2.9568156104698755E-2</v>
      </c>
      <c r="K85" s="1026">
        <f t="shared" si="19"/>
        <v>5.7797564634626767E-3</v>
      </c>
      <c r="L85" s="1026">
        <f t="shared" si="19"/>
        <v>1.4599659006557851E-3</v>
      </c>
      <c r="M85" s="1026">
        <f t="shared" si="19"/>
        <v>0.25903079845816712</v>
      </c>
      <c r="N85" s="1026">
        <f t="shared" si="19"/>
        <v>1.3727252497452316</v>
      </c>
      <c r="O85" s="1026">
        <f t="shared" si="19"/>
        <v>0.21214493802466211</v>
      </c>
      <c r="P85" s="1026">
        <f t="shared" si="19"/>
        <v>0.24535660127597192</v>
      </c>
      <c r="Q85" s="1026">
        <f t="shared" si="19"/>
        <v>9.9895435720664921E-2</v>
      </c>
      <c r="R85" s="1026">
        <f t="shared" si="19"/>
        <v>1.8391068477671794E-2</v>
      </c>
      <c r="S85" s="1026">
        <f t="shared" si="19"/>
        <v>3.9735459039552425E-3</v>
      </c>
      <c r="T85" s="1010"/>
      <c r="U85" s="1010"/>
      <c r="V85" s="1010"/>
      <c r="W85" s="1010"/>
      <c r="X85" s="1010"/>
      <c r="Y85" s="1010"/>
      <c r="Z85" s="1010"/>
      <c r="AA85" s="1010"/>
      <c r="AB85" s="1010"/>
      <c r="AC85" s="1010"/>
      <c r="AD85" s="1010"/>
      <c r="AE85" s="1010"/>
      <c r="AF85" s="1010"/>
      <c r="AG85" s="1010"/>
      <c r="AH85" s="1010"/>
      <c r="AI85" s="1010"/>
      <c r="AJ85" s="1010"/>
      <c r="AK85" s="1010"/>
      <c r="AL85" s="1010"/>
      <c r="AM85" s="1010"/>
      <c r="AN85" s="1010"/>
      <c r="AO85" s="1010"/>
      <c r="AP85" s="1010"/>
      <c r="AQ85" s="1010"/>
      <c r="AR85" s="1010"/>
      <c r="AS85" s="1010"/>
      <c r="AT85" s="1010"/>
      <c r="AU85" s="1010"/>
      <c r="AV85" s="1010"/>
      <c r="AW85" s="1010"/>
      <c r="AX85" s="1010"/>
      <c r="AY85" s="1010"/>
      <c r="AZ85" s="1010"/>
      <c r="BA85" s="1010"/>
      <c r="BB85" s="1010"/>
      <c r="BC85" s="1010"/>
      <c r="BD85" s="1010"/>
      <c r="BE85" s="1010"/>
      <c r="BF85" s="1010"/>
      <c r="BG85" s="1010"/>
      <c r="BH85" s="1010"/>
      <c r="BI85" s="1010"/>
      <c r="BJ85" s="1010"/>
      <c r="BK85" s="1010"/>
      <c r="BL85" s="1010"/>
      <c r="BM85" s="1010"/>
      <c r="BN85" s="1010"/>
      <c r="BO85" s="1010"/>
      <c r="BP85" s="1010"/>
      <c r="BQ85" s="1010"/>
      <c r="BR85" s="1010"/>
      <c r="BS85" s="1010"/>
      <c r="BT85" s="1010"/>
      <c r="BU85" s="1010"/>
    </row>
    <row r="86" spans="1:73">
      <c r="A86" s="1010"/>
      <c r="B86" s="1014" t="str">
        <f>+$B$6</f>
        <v>Feedstock Consumption (% of baseline)</v>
      </c>
      <c r="C86" s="1014">
        <f>+ROUND(H6,3)</f>
        <v>0.95</v>
      </c>
      <c r="D86" s="1013" t="str">
        <f>+B86&amp;" = "&amp;C86*100&amp;"%"</f>
        <v>Feedstock Consumption (% of baseline) = 95%</v>
      </c>
      <c r="E86" s="1034">
        <f t="shared" si="19"/>
        <v>2.3412960583840761</v>
      </c>
      <c r="F86" s="1026">
        <f t="shared" si="19"/>
        <v>0</v>
      </c>
      <c r="G86" s="1026">
        <f t="shared" si="19"/>
        <v>1.6418275002923967E-3</v>
      </c>
      <c r="H86" s="1026">
        <f t="shared" si="19"/>
        <v>0.14942045524399045</v>
      </c>
      <c r="I86" s="1026">
        <f t="shared" si="19"/>
        <v>2.0985595575770056E-2</v>
      </c>
      <c r="J86" s="1026">
        <f t="shared" si="19"/>
        <v>2.7553483074046994E-2</v>
      </c>
      <c r="K86" s="1026">
        <f t="shared" si="19"/>
        <v>5.4915061535724839E-3</v>
      </c>
      <c r="L86" s="1026">
        <f t="shared" si="19"/>
        <v>1.6201557621688327E-3</v>
      </c>
      <c r="M86" s="1026">
        <f t="shared" si="19"/>
        <v>0.25862031433665061</v>
      </c>
      <c r="N86" s="1026">
        <f t="shared" si="19"/>
        <v>1.303056669564481</v>
      </c>
      <c r="O86" s="1026">
        <f t="shared" si="19"/>
        <v>0.21197338494250778</v>
      </c>
      <c r="P86" s="1026">
        <f t="shared" si="19"/>
        <v>0.24553111712834094</v>
      </c>
      <c r="Q86" s="1026">
        <f t="shared" si="19"/>
        <v>9.8159081625125419E-2</v>
      </c>
      <c r="R86" s="1026">
        <f t="shared" si="19"/>
        <v>1.6116592577292373E-2</v>
      </c>
      <c r="S86" s="1026">
        <f t="shared" si="19"/>
        <v>4.4095299004201019E-3</v>
      </c>
      <c r="T86" s="1010"/>
      <c r="U86" s="1010"/>
      <c r="V86" s="1010"/>
      <c r="W86" s="1010"/>
      <c r="X86" s="1010"/>
      <c r="Y86" s="1010"/>
      <c r="Z86" s="1010"/>
      <c r="AA86" s="1010"/>
      <c r="AB86" s="1010"/>
      <c r="AC86" s="1010"/>
      <c r="AD86" s="1010"/>
      <c r="AE86" s="1010"/>
      <c r="AF86" s="1010"/>
      <c r="AG86" s="1010"/>
      <c r="AH86" s="1010"/>
      <c r="AI86" s="1010"/>
      <c r="AJ86" s="1010"/>
      <c r="AK86" s="1010"/>
      <c r="AL86" s="1010"/>
      <c r="AM86" s="1010"/>
      <c r="AN86" s="1010"/>
      <c r="AO86" s="1010"/>
      <c r="AP86" s="1010"/>
      <c r="AQ86" s="1010"/>
      <c r="AR86" s="1010"/>
      <c r="AS86" s="1010"/>
      <c r="AT86" s="1010"/>
      <c r="AU86" s="1010"/>
      <c r="AV86" s="1010"/>
      <c r="AW86" s="1010"/>
      <c r="AX86" s="1010"/>
      <c r="AY86" s="1010"/>
      <c r="AZ86" s="1010"/>
      <c r="BA86" s="1010"/>
      <c r="BB86" s="1010"/>
      <c r="BC86" s="1010"/>
      <c r="BD86" s="1010"/>
      <c r="BE86" s="1010"/>
      <c r="BF86" s="1010"/>
      <c r="BG86" s="1010"/>
      <c r="BH86" s="1010"/>
      <c r="BI86" s="1010"/>
      <c r="BJ86" s="1010"/>
      <c r="BK86" s="1010"/>
      <c r="BL86" s="1010"/>
      <c r="BM86" s="1010"/>
      <c r="BN86" s="1010"/>
      <c r="BO86" s="1010"/>
      <c r="BP86" s="1010"/>
      <c r="BQ86" s="1010"/>
      <c r="BR86" s="1010"/>
      <c r="BS86" s="1010"/>
      <c r="BT86" s="1010"/>
      <c r="BU86" s="1010"/>
    </row>
    <row r="87" spans="1:73">
      <c r="A87" s="1010"/>
      <c r="B87" s="1014" t="str">
        <f t="shared" ref="B87:B88" si="20">+$B$6</f>
        <v>Feedstock Consumption (% of baseline)</v>
      </c>
      <c r="C87" s="1014">
        <f>+ROUND(C6,3)</f>
        <v>1</v>
      </c>
      <c r="D87" s="1013" t="str">
        <f>+B87&amp;" = "&amp;C87*100&amp;"%"</f>
        <v>Feedstock Consumption (% of baseline) = 100%</v>
      </c>
      <c r="E87" s="1034">
        <f t="shared" ref="E87:S87" si="21">+K$51</f>
        <v>2.4111382454761561</v>
      </c>
      <c r="F87" s="1026">
        <f t="shared" si="21"/>
        <v>0</v>
      </c>
      <c r="G87" s="1026">
        <f t="shared" si="21"/>
        <v>1.6418275002923967E-3</v>
      </c>
      <c r="H87" s="1026">
        <f t="shared" si="21"/>
        <v>0.14942045524399045</v>
      </c>
      <c r="I87" s="1026">
        <f t="shared" si="21"/>
        <v>2.0985595575770056E-2</v>
      </c>
      <c r="J87" s="1026">
        <f t="shared" si="21"/>
        <v>2.8489350007646817E-2</v>
      </c>
      <c r="K87" s="1026">
        <f t="shared" si="21"/>
        <v>5.4915061535724839E-3</v>
      </c>
      <c r="L87" s="1026">
        <f t="shared" si="21"/>
        <v>1.6201557621688327E-3</v>
      </c>
      <c r="M87" s="1026">
        <f t="shared" si="21"/>
        <v>0.25862031433665061</v>
      </c>
      <c r="N87" s="1026">
        <f t="shared" si="21"/>
        <v>1.3716385995415594</v>
      </c>
      <c r="O87" s="1026">
        <f t="shared" si="21"/>
        <v>0.21197338494250778</v>
      </c>
      <c r="P87" s="1026">
        <f t="shared" si="21"/>
        <v>0.24553111712834094</v>
      </c>
      <c r="Q87" s="1026">
        <f t="shared" si="21"/>
        <v>9.8159081625125419E-2</v>
      </c>
      <c r="R87" s="1026">
        <f t="shared" si="21"/>
        <v>1.6440982758693726E-2</v>
      </c>
      <c r="S87" s="1026">
        <f t="shared" si="21"/>
        <v>4.4095299004201019E-3</v>
      </c>
      <c r="T87" s="1010"/>
      <c r="U87" s="1010"/>
      <c r="V87" s="1010"/>
      <c r="W87" s="1010"/>
      <c r="X87" s="1010"/>
      <c r="Y87" s="1010"/>
      <c r="Z87" s="1010"/>
      <c r="AA87" s="1010"/>
      <c r="AB87" s="1010"/>
      <c r="AC87" s="1010"/>
      <c r="AD87" s="1010"/>
      <c r="AE87" s="1010"/>
      <c r="AF87" s="1010"/>
      <c r="AG87" s="1010"/>
      <c r="AH87" s="1010"/>
      <c r="AI87" s="1010"/>
      <c r="AJ87" s="1010"/>
      <c r="AK87" s="1010"/>
      <c r="AL87" s="1010"/>
      <c r="AM87" s="1010"/>
      <c r="AN87" s="1010"/>
      <c r="AO87" s="1010"/>
      <c r="AP87" s="1010"/>
      <c r="AQ87" s="1010"/>
      <c r="AR87" s="1010"/>
      <c r="AS87" s="1010"/>
      <c r="AT87" s="1010"/>
      <c r="AU87" s="1010"/>
      <c r="AV87" s="1010"/>
      <c r="AW87" s="1010"/>
      <c r="AX87" s="1010"/>
      <c r="AY87" s="1010"/>
      <c r="AZ87" s="1010"/>
      <c r="BA87" s="1010"/>
      <c r="BB87" s="1010"/>
      <c r="BC87" s="1010"/>
      <c r="BD87" s="1010"/>
      <c r="BE87" s="1010"/>
      <c r="BF87" s="1010"/>
      <c r="BG87" s="1010"/>
      <c r="BH87" s="1010"/>
      <c r="BI87" s="1010"/>
      <c r="BJ87" s="1010"/>
      <c r="BK87" s="1010"/>
      <c r="BL87" s="1010"/>
      <c r="BM87" s="1010"/>
      <c r="BN87" s="1010"/>
      <c r="BO87" s="1010"/>
      <c r="BP87" s="1010"/>
      <c r="BQ87" s="1010"/>
      <c r="BR87" s="1010"/>
      <c r="BS87" s="1010"/>
      <c r="BT87" s="1010"/>
      <c r="BU87" s="1010"/>
    </row>
    <row r="88" spans="1:73">
      <c r="A88" s="1010"/>
      <c r="B88" s="1014" t="str">
        <f t="shared" si="20"/>
        <v>Feedstock Consumption (% of baseline)</v>
      </c>
      <c r="C88" s="1014">
        <f>+ROUND(I6,3)</f>
        <v>1.05</v>
      </c>
      <c r="D88" s="1013" t="str">
        <f>+B88&amp;" = "&amp;C88*100&amp;"%"</f>
        <v>Feedstock Consumption (% of baseline) = 105%</v>
      </c>
      <c r="E88" s="1034">
        <f t="shared" ref="E88:S89" si="22">+K59</f>
        <v>2.4809804325682334</v>
      </c>
      <c r="F88" s="1026">
        <f t="shared" si="22"/>
        <v>0</v>
      </c>
      <c r="G88" s="1026">
        <f t="shared" si="22"/>
        <v>1.6418275002923967E-3</v>
      </c>
      <c r="H88" s="1026">
        <f t="shared" si="22"/>
        <v>0.14942045524399045</v>
      </c>
      <c r="I88" s="1026">
        <f t="shared" si="22"/>
        <v>2.0985595575770056E-2</v>
      </c>
      <c r="J88" s="1026">
        <f t="shared" si="22"/>
        <v>2.9425216941246661E-2</v>
      </c>
      <c r="K88" s="1026">
        <f t="shared" si="22"/>
        <v>5.4915061535724839E-3</v>
      </c>
      <c r="L88" s="1026">
        <f t="shared" si="22"/>
        <v>1.6201557621688327E-3</v>
      </c>
      <c r="M88" s="1026">
        <f t="shared" si="22"/>
        <v>0.25862031433665061</v>
      </c>
      <c r="N88" s="1026">
        <f t="shared" si="22"/>
        <v>1.4402205295186363</v>
      </c>
      <c r="O88" s="1026">
        <f t="shared" si="22"/>
        <v>0.21197338494250778</v>
      </c>
      <c r="P88" s="1026">
        <f t="shared" si="22"/>
        <v>0.24553111712834094</v>
      </c>
      <c r="Q88" s="1026">
        <f t="shared" si="22"/>
        <v>9.8159081625125419E-2</v>
      </c>
      <c r="R88" s="1026">
        <f t="shared" si="22"/>
        <v>1.6765372940094808E-2</v>
      </c>
      <c r="S88" s="1026">
        <f t="shared" si="22"/>
        <v>4.4095299004201019E-3</v>
      </c>
      <c r="T88" s="1010"/>
      <c r="U88" s="1010"/>
      <c r="V88" s="1010"/>
      <c r="W88" s="1010"/>
      <c r="X88" s="1010"/>
      <c r="Y88" s="1010"/>
      <c r="Z88" s="1010"/>
      <c r="AA88" s="1010"/>
      <c r="AB88" s="1010"/>
      <c r="AC88" s="1010"/>
      <c r="AD88" s="1010"/>
      <c r="AE88" s="1010"/>
      <c r="AF88" s="1010"/>
      <c r="AG88" s="1010"/>
      <c r="AH88" s="1010"/>
      <c r="AI88" s="1010"/>
      <c r="AJ88" s="1010"/>
      <c r="AK88" s="1010"/>
      <c r="AL88" s="1010"/>
      <c r="AM88" s="1010"/>
      <c r="AN88" s="1010"/>
      <c r="AO88" s="1010"/>
      <c r="AP88" s="1010"/>
      <c r="AQ88" s="1010"/>
      <c r="AR88" s="1010"/>
      <c r="AS88" s="1010"/>
      <c r="AT88" s="1010"/>
      <c r="AU88" s="1010"/>
      <c r="AV88" s="1010"/>
      <c r="AW88" s="1010"/>
      <c r="AX88" s="1010"/>
      <c r="AY88" s="1010"/>
      <c r="AZ88" s="1010"/>
      <c r="BA88" s="1010"/>
      <c r="BB88" s="1010"/>
      <c r="BC88" s="1010"/>
      <c r="BD88" s="1010"/>
      <c r="BE88" s="1010"/>
      <c r="BF88" s="1010"/>
      <c r="BG88" s="1010"/>
      <c r="BH88" s="1010"/>
      <c r="BI88" s="1010"/>
      <c r="BJ88" s="1010"/>
      <c r="BK88" s="1010"/>
      <c r="BL88" s="1010"/>
      <c r="BM88" s="1010"/>
      <c r="BN88" s="1010"/>
      <c r="BO88" s="1010"/>
      <c r="BP88" s="1010"/>
      <c r="BQ88" s="1010"/>
      <c r="BR88" s="1010"/>
      <c r="BS88" s="1010"/>
      <c r="BT88" s="1010"/>
      <c r="BU88" s="1010"/>
    </row>
    <row r="89" spans="1:73">
      <c r="A89" s="1010"/>
      <c r="B89" s="1014" t="str">
        <f>+$B$7</f>
        <v>Utilities Consumption (% of baseline)</v>
      </c>
      <c r="C89" s="1014">
        <f>+ROUND(H7,3)</f>
        <v>0.95</v>
      </c>
      <c r="D89" s="1013" t="str">
        <f t="shared" ref="D89:D91" si="23">+B89&amp;" = "&amp;C89*100&amp;"%"</f>
        <v>Utilities Consumption (% of baseline) = 95%</v>
      </c>
      <c r="E89" s="1034">
        <f t="shared" si="22"/>
        <v>2.4024428512494405</v>
      </c>
      <c r="F89" s="1034">
        <f t="shared" si="22"/>
        <v>0</v>
      </c>
      <c r="G89" s="1034">
        <f t="shared" si="22"/>
        <v>1.6418275002923967E-3</v>
      </c>
      <c r="H89" s="1034">
        <f t="shared" si="22"/>
        <v>0.14942045524399045</v>
      </c>
      <c r="I89" s="1034">
        <f t="shared" si="22"/>
        <v>2.0985595575770056E-2</v>
      </c>
      <c r="J89" s="1034">
        <f t="shared" si="22"/>
        <v>2.8372881315156803E-2</v>
      </c>
      <c r="K89" s="1034">
        <f t="shared" si="22"/>
        <v>5.4915061535724839E-3</v>
      </c>
      <c r="L89" s="1034">
        <f t="shared" si="22"/>
        <v>1.6201557621688327E-3</v>
      </c>
      <c r="M89" s="1034">
        <f t="shared" si="22"/>
        <v>0.25862031433665061</v>
      </c>
      <c r="N89" s="1034">
        <f t="shared" si="22"/>
        <v>1.3716385995415594</v>
      </c>
      <c r="O89" s="1034">
        <f t="shared" si="22"/>
        <v>0.21197338494250778</v>
      </c>
      <c r="P89" s="1034">
        <f t="shared" si="22"/>
        <v>0.23699256197042473</v>
      </c>
      <c r="Q89" s="1034">
        <f t="shared" si="22"/>
        <v>9.8159081625125419E-2</v>
      </c>
      <c r="R89" s="1034">
        <f t="shared" si="22"/>
        <v>1.6400612382384893E-2</v>
      </c>
      <c r="S89" s="1034">
        <f t="shared" si="22"/>
        <v>4.4095299004201019E-3</v>
      </c>
      <c r="T89" s="1010"/>
      <c r="U89" s="1010"/>
      <c r="V89" s="1010"/>
      <c r="W89" s="1010"/>
      <c r="X89" s="1010"/>
      <c r="Y89" s="1010"/>
      <c r="Z89" s="1010"/>
      <c r="AA89" s="1010"/>
      <c r="AB89" s="1010"/>
      <c r="AC89" s="1010"/>
      <c r="AD89" s="1010"/>
      <c r="AE89" s="1010"/>
      <c r="AF89" s="1010"/>
      <c r="AG89" s="1010"/>
      <c r="AH89" s="1010"/>
      <c r="AI89" s="1010"/>
      <c r="AJ89" s="1010"/>
      <c r="AK89" s="1010"/>
      <c r="AL89" s="1010"/>
      <c r="AM89" s="1010"/>
      <c r="AN89" s="1010"/>
      <c r="AO89" s="1010"/>
      <c r="AP89" s="1010"/>
      <c r="AQ89" s="1010"/>
      <c r="AR89" s="1010"/>
      <c r="AS89" s="1010"/>
      <c r="AT89" s="1010"/>
      <c r="AU89" s="1010"/>
      <c r="AV89" s="1010"/>
      <c r="AW89" s="1010"/>
      <c r="AX89" s="1010"/>
      <c r="AY89" s="1010"/>
      <c r="AZ89" s="1010"/>
      <c r="BA89" s="1010"/>
      <c r="BB89" s="1010"/>
      <c r="BC89" s="1010"/>
      <c r="BD89" s="1010"/>
      <c r="BE89" s="1010"/>
      <c r="BF89" s="1010"/>
      <c r="BG89" s="1010"/>
      <c r="BH89" s="1010"/>
      <c r="BI89" s="1010"/>
      <c r="BJ89" s="1010"/>
      <c r="BK89" s="1010"/>
      <c r="BL89" s="1010"/>
      <c r="BM89" s="1010"/>
      <c r="BN89" s="1010"/>
      <c r="BO89" s="1010"/>
      <c r="BP89" s="1010"/>
      <c r="BQ89" s="1010"/>
      <c r="BR89" s="1010"/>
      <c r="BS89" s="1010"/>
      <c r="BT89" s="1010"/>
      <c r="BU89" s="1010"/>
    </row>
    <row r="90" spans="1:73">
      <c r="A90" s="1010"/>
      <c r="B90" s="1014" t="str">
        <f t="shared" ref="B90:B91" si="24">+$B$7</f>
        <v>Utilities Consumption (% of baseline)</v>
      </c>
      <c r="C90" s="1014">
        <f>+ROUND(C7,3)</f>
        <v>1</v>
      </c>
      <c r="D90" s="1013" t="str">
        <f t="shared" si="23"/>
        <v>Utilities Consumption (% of baseline) = 100%</v>
      </c>
      <c r="E90" s="1034">
        <f>+K$51</f>
        <v>2.4111382454761561</v>
      </c>
      <c r="F90" s="1034">
        <f t="shared" ref="F90:S90" si="25">+L$51</f>
        <v>0</v>
      </c>
      <c r="G90" s="1034">
        <f t="shared" si="25"/>
        <v>1.6418275002923967E-3</v>
      </c>
      <c r="H90" s="1034">
        <f t="shared" si="25"/>
        <v>0.14942045524399045</v>
      </c>
      <c r="I90" s="1034">
        <f t="shared" si="25"/>
        <v>2.0985595575770056E-2</v>
      </c>
      <c r="J90" s="1034">
        <f t="shared" si="25"/>
        <v>2.8489350007646817E-2</v>
      </c>
      <c r="K90" s="1034">
        <f t="shared" si="25"/>
        <v>5.4915061535724839E-3</v>
      </c>
      <c r="L90" s="1034">
        <f t="shared" si="25"/>
        <v>1.6201557621688327E-3</v>
      </c>
      <c r="M90" s="1034">
        <f t="shared" si="25"/>
        <v>0.25862031433665061</v>
      </c>
      <c r="N90" s="1034">
        <f t="shared" si="25"/>
        <v>1.3716385995415594</v>
      </c>
      <c r="O90" s="1034">
        <f t="shared" si="25"/>
        <v>0.21197338494250778</v>
      </c>
      <c r="P90" s="1034">
        <f t="shared" si="25"/>
        <v>0.24553111712834094</v>
      </c>
      <c r="Q90" s="1034">
        <f t="shared" si="25"/>
        <v>9.8159081625125419E-2</v>
      </c>
      <c r="R90" s="1034">
        <f t="shared" si="25"/>
        <v>1.6440982758693726E-2</v>
      </c>
      <c r="S90" s="1034">
        <f t="shared" si="25"/>
        <v>4.4095299004201019E-3</v>
      </c>
      <c r="T90" s="1010"/>
      <c r="U90" s="1010"/>
      <c r="V90" s="1010"/>
      <c r="W90" s="1010"/>
      <c r="X90" s="1010"/>
      <c r="Y90" s="1010"/>
      <c r="Z90" s="1010"/>
      <c r="AA90" s="1010"/>
      <c r="AB90" s="1010"/>
      <c r="AC90" s="1010"/>
      <c r="AD90" s="1010"/>
      <c r="AE90" s="1010"/>
      <c r="AF90" s="1010"/>
      <c r="AG90" s="1010"/>
      <c r="AH90" s="1010"/>
      <c r="AI90" s="1010"/>
      <c r="AJ90" s="1010"/>
      <c r="AK90" s="1010"/>
      <c r="AL90" s="1010"/>
      <c r="AM90" s="1010"/>
      <c r="AN90" s="1010"/>
      <c r="AO90" s="1010"/>
      <c r="AP90" s="1010"/>
      <c r="AQ90" s="1010"/>
      <c r="AR90" s="1010"/>
      <c r="AS90" s="1010"/>
      <c r="AT90" s="1010"/>
      <c r="AU90" s="1010"/>
      <c r="AV90" s="1010"/>
      <c r="AW90" s="1010"/>
      <c r="AX90" s="1010"/>
      <c r="AY90" s="1010"/>
      <c r="AZ90" s="1010"/>
      <c r="BA90" s="1010"/>
      <c r="BB90" s="1010"/>
      <c r="BC90" s="1010"/>
      <c r="BD90" s="1010"/>
      <c r="BE90" s="1010"/>
      <c r="BF90" s="1010"/>
      <c r="BG90" s="1010"/>
      <c r="BH90" s="1010"/>
      <c r="BI90" s="1010"/>
      <c r="BJ90" s="1010"/>
      <c r="BK90" s="1010"/>
      <c r="BL90" s="1010"/>
      <c r="BM90" s="1010"/>
      <c r="BN90" s="1010"/>
      <c r="BO90" s="1010"/>
      <c r="BP90" s="1010"/>
      <c r="BQ90" s="1010"/>
      <c r="BR90" s="1010"/>
      <c r="BS90" s="1010"/>
      <c r="BT90" s="1010"/>
      <c r="BU90" s="1010"/>
    </row>
    <row r="91" spans="1:73">
      <c r="A91" s="1010"/>
      <c r="B91" s="1014" t="str">
        <f t="shared" si="24"/>
        <v>Utilities Consumption (% of baseline)</v>
      </c>
      <c r="C91" s="1014">
        <f>+ROUND(I7,3)</f>
        <v>1.05</v>
      </c>
      <c r="D91" s="1013" t="str">
        <f t="shared" si="23"/>
        <v>Utilities Consumption (% of baseline) = 105%</v>
      </c>
      <c r="E91" s="1034">
        <f t="shared" ref="E91:S92" si="26">+K61</f>
        <v>2.4198336397028712</v>
      </c>
      <c r="F91" s="1034">
        <f t="shared" si="26"/>
        <v>0</v>
      </c>
      <c r="G91" s="1034">
        <f t="shared" si="26"/>
        <v>1.6418275002923967E-3</v>
      </c>
      <c r="H91" s="1034">
        <f t="shared" si="26"/>
        <v>0.14942045524399045</v>
      </c>
      <c r="I91" s="1034">
        <f t="shared" si="26"/>
        <v>2.0985595575770056E-2</v>
      </c>
      <c r="J91" s="1034">
        <f t="shared" si="26"/>
        <v>2.8605818700136856E-2</v>
      </c>
      <c r="K91" s="1034">
        <f t="shared" si="26"/>
        <v>5.4915061535724839E-3</v>
      </c>
      <c r="L91" s="1034">
        <f t="shared" si="26"/>
        <v>1.6201557621688327E-3</v>
      </c>
      <c r="M91" s="1034">
        <f t="shared" si="26"/>
        <v>0.25862031433665061</v>
      </c>
      <c r="N91" s="1034">
        <f t="shared" si="26"/>
        <v>1.3716385995415594</v>
      </c>
      <c r="O91" s="1034">
        <f t="shared" si="26"/>
        <v>0.21197338494250778</v>
      </c>
      <c r="P91" s="1034">
        <f t="shared" si="26"/>
        <v>0.2540696722862571</v>
      </c>
      <c r="Q91" s="1034">
        <f t="shared" si="26"/>
        <v>9.8159081625125419E-2</v>
      </c>
      <c r="R91" s="1034">
        <f t="shared" si="26"/>
        <v>1.6481353135002614E-2</v>
      </c>
      <c r="S91" s="1034">
        <f t="shared" si="26"/>
        <v>4.4095299004201019E-3</v>
      </c>
      <c r="T91" s="1010"/>
      <c r="U91" s="1010"/>
      <c r="V91" s="1010"/>
      <c r="W91" s="1010"/>
      <c r="X91" s="1010"/>
      <c r="Y91" s="1010"/>
      <c r="Z91" s="1010"/>
      <c r="AA91" s="1010"/>
      <c r="AB91" s="1010"/>
      <c r="AC91" s="1010"/>
      <c r="AD91" s="1010"/>
      <c r="AE91" s="1010"/>
      <c r="AF91" s="1010"/>
      <c r="AG91" s="1010"/>
      <c r="AH91" s="1010"/>
      <c r="AI91" s="1010"/>
      <c r="AJ91" s="1010"/>
      <c r="AK91" s="1010"/>
      <c r="AL91" s="1010"/>
      <c r="AM91" s="1010"/>
      <c r="AN91" s="1010"/>
      <c r="AO91" s="1010"/>
      <c r="AP91" s="1010"/>
      <c r="AQ91" s="1010"/>
      <c r="AR91" s="1010"/>
      <c r="AS91" s="1010"/>
      <c r="AT91" s="1010"/>
      <c r="AU91" s="1010"/>
      <c r="AV91" s="1010"/>
      <c r="AW91" s="1010"/>
      <c r="AX91" s="1010"/>
      <c r="AY91" s="1010"/>
      <c r="AZ91" s="1010"/>
      <c r="BA91" s="1010"/>
      <c r="BB91" s="1010"/>
      <c r="BC91" s="1010"/>
      <c r="BD91" s="1010"/>
      <c r="BE91" s="1010"/>
      <c r="BF91" s="1010"/>
      <c r="BG91" s="1010"/>
      <c r="BH91" s="1010"/>
      <c r="BI91" s="1010"/>
      <c r="BJ91" s="1010"/>
      <c r="BK91" s="1010"/>
      <c r="BL91" s="1010"/>
      <c r="BM91" s="1010"/>
      <c r="BN91" s="1010"/>
      <c r="BO91" s="1010"/>
      <c r="BP91" s="1010"/>
      <c r="BQ91" s="1010"/>
      <c r="BR91" s="1010"/>
      <c r="BS91" s="1010"/>
      <c r="BT91" s="1010"/>
      <c r="BU91" s="1010"/>
    </row>
    <row r="92" spans="1:73">
      <c r="A92" s="1010"/>
      <c r="B92" s="1014" t="str">
        <f>+$B$8</f>
        <v>Total Capital Investment</v>
      </c>
      <c r="C92" s="1031">
        <f ca="1">+ROUND(H8,0)</f>
        <v>82089769</v>
      </c>
      <c r="D92" s="1014" t="str">
        <f t="shared" ref="D92:D97" ca="1" si="27">+B92&amp;" = "&amp;TEXT(C92/1000,"$0,000K")</f>
        <v>Total Capital Investment = $82089,769K</v>
      </c>
      <c r="E92" s="1026">
        <f t="shared" si="26"/>
        <v>2.3939870404855514</v>
      </c>
      <c r="F92" s="1026">
        <f t="shared" si="26"/>
        <v>0</v>
      </c>
      <c r="G92" s="1026">
        <f t="shared" si="26"/>
        <v>1.5597361252777768E-3</v>
      </c>
      <c r="H92" s="1026">
        <f t="shared" si="26"/>
        <v>0.14184949761589821</v>
      </c>
      <c r="I92" s="1026">
        <f t="shared" si="26"/>
        <v>2.0985595575770056E-2</v>
      </c>
      <c r="J92" s="1026">
        <f t="shared" si="26"/>
        <v>2.8431301887573927E-2</v>
      </c>
      <c r="K92" s="1026">
        <f t="shared" si="26"/>
        <v>5.4915061535724839E-3</v>
      </c>
      <c r="L92" s="1026">
        <f t="shared" si="26"/>
        <v>1.5380643871542128E-3</v>
      </c>
      <c r="M92" s="1026">
        <f t="shared" si="26"/>
        <v>0.25436705317116975</v>
      </c>
      <c r="N92" s="1026">
        <f t="shared" si="26"/>
        <v>1.3716385995415594</v>
      </c>
      <c r="O92" s="1026">
        <f t="shared" si="26"/>
        <v>0.21197338494250778</v>
      </c>
      <c r="P92" s="1026">
        <f t="shared" si="26"/>
        <v>0.24553111712834094</v>
      </c>
      <c r="Q92" s="1026">
        <f t="shared" si="26"/>
        <v>9.3185477130461339E-2</v>
      </c>
      <c r="R92" s="1026">
        <f t="shared" si="26"/>
        <v>1.6369074837774656E-2</v>
      </c>
      <c r="S92" s="1026">
        <f t="shared" si="26"/>
        <v>4.1861042390448086E-3</v>
      </c>
      <c r="T92" s="1010"/>
      <c r="U92" s="1010"/>
      <c r="V92" s="1010"/>
      <c r="W92" s="1010"/>
      <c r="X92" s="1010"/>
      <c r="Y92" s="1010"/>
      <c r="Z92" s="1010"/>
      <c r="AA92" s="1010"/>
      <c r="AB92" s="1010"/>
      <c r="AC92" s="1010"/>
      <c r="AD92" s="1010"/>
      <c r="AE92" s="1010"/>
      <c r="AF92" s="1010"/>
      <c r="AG92" s="1010"/>
      <c r="AH92" s="1010"/>
      <c r="AI92" s="1010"/>
      <c r="AJ92" s="1010"/>
      <c r="AK92" s="1010"/>
      <c r="AL92" s="1010"/>
      <c r="AM92" s="1010"/>
      <c r="AN92" s="1010"/>
      <c r="AO92" s="1010"/>
      <c r="AP92" s="1010"/>
      <c r="AQ92" s="1010"/>
      <c r="AR92" s="1010"/>
      <c r="AS92" s="1010"/>
      <c r="AT92" s="1010"/>
      <c r="AU92" s="1010"/>
      <c r="AV92" s="1010"/>
      <c r="AW92" s="1010"/>
      <c r="AX92" s="1010"/>
      <c r="AY92" s="1010"/>
      <c r="AZ92" s="1010"/>
      <c r="BA92" s="1010"/>
      <c r="BB92" s="1010"/>
      <c r="BC92" s="1010"/>
      <c r="BD92" s="1010"/>
      <c r="BE92" s="1010"/>
      <c r="BF92" s="1010"/>
      <c r="BG92" s="1010"/>
      <c r="BH92" s="1010"/>
      <c r="BI92" s="1010"/>
      <c r="BJ92" s="1010"/>
      <c r="BK92" s="1010"/>
      <c r="BL92" s="1010"/>
      <c r="BM92" s="1010"/>
      <c r="BN92" s="1010"/>
      <c r="BO92" s="1010"/>
      <c r="BP92" s="1010"/>
      <c r="BQ92" s="1010"/>
      <c r="BR92" s="1010"/>
      <c r="BS92" s="1010"/>
      <c r="BT92" s="1010"/>
      <c r="BU92" s="1010"/>
    </row>
    <row r="93" spans="1:73">
      <c r="A93" s="1010"/>
      <c r="B93" s="1014" t="str">
        <f t="shared" ref="B93:B94" si="28">+$B$8</f>
        <v>Total Capital Investment</v>
      </c>
      <c r="C93" s="1031">
        <f ca="1">+ROUND(C8,0)</f>
        <v>86410284</v>
      </c>
      <c r="D93" s="1014" t="str">
        <f t="shared" ca="1" si="27"/>
        <v>Total Capital Investment = $86410,284K</v>
      </c>
      <c r="E93" s="1026">
        <f t="shared" ref="E93:S93" si="29">+K$51</f>
        <v>2.4111382454761561</v>
      </c>
      <c r="F93" s="1026">
        <f t="shared" si="29"/>
        <v>0</v>
      </c>
      <c r="G93" s="1026">
        <f t="shared" si="29"/>
        <v>1.6418275002923967E-3</v>
      </c>
      <c r="H93" s="1026">
        <f t="shared" si="29"/>
        <v>0.14942045524399045</v>
      </c>
      <c r="I93" s="1026">
        <f t="shared" si="29"/>
        <v>2.0985595575770056E-2</v>
      </c>
      <c r="J93" s="1026">
        <f t="shared" si="29"/>
        <v>2.8489350007646817E-2</v>
      </c>
      <c r="K93" s="1026">
        <f t="shared" si="29"/>
        <v>5.4915061535724839E-3</v>
      </c>
      <c r="L93" s="1026">
        <f t="shared" si="29"/>
        <v>1.6201557621688327E-3</v>
      </c>
      <c r="M93" s="1026">
        <f t="shared" si="29"/>
        <v>0.25862031433665061</v>
      </c>
      <c r="N93" s="1026">
        <f t="shared" si="29"/>
        <v>1.3716385995415594</v>
      </c>
      <c r="O93" s="1026">
        <f t="shared" si="29"/>
        <v>0.21197338494250778</v>
      </c>
      <c r="P93" s="1026">
        <f t="shared" si="29"/>
        <v>0.24553111712834094</v>
      </c>
      <c r="Q93" s="1026">
        <f t="shared" si="29"/>
        <v>9.8159081625125419E-2</v>
      </c>
      <c r="R93" s="1026">
        <f t="shared" si="29"/>
        <v>1.6440982758693726E-2</v>
      </c>
      <c r="S93" s="1026">
        <f t="shared" si="29"/>
        <v>4.4095299004201019E-3</v>
      </c>
      <c r="T93" s="1010"/>
      <c r="U93" s="1010"/>
      <c r="V93" s="1010"/>
      <c r="W93" s="1010"/>
      <c r="X93" s="1010"/>
      <c r="Y93" s="1010"/>
      <c r="Z93" s="1010"/>
      <c r="AA93" s="1010"/>
      <c r="AB93" s="1010"/>
      <c r="AC93" s="1010"/>
      <c r="AD93" s="1010"/>
      <c r="AE93" s="1010"/>
      <c r="AF93" s="1010"/>
      <c r="AG93" s="1010"/>
      <c r="AH93" s="1010"/>
      <c r="AI93" s="1010"/>
      <c r="AJ93" s="1010"/>
      <c r="AK93" s="1010"/>
      <c r="AL93" s="1010"/>
      <c r="AM93" s="1010"/>
      <c r="AN93" s="1010"/>
      <c r="AO93" s="1010"/>
      <c r="AP93" s="1010"/>
      <c r="AQ93" s="1010"/>
      <c r="AR93" s="1010"/>
      <c r="AS93" s="1010"/>
      <c r="AT93" s="1010"/>
      <c r="AU93" s="1010"/>
      <c r="AV93" s="1010"/>
      <c r="AW93" s="1010"/>
      <c r="AX93" s="1010"/>
      <c r="AY93" s="1010"/>
      <c r="AZ93" s="1010"/>
      <c r="BA93" s="1010"/>
      <c r="BB93" s="1010"/>
      <c r="BC93" s="1010"/>
      <c r="BD93" s="1010"/>
      <c r="BE93" s="1010"/>
      <c r="BF93" s="1010"/>
      <c r="BG93" s="1010"/>
      <c r="BH93" s="1010"/>
      <c r="BI93" s="1010"/>
      <c r="BJ93" s="1010"/>
      <c r="BK93" s="1010"/>
      <c r="BL93" s="1010"/>
      <c r="BM93" s="1010"/>
      <c r="BN93" s="1010"/>
      <c r="BO93" s="1010"/>
      <c r="BP93" s="1010"/>
      <c r="BQ93" s="1010"/>
      <c r="BR93" s="1010"/>
      <c r="BS93" s="1010"/>
      <c r="BT93" s="1010"/>
      <c r="BU93" s="1010"/>
    </row>
    <row r="94" spans="1:73">
      <c r="A94" s="1010"/>
      <c r="B94" s="1014" t="str">
        <f t="shared" si="28"/>
        <v>Total Capital Investment</v>
      </c>
      <c r="C94" s="1031">
        <f ca="1">+ROUND(I8,0)</f>
        <v>90730798</v>
      </c>
      <c r="D94" s="1014" t="str">
        <f t="shared" ca="1" si="27"/>
        <v>Total Capital Investment = $90730,798K</v>
      </c>
      <c r="E94" s="1026">
        <f t="shared" ref="E94:S95" si="30">+K63</f>
        <v>2.4282894504667607</v>
      </c>
      <c r="F94" s="1026">
        <f t="shared" si="30"/>
        <v>0</v>
      </c>
      <c r="G94" s="1026">
        <f t="shared" si="30"/>
        <v>1.723918875307017E-3</v>
      </c>
      <c r="H94" s="1026">
        <f t="shared" si="30"/>
        <v>0.15699141287208263</v>
      </c>
      <c r="I94" s="1026">
        <f t="shared" si="30"/>
        <v>2.0985595575770056E-2</v>
      </c>
      <c r="J94" s="1026">
        <f t="shared" si="30"/>
        <v>2.8547398127719732E-2</v>
      </c>
      <c r="K94" s="1026">
        <f t="shared" si="30"/>
        <v>5.4915061535724839E-3</v>
      </c>
      <c r="L94" s="1026">
        <f t="shared" si="30"/>
        <v>1.7022471371834528E-3</v>
      </c>
      <c r="M94" s="1026">
        <f t="shared" si="30"/>
        <v>0.26287357550213158</v>
      </c>
      <c r="N94" s="1026">
        <f t="shared" si="30"/>
        <v>1.3716385995415594</v>
      </c>
      <c r="O94" s="1026">
        <f t="shared" si="30"/>
        <v>0.21197338494250778</v>
      </c>
      <c r="P94" s="1026">
        <f t="shared" si="30"/>
        <v>0.24553111712834094</v>
      </c>
      <c r="Q94" s="1026">
        <f t="shared" si="30"/>
        <v>0.10313268611978955</v>
      </c>
      <c r="R94" s="1026">
        <f t="shared" si="30"/>
        <v>1.6512890679612906E-2</v>
      </c>
      <c r="S94" s="1026">
        <f t="shared" si="30"/>
        <v>4.6329555617953986E-3</v>
      </c>
      <c r="T94" s="1010"/>
      <c r="U94" s="1010"/>
      <c r="V94" s="1010"/>
      <c r="W94" s="1010"/>
      <c r="X94" s="1010"/>
      <c r="Y94" s="1010"/>
      <c r="Z94" s="1010"/>
      <c r="AA94" s="1010"/>
      <c r="AB94" s="1010"/>
      <c r="AC94" s="1010"/>
      <c r="AD94" s="1010"/>
      <c r="AE94" s="1010"/>
      <c r="AF94" s="1010"/>
      <c r="AG94" s="1010"/>
      <c r="AH94" s="1010"/>
      <c r="AI94" s="1010"/>
      <c r="AJ94" s="1010"/>
      <c r="AK94" s="1010"/>
      <c r="AL94" s="1010"/>
      <c r="AM94" s="1010"/>
      <c r="AN94" s="1010"/>
      <c r="AO94" s="1010"/>
      <c r="AP94" s="1010"/>
      <c r="AQ94" s="1010"/>
      <c r="AR94" s="1010"/>
      <c r="AS94" s="1010"/>
      <c r="AT94" s="1010"/>
      <c r="AU94" s="1010"/>
      <c r="AV94" s="1010"/>
      <c r="AW94" s="1010"/>
      <c r="AX94" s="1010"/>
      <c r="AY94" s="1010"/>
      <c r="AZ94" s="1010"/>
      <c r="BA94" s="1010"/>
      <c r="BB94" s="1010"/>
      <c r="BC94" s="1010"/>
      <c r="BD94" s="1010"/>
      <c r="BE94" s="1010"/>
      <c r="BF94" s="1010"/>
      <c r="BG94" s="1010"/>
      <c r="BH94" s="1010"/>
      <c r="BI94" s="1010"/>
      <c r="BJ94" s="1010"/>
      <c r="BK94" s="1010"/>
      <c r="BL94" s="1010"/>
      <c r="BM94" s="1010"/>
      <c r="BN94" s="1010"/>
      <c r="BO94" s="1010"/>
      <c r="BP94" s="1010"/>
      <c r="BQ94" s="1010"/>
      <c r="BR94" s="1010"/>
      <c r="BS94" s="1010"/>
      <c r="BT94" s="1010"/>
      <c r="BU94" s="1010"/>
    </row>
    <row r="95" spans="1:73">
      <c r="A95" s="1010"/>
      <c r="B95" s="1014" t="str">
        <f>+$B$9</f>
        <v>Total Fixed Operating Cost</v>
      </c>
      <c r="C95" s="1031">
        <f ca="1">+ROUND(H9,0)</f>
        <v>4556669</v>
      </c>
      <c r="D95" s="1014" t="str">
        <f t="shared" ca="1" si="27"/>
        <v>Total Fixed Operating Cost = $4556,669K</v>
      </c>
      <c r="E95" s="1026">
        <f t="shared" si="30"/>
        <v>2.3979695764844378</v>
      </c>
      <c r="F95" s="1026">
        <f t="shared" si="30"/>
        <v>0</v>
      </c>
      <c r="G95" s="1026">
        <f t="shared" si="30"/>
        <v>1.6418275002923967E-3</v>
      </c>
      <c r="H95" s="1026">
        <f t="shared" si="30"/>
        <v>0.14942045524399045</v>
      </c>
      <c r="I95" s="1026">
        <f t="shared" si="30"/>
        <v>2.0985595575770056E-2</v>
      </c>
      <c r="J95" s="1026">
        <f t="shared" si="30"/>
        <v>2.8312868685717384E-2</v>
      </c>
      <c r="K95" s="1026">
        <f t="shared" si="30"/>
        <v>5.4915061535724839E-3</v>
      </c>
      <c r="L95" s="1026">
        <f t="shared" si="30"/>
        <v>1.6201557621688327E-3</v>
      </c>
      <c r="M95" s="1026">
        <f t="shared" si="30"/>
        <v>0.24568929861981814</v>
      </c>
      <c r="N95" s="1026">
        <f t="shared" si="30"/>
        <v>1.3716385995415594</v>
      </c>
      <c r="O95" s="1026">
        <f t="shared" si="30"/>
        <v>0.21197338494250778</v>
      </c>
      <c r="P95" s="1026">
        <f t="shared" si="30"/>
        <v>0.24553111712834094</v>
      </c>
      <c r="Q95" s="1026">
        <f t="shared" si="30"/>
        <v>9.8159081625125419E-2</v>
      </c>
      <c r="R95" s="1026">
        <f t="shared" si="30"/>
        <v>1.637981080573836E-2</v>
      </c>
      <c r="S95" s="1026">
        <f t="shared" si="30"/>
        <v>4.4095299004201019E-3</v>
      </c>
      <c r="T95" s="1010"/>
      <c r="U95" s="1010"/>
      <c r="V95" s="1010"/>
      <c r="W95" s="1010"/>
      <c r="X95" s="1010"/>
      <c r="Y95" s="1010"/>
      <c r="Z95" s="1010"/>
      <c r="AA95" s="1010"/>
      <c r="AB95" s="1010"/>
      <c r="AC95" s="1010"/>
      <c r="AD95" s="1010"/>
      <c r="AE95" s="1010"/>
      <c r="AF95" s="1010"/>
      <c r="AG95" s="1010"/>
      <c r="AH95" s="1010"/>
      <c r="AI95" s="1010"/>
      <c r="AJ95" s="1010"/>
      <c r="AK95" s="1010"/>
      <c r="AL95" s="1010"/>
      <c r="AM95" s="1010"/>
      <c r="AN95" s="1010"/>
      <c r="AO95" s="1010"/>
      <c r="AP95" s="1010"/>
      <c r="AQ95" s="1010"/>
      <c r="AR95" s="1010"/>
      <c r="AS95" s="1010"/>
      <c r="AT95" s="1010"/>
      <c r="AU95" s="1010"/>
      <c r="AV95" s="1010"/>
      <c r="AW95" s="1010"/>
      <c r="AX95" s="1010"/>
      <c r="AY95" s="1010"/>
      <c r="AZ95" s="1010"/>
      <c r="BA95" s="1010"/>
      <c r="BB95" s="1010"/>
      <c r="BC95" s="1010"/>
      <c r="BD95" s="1010"/>
      <c r="BE95" s="1010"/>
      <c r="BF95" s="1010"/>
      <c r="BG95" s="1010"/>
      <c r="BH95" s="1010"/>
      <c r="BI95" s="1010"/>
      <c r="BJ95" s="1010"/>
      <c r="BK95" s="1010"/>
      <c r="BL95" s="1010"/>
      <c r="BM95" s="1010"/>
      <c r="BN95" s="1010"/>
      <c r="BO95" s="1010"/>
      <c r="BP95" s="1010"/>
      <c r="BQ95" s="1010"/>
      <c r="BR95" s="1010"/>
      <c r="BS95" s="1010"/>
      <c r="BT95" s="1010"/>
      <c r="BU95" s="1010"/>
    </row>
    <row r="96" spans="1:73">
      <c r="A96" s="1010"/>
      <c r="B96" s="1014" t="str">
        <f t="shared" ref="B96:B97" si="31">+$B$9</f>
        <v>Total Fixed Operating Cost</v>
      </c>
      <c r="C96" s="1031">
        <f ca="1">+ROUND(C9,0)</f>
        <v>4796493</v>
      </c>
      <c r="D96" s="1014" t="str">
        <f t="shared" ca="1" si="27"/>
        <v>Total Fixed Operating Cost = $4796,493K</v>
      </c>
      <c r="E96" s="1026">
        <f t="shared" ref="E96:S96" si="32">+K$51</f>
        <v>2.4111382454761561</v>
      </c>
      <c r="F96" s="1026">
        <f t="shared" si="32"/>
        <v>0</v>
      </c>
      <c r="G96" s="1026">
        <f t="shared" si="32"/>
        <v>1.6418275002923967E-3</v>
      </c>
      <c r="H96" s="1026">
        <f t="shared" si="32"/>
        <v>0.14942045524399045</v>
      </c>
      <c r="I96" s="1026">
        <f t="shared" si="32"/>
        <v>2.0985595575770056E-2</v>
      </c>
      <c r="J96" s="1026">
        <f t="shared" si="32"/>
        <v>2.8489350007646817E-2</v>
      </c>
      <c r="K96" s="1026">
        <f t="shared" si="32"/>
        <v>5.4915061535724839E-3</v>
      </c>
      <c r="L96" s="1026">
        <f t="shared" si="32"/>
        <v>1.6201557621688327E-3</v>
      </c>
      <c r="M96" s="1026">
        <f t="shared" si="32"/>
        <v>0.25862031433665061</v>
      </c>
      <c r="N96" s="1026">
        <f t="shared" si="32"/>
        <v>1.3716385995415594</v>
      </c>
      <c r="O96" s="1026">
        <f t="shared" si="32"/>
        <v>0.21197338494250778</v>
      </c>
      <c r="P96" s="1026">
        <f t="shared" si="32"/>
        <v>0.24553111712834094</v>
      </c>
      <c r="Q96" s="1026">
        <f t="shared" si="32"/>
        <v>9.8159081625125419E-2</v>
      </c>
      <c r="R96" s="1026">
        <f t="shared" si="32"/>
        <v>1.6440982758693726E-2</v>
      </c>
      <c r="S96" s="1026">
        <f t="shared" si="32"/>
        <v>4.4095299004201019E-3</v>
      </c>
      <c r="T96" s="1010"/>
      <c r="U96" s="1010"/>
      <c r="V96" s="1010"/>
      <c r="W96" s="1010"/>
      <c r="X96" s="1010"/>
      <c r="Y96" s="1010"/>
      <c r="Z96" s="1010"/>
      <c r="AA96" s="1010"/>
      <c r="AB96" s="1010"/>
      <c r="AC96" s="1010"/>
      <c r="AD96" s="1010"/>
      <c r="AE96" s="1010"/>
      <c r="AF96" s="1010"/>
      <c r="AG96" s="1010"/>
      <c r="AH96" s="1010"/>
      <c r="AI96" s="1010"/>
      <c r="AJ96" s="1010"/>
      <c r="AK96" s="1010"/>
      <c r="AL96" s="1010"/>
      <c r="AM96" s="1010"/>
      <c r="AN96" s="1010"/>
      <c r="AO96" s="1010"/>
      <c r="AP96" s="1010"/>
      <c r="AQ96" s="1010"/>
      <c r="AR96" s="1010"/>
      <c r="AS96" s="1010"/>
      <c r="AT96" s="1010"/>
      <c r="AU96" s="1010"/>
      <c r="AV96" s="1010"/>
      <c r="AW96" s="1010"/>
      <c r="AX96" s="1010"/>
      <c r="AY96" s="1010"/>
      <c r="AZ96" s="1010"/>
      <c r="BA96" s="1010"/>
      <c r="BB96" s="1010"/>
      <c r="BC96" s="1010"/>
      <c r="BD96" s="1010"/>
      <c r="BE96" s="1010"/>
      <c r="BF96" s="1010"/>
      <c r="BG96" s="1010"/>
      <c r="BH96" s="1010"/>
      <c r="BI96" s="1010"/>
      <c r="BJ96" s="1010"/>
      <c r="BK96" s="1010"/>
      <c r="BL96" s="1010"/>
      <c r="BM96" s="1010"/>
      <c r="BN96" s="1010"/>
      <c r="BO96" s="1010"/>
      <c r="BP96" s="1010"/>
      <c r="BQ96" s="1010"/>
      <c r="BR96" s="1010"/>
      <c r="BS96" s="1010"/>
      <c r="BT96" s="1010"/>
      <c r="BU96" s="1010"/>
    </row>
    <row r="97" spans="1:73">
      <c r="A97" s="1010"/>
      <c r="B97" s="1014" t="str">
        <f t="shared" si="31"/>
        <v>Total Fixed Operating Cost</v>
      </c>
      <c r="C97" s="1031">
        <f ca="1">+ROUND(I9,0)</f>
        <v>5036318</v>
      </c>
      <c r="D97" s="1014" t="str">
        <f t="shared" ca="1" si="27"/>
        <v>Total Fixed Operating Cost = $5036,318K</v>
      </c>
      <c r="E97" s="1026">
        <f t="shared" ref="E97:S97" si="33">+K65</f>
        <v>2.4243069144678726</v>
      </c>
      <c r="F97" s="1026">
        <f t="shared" si="33"/>
        <v>0</v>
      </c>
      <c r="G97" s="1026">
        <f t="shared" si="33"/>
        <v>1.6418275002923967E-3</v>
      </c>
      <c r="H97" s="1026">
        <f t="shared" si="33"/>
        <v>0.14942045524399045</v>
      </c>
      <c r="I97" s="1026">
        <f t="shared" si="33"/>
        <v>2.0985595575770056E-2</v>
      </c>
      <c r="J97" s="1026">
        <f t="shared" si="33"/>
        <v>2.8665831329576272E-2</v>
      </c>
      <c r="K97" s="1026">
        <f t="shared" si="33"/>
        <v>5.4915061535724839E-3</v>
      </c>
      <c r="L97" s="1026">
        <f t="shared" si="33"/>
        <v>1.6201557621688327E-3</v>
      </c>
      <c r="M97" s="1026">
        <f t="shared" si="33"/>
        <v>0.27155133005348309</v>
      </c>
      <c r="N97" s="1026">
        <f t="shared" si="33"/>
        <v>1.3716385995415594</v>
      </c>
      <c r="O97" s="1026">
        <f t="shared" si="33"/>
        <v>0.21197338494250778</v>
      </c>
      <c r="P97" s="1026">
        <f t="shared" si="33"/>
        <v>0.24553111712834094</v>
      </c>
      <c r="Q97" s="1026">
        <f t="shared" si="33"/>
        <v>9.8159081625125419E-2</v>
      </c>
      <c r="R97" s="1026">
        <f t="shared" si="33"/>
        <v>1.6502154711649036E-2</v>
      </c>
      <c r="S97" s="1026">
        <f t="shared" si="33"/>
        <v>4.4095299004201019E-3</v>
      </c>
      <c r="T97" s="1010"/>
      <c r="U97" s="1010"/>
      <c r="V97" s="1010"/>
      <c r="W97" s="1010"/>
      <c r="X97" s="1010"/>
      <c r="Y97" s="1010"/>
      <c r="Z97" s="1010"/>
      <c r="AA97" s="1010"/>
      <c r="AB97" s="1010"/>
      <c r="AC97" s="1010"/>
      <c r="AD97" s="1010"/>
      <c r="AE97" s="1010"/>
      <c r="AF97" s="1010"/>
      <c r="AG97" s="1010"/>
      <c r="AH97" s="1010"/>
      <c r="AI97" s="1010"/>
      <c r="AJ97" s="1010"/>
      <c r="AK97" s="1010"/>
      <c r="AL97" s="1010"/>
      <c r="AM97" s="1010"/>
      <c r="AN97" s="1010"/>
      <c r="AO97" s="1010"/>
      <c r="AP97" s="1010"/>
      <c r="AQ97" s="1010"/>
      <c r="AR97" s="1010"/>
      <c r="AS97" s="1010"/>
      <c r="AT97" s="1010"/>
      <c r="AU97" s="1010"/>
      <c r="AV97" s="1010"/>
      <c r="AW97" s="1010"/>
      <c r="AX97" s="1010"/>
      <c r="AY97" s="1010"/>
      <c r="AZ97" s="1010"/>
      <c r="BA97" s="1010"/>
      <c r="BB97" s="1010"/>
      <c r="BC97" s="1010"/>
      <c r="BD97" s="1010"/>
      <c r="BE97" s="1010"/>
      <c r="BF97" s="1010"/>
      <c r="BG97" s="1010"/>
      <c r="BH97" s="1010"/>
      <c r="BI97" s="1010"/>
      <c r="BJ97" s="1010"/>
      <c r="BK97" s="1010"/>
      <c r="BL97" s="1010"/>
      <c r="BM97" s="1010"/>
      <c r="BN97" s="1010"/>
      <c r="BO97" s="1010"/>
      <c r="BP97" s="1010"/>
      <c r="BQ97" s="1010"/>
      <c r="BR97" s="1010"/>
      <c r="BS97" s="1010"/>
      <c r="BT97" s="1010"/>
      <c r="BU97" s="1010"/>
    </row>
    <row r="98" spans="1:73">
      <c r="A98" s="1010"/>
      <c r="B98" s="1010"/>
      <c r="C98" s="1010"/>
      <c r="D98" s="1010"/>
      <c r="E98" s="1010"/>
      <c r="F98" s="1010"/>
      <c r="G98" s="1010"/>
      <c r="H98" s="1010"/>
      <c r="I98" s="1010"/>
      <c r="J98" s="1010"/>
      <c r="K98" s="1010"/>
      <c r="L98" s="1010"/>
      <c r="M98" s="1010"/>
      <c r="N98" s="1010"/>
      <c r="O98" s="1010"/>
      <c r="P98" s="1010"/>
      <c r="Q98" s="1010"/>
      <c r="R98" s="1010"/>
      <c r="S98" s="1010"/>
      <c r="T98" s="1010"/>
      <c r="U98" s="1010"/>
      <c r="V98" s="1010"/>
      <c r="W98" s="1010"/>
      <c r="X98" s="1010"/>
      <c r="Y98" s="1010"/>
      <c r="Z98" s="1010"/>
      <c r="AA98" s="1010"/>
      <c r="AB98" s="1010"/>
      <c r="AC98" s="1010"/>
      <c r="AD98" s="1010"/>
      <c r="AE98" s="1010"/>
      <c r="AF98" s="1010"/>
      <c r="AG98" s="1010"/>
      <c r="AH98" s="1010"/>
      <c r="AI98" s="1010"/>
      <c r="AJ98" s="1010"/>
      <c r="AK98" s="1010"/>
      <c r="AL98" s="1010"/>
      <c r="AM98" s="1010"/>
      <c r="AN98" s="1010"/>
      <c r="AO98" s="1010"/>
      <c r="AP98" s="1010"/>
      <c r="AQ98" s="1010"/>
      <c r="AR98" s="1010"/>
      <c r="AS98" s="1010"/>
      <c r="AT98" s="1010"/>
      <c r="AU98" s="1010"/>
      <c r="AV98" s="1010"/>
      <c r="AW98" s="1010"/>
      <c r="AX98" s="1010"/>
      <c r="AY98" s="1010"/>
      <c r="AZ98" s="1010"/>
      <c r="BA98" s="1010"/>
      <c r="BB98" s="1010"/>
      <c r="BC98" s="1010"/>
      <c r="BD98" s="1010"/>
      <c r="BE98" s="1010"/>
      <c r="BF98" s="1010"/>
      <c r="BG98" s="1010"/>
      <c r="BH98" s="1010"/>
      <c r="BI98" s="1010"/>
      <c r="BJ98" s="1010"/>
      <c r="BK98" s="1010"/>
      <c r="BL98" s="1010"/>
      <c r="BM98" s="1010"/>
      <c r="BN98" s="1010"/>
      <c r="BO98" s="1010"/>
      <c r="BP98" s="1010"/>
      <c r="BQ98" s="1010"/>
      <c r="BR98" s="1010"/>
      <c r="BS98" s="1010"/>
      <c r="BT98" s="1010"/>
      <c r="BU98" s="1010"/>
    </row>
    <row r="99" spans="1:73">
      <c r="A99" s="1010"/>
      <c r="B99" s="1010"/>
      <c r="C99" s="1010"/>
      <c r="D99" s="1010"/>
      <c r="E99" s="1010"/>
      <c r="F99" s="1010"/>
      <c r="G99" s="1010"/>
      <c r="H99" s="1010"/>
      <c r="I99" s="1010"/>
      <c r="J99" s="1010"/>
      <c r="K99" s="1010"/>
      <c r="L99" s="1010"/>
      <c r="M99" s="1010"/>
      <c r="N99" s="1010"/>
      <c r="O99" s="1010"/>
      <c r="P99" s="1010"/>
      <c r="Q99" s="1010"/>
      <c r="R99" s="1010"/>
      <c r="S99" s="1010"/>
      <c r="T99" s="1010"/>
      <c r="U99" s="1010"/>
      <c r="V99" s="1010"/>
      <c r="W99" s="1010"/>
      <c r="X99" s="1010"/>
      <c r="Y99" s="1010"/>
      <c r="Z99" s="1010"/>
      <c r="AA99" s="1010"/>
      <c r="AB99" s="1010"/>
      <c r="AC99" s="1010"/>
      <c r="AD99" s="1010"/>
      <c r="AE99" s="1010"/>
      <c r="AF99" s="1010"/>
      <c r="AG99" s="1010"/>
      <c r="AH99" s="1010"/>
      <c r="AI99" s="1010"/>
      <c r="AJ99" s="1010"/>
      <c r="AK99" s="1010"/>
      <c r="AL99" s="1010"/>
      <c r="AM99" s="1010"/>
      <c r="AN99" s="1010"/>
      <c r="AO99" s="1010"/>
      <c r="AP99" s="1010"/>
      <c r="AQ99" s="1010"/>
      <c r="AR99" s="1010"/>
      <c r="AS99" s="1010"/>
      <c r="AT99" s="1010"/>
      <c r="AU99" s="1010"/>
      <c r="AV99" s="1010"/>
      <c r="AW99" s="1010"/>
      <c r="AX99" s="1010"/>
      <c r="AY99" s="1010"/>
      <c r="AZ99" s="1010"/>
      <c r="BA99" s="1010"/>
      <c r="BB99" s="1010"/>
      <c r="BC99" s="1010"/>
      <c r="BD99" s="1010"/>
      <c r="BE99" s="1010"/>
      <c r="BF99" s="1010"/>
      <c r="BG99" s="1010"/>
      <c r="BH99" s="1010"/>
      <c r="BI99" s="1010"/>
      <c r="BJ99" s="1010"/>
      <c r="BK99" s="1010"/>
      <c r="BL99" s="1010"/>
      <c r="BM99" s="1010"/>
      <c r="BN99" s="1010"/>
      <c r="BO99" s="1010"/>
      <c r="BP99" s="1010"/>
      <c r="BQ99" s="1010"/>
      <c r="BR99" s="1010"/>
      <c r="BS99" s="1010"/>
      <c r="BT99" s="1010"/>
      <c r="BU99" s="1010"/>
    </row>
    <row r="100" spans="1:73" ht="38.25">
      <c r="A100" s="1010"/>
      <c r="B100" s="1012" t="s">
        <v>1145</v>
      </c>
      <c r="C100" s="1032" t="s">
        <v>1144</v>
      </c>
      <c r="D100" s="1" t="s">
        <v>1154</v>
      </c>
      <c r="E100" s="1012" t="s">
        <v>1150</v>
      </c>
      <c r="F100" s="1012" t="s">
        <v>1151</v>
      </c>
      <c r="G100" s="1012" t="s">
        <v>1152</v>
      </c>
      <c r="H100" s="1012" t="s">
        <v>1146</v>
      </c>
      <c r="I100" s="1012" t="s">
        <v>1147</v>
      </c>
      <c r="J100" s="1012" t="s">
        <v>1148</v>
      </c>
      <c r="K100" s="1010"/>
      <c r="L100" s="1012" t="s">
        <v>1153</v>
      </c>
      <c r="M100" s="1021" t="s">
        <v>1156</v>
      </c>
      <c r="N100" s="1021" t="s">
        <v>1139</v>
      </c>
      <c r="O100" s="1010"/>
      <c r="P100" s="1010"/>
      <c r="Q100" s="1010"/>
      <c r="R100" s="1010"/>
      <c r="S100" s="1010"/>
      <c r="T100" s="1010"/>
      <c r="U100" s="1010"/>
      <c r="V100" s="1010"/>
      <c r="W100" s="1010"/>
      <c r="X100" s="1010"/>
      <c r="Y100" s="1010"/>
      <c r="Z100" s="1010"/>
      <c r="AA100" s="1010"/>
      <c r="AB100" s="1010"/>
      <c r="AC100" s="1010"/>
      <c r="AD100" s="1010"/>
      <c r="AE100" s="1010"/>
      <c r="AF100" s="1010"/>
      <c r="AG100" s="1010"/>
      <c r="AH100" s="1010"/>
      <c r="AI100" s="1010"/>
      <c r="AJ100" s="1010"/>
      <c r="AK100" s="1010"/>
      <c r="AL100" s="1010"/>
      <c r="AM100" s="1010"/>
      <c r="AN100" s="1010"/>
      <c r="AO100" s="1010"/>
      <c r="AP100" s="1010"/>
      <c r="AQ100" s="1010"/>
      <c r="AR100" s="1010"/>
      <c r="AS100" s="1010"/>
      <c r="AT100" s="1010"/>
      <c r="AU100" s="1010"/>
      <c r="AV100" s="1010"/>
      <c r="AW100" s="1010"/>
      <c r="AX100" s="1010"/>
      <c r="AY100" s="1010"/>
      <c r="AZ100" s="1010"/>
      <c r="BA100" s="1010"/>
      <c r="BB100" s="1010"/>
      <c r="BC100" s="1010"/>
      <c r="BD100" s="1010"/>
      <c r="BE100" s="1010"/>
      <c r="BF100" s="1010"/>
      <c r="BG100" s="1010"/>
      <c r="BH100" s="1010"/>
      <c r="BI100" s="1010"/>
      <c r="BJ100" s="1010"/>
      <c r="BK100" s="1010"/>
      <c r="BL100" s="1010"/>
      <c r="BM100" s="1010"/>
      <c r="BN100" s="1010"/>
      <c r="BO100" s="1010"/>
      <c r="BP100" s="1010"/>
      <c r="BQ100" s="1010"/>
      <c r="BR100" s="1010"/>
      <c r="BS100" s="1010"/>
      <c r="BT100" s="1010"/>
      <c r="BU100" s="1010"/>
    </row>
    <row r="101" spans="1:73">
      <c r="A101" s="1010"/>
      <c r="B101" s="1010"/>
      <c r="C101" s="1033">
        <v>1</v>
      </c>
      <c r="D101" s="1014" t="str">
        <f t="shared" ref="D101:D107" ca="1" si="34">OFFSET(L$100,MATCH($C101,$N$101:$N$107,0),0)</f>
        <v>Feedstock Consumption (% of baseline)
(95%, 100%, 105%)</v>
      </c>
      <c r="E101" s="1106">
        <f t="shared" ref="E101:E107" ca="1" si="35">OFFSET(E$76,MATCH($C101,$N$101:$N$107,0)*3-2,0)</f>
        <v>2.3412960583840761</v>
      </c>
      <c r="F101" s="1106">
        <f t="shared" ref="F101:F107" si="36">+$K$51</f>
        <v>2.4111382454761561</v>
      </c>
      <c r="G101" s="1106">
        <f t="shared" ref="G101:G107" ca="1" si="37">OFFSET(E$76,MATCH($C101,$N$101:$N$107,0)*3,0)</f>
        <v>2.4809804325682334</v>
      </c>
      <c r="H101" s="1014">
        <f ca="1">+E101</f>
        <v>2.3412960583840761</v>
      </c>
      <c r="I101" s="1014">
        <f ca="1">+F101-E101</f>
        <v>6.984218709208001E-2</v>
      </c>
      <c r="J101" s="1014">
        <f ca="1">+G101-F101</f>
        <v>6.9842187092077346E-2</v>
      </c>
      <c r="K101" s="1010"/>
      <c r="L101" s="1014" t="str">
        <f>+B3&amp;"
("&amp;TEXT(H3,"0%, ")&amp;TEXT(C3,"0%, ")&amp;TEXT(I3,"0%)")</f>
        <v>Operating Capacity Factor
(102%, 97%, 92%)</v>
      </c>
      <c r="M101" s="1024">
        <f>ABS(K52-K53)+0.000000001</f>
        <v>8.2986780968087454E-2</v>
      </c>
      <c r="N101" s="1014">
        <f t="shared" ref="N101:N107" si="38">+RANK(M101,$M$101:$M$107)</f>
        <v>2</v>
      </c>
      <c r="O101" s="1021"/>
      <c r="P101" s="1010"/>
      <c r="Q101" s="1010"/>
      <c r="R101" s="1010"/>
      <c r="S101" s="1010"/>
      <c r="T101" s="1010"/>
      <c r="U101" s="1010"/>
      <c r="V101" s="1010"/>
      <c r="W101" s="1010"/>
      <c r="X101" s="1010"/>
      <c r="Y101" s="1010"/>
      <c r="Z101" s="1010"/>
      <c r="AA101" s="1010"/>
      <c r="AB101" s="1010"/>
      <c r="AC101" s="1010"/>
      <c r="AD101" s="1010"/>
      <c r="AE101" s="1010"/>
      <c r="AF101" s="1010"/>
      <c r="AG101" s="1010"/>
      <c r="AH101" s="1010"/>
      <c r="AI101" s="1010"/>
      <c r="AJ101" s="1010"/>
      <c r="AK101" s="1010"/>
      <c r="AL101" s="1010"/>
      <c r="AM101" s="1010"/>
      <c r="AN101" s="1010"/>
      <c r="AO101" s="1010"/>
      <c r="AP101" s="1010"/>
      <c r="AQ101" s="1010"/>
      <c r="AR101" s="1010"/>
      <c r="AS101" s="1010"/>
      <c r="AT101" s="1010"/>
      <c r="AU101" s="1010"/>
      <c r="AV101" s="1010"/>
      <c r="AW101" s="1010"/>
      <c r="AX101" s="1010"/>
      <c r="AY101" s="1010"/>
      <c r="AZ101" s="1010"/>
      <c r="BA101" s="1010"/>
      <c r="BB101" s="1010"/>
      <c r="BC101" s="1010"/>
      <c r="BD101" s="1010"/>
      <c r="BE101" s="1010"/>
      <c r="BF101" s="1010"/>
      <c r="BG101" s="1010"/>
      <c r="BH101" s="1010"/>
      <c r="BI101" s="1010"/>
      <c r="BJ101" s="1010"/>
      <c r="BK101" s="1010"/>
      <c r="BL101" s="1010"/>
      <c r="BM101" s="1010"/>
      <c r="BN101" s="1010"/>
      <c r="BO101" s="1010"/>
      <c r="BP101" s="1010"/>
      <c r="BQ101" s="1010"/>
      <c r="BR101" s="1010"/>
      <c r="BS101" s="1010"/>
      <c r="BT101" s="1010"/>
      <c r="BU101" s="1010"/>
    </row>
    <row r="102" spans="1:73">
      <c r="A102" s="1010"/>
      <c r="B102" s="1010"/>
      <c r="C102" s="1033">
        <v>2</v>
      </c>
      <c r="D102" s="1014" t="str">
        <f t="shared" ca="1" si="34"/>
        <v>Operating Capacity Factor
(102%, 97%, 92%)</v>
      </c>
      <c r="E102" s="1106">
        <f t="shared" ca="1" si="35"/>
        <v>2.3717195249913128</v>
      </c>
      <c r="F102" s="1106">
        <f t="shared" si="36"/>
        <v>2.4111382454761561</v>
      </c>
      <c r="G102" s="1106">
        <f t="shared" ca="1" si="37"/>
        <v>2.4547063049594002</v>
      </c>
      <c r="H102" s="1014">
        <f t="shared" ref="H102:H107" ca="1" si="39">+E102</f>
        <v>2.3717195249913128</v>
      </c>
      <c r="I102" s="1014">
        <f t="shared" ref="I102:I107" ca="1" si="40">+F102-E102</f>
        <v>3.9418720484843295E-2</v>
      </c>
      <c r="J102" s="1014">
        <f t="shared" ref="J102:J107" ca="1" si="41">+G102-F102</f>
        <v>4.3568059483244159E-2</v>
      </c>
      <c r="K102" s="1010"/>
      <c r="L102" s="1014" t="str">
        <f ca="1">+B4&amp;"
("&amp;TEXT(H4,"0,000")&amp;", "&amp;TEXT(C4,"0,000")&amp;", "&amp;TEXT(I4,"0,000")&amp;") "</f>
        <v xml:space="preserve">Plant Design Capacity (kg of H2/day)
(59325,000, 56500,000, 53675,000) </v>
      </c>
      <c r="M102" s="1024">
        <f>+ABS(K54-K55)+0.000000002</f>
        <v>1.9493734302692023E-2</v>
      </c>
      <c r="N102" s="1014">
        <f t="shared" si="38"/>
        <v>6</v>
      </c>
      <c r="O102" s="1021"/>
      <c r="P102" s="1010"/>
      <c r="Q102" s="1010"/>
      <c r="R102" s="1010"/>
      <c r="S102" s="1010"/>
      <c r="T102" s="1010"/>
      <c r="U102" s="1010"/>
      <c r="V102" s="1010"/>
      <c r="W102" s="1010"/>
      <c r="X102" s="1010"/>
      <c r="Y102" s="1010"/>
      <c r="Z102" s="1010"/>
      <c r="AA102" s="1010"/>
      <c r="AB102" s="1010"/>
      <c r="AC102" s="1010"/>
      <c r="AD102" s="1010"/>
      <c r="AE102" s="1010"/>
      <c r="AF102" s="1010"/>
      <c r="AG102" s="1010"/>
      <c r="AH102" s="1010"/>
      <c r="AI102" s="1010"/>
      <c r="AJ102" s="1010"/>
      <c r="AK102" s="1010"/>
      <c r="AL102" s="1010"/>
      <c r="AM102" s="1010"/>
      <c r="AN102" s="1010"/>
      <c r="AO102" s="1010"/>
      <c r="AP102" s="1010"/>
      <c r="AQ102" s="1010"/>
      <c r="AR102" s="1010"/>
      <c r="AS102" s="1010"/>
      <c r="AT102" s="1010"/>
      <c r="AU102" s="1010"/>
      <c r="AV102" s="1010"/>
      <c r="AW102" s="1010"/>
      <c r="AX102" s="1010"/>
      <c r="AY102" s="1010"/>
      <c r="AZ102" s="1010"/>
      <c r="BA102" s="1010"/>
      <c r="BB102" s="1010"/>
      <c r="BC102" s="1010"/>
      <c r="BD102" s="1010"/>
      <c r="BE102" s="1010"/>
      <c r="BF102" s="1010"/>
      <c r="BG102" s="1010"/>
      <c r="BH102" s="1010"/>
      <c r="BI102" s="1010"/>
      <c r="BJ102" s="1010"/>
      <c r="BK102" s="1010"/>
      <c r="BL102" s="1010"/>
      <c r="BM102" s="1010"/>
      <c r="BN102" s="1010"/>
      <c r="BO102" s="1010"/>
      <c r="BP102" s="1010"/>
      <c r="BQ102" s="1010"/>
      <c r="BR102" s="1010"/>
      <c r="BS102" s="1010"/>
      <c r="BT102" s="1010"/>
      <c r="BU102" s="1010"/>
    </row>
    <row r="103" spans="1:73">
      <c r="A103" s="1010"/>
      <c r="B103" s="1010"/>
      <c r="C103" s="1033">
        <v>3</v>
      </c>
      <c r="D103" s="1014" t="str">
        <f t="shared" ca="1" si="34"/>
        <v xml:space="preserve">Total Capital Investment
($82089,769K, $86410,284K, $90730,798K) </v>
      </c>
      <c r="E103" s="1106">
        <f t="shared" ca="1" si="35"/>
        <v>2.3939870404855514</v>
      </c>
      <c r="F103" s="1106">
        <f t="shared" si="36"/>
        <v>2.4111382454761561</v>
      </c>
      <c r="G103" s="1106">
        <f t="shared" ca="1" si="37"/>
        <v>2.4282894504667607</v>
      </c>
      <c r="H103" s="1014">
        <f t="shared" ca="1" si="39"/>
        <v>2.3939870404855514</v>
      </c>
      <c r="I103" s="1014">
        <f t="shared" ca="1" si="40"/>
        <v>1.7151204990604629E-2</v>
      </c>
      <c r="J103" s="1014">
        <f t="shared" ca="1" si="41"/>
        <v>1.7151204990604629E-2</v>
      </c>
      <c r="K103" s="1010"/>
      <c r="L103" s="1014" t="str">
        <f ca="1">+B5&amp;"
("&amp;TEXT(H5,"0%, ")&amp;TEXT(C5,"0%, ")&amp;TEXT(I5,"0%)")</f>
        <v>After-tax Real IRR
(8%, 8%, 8%)</v>
      </c>
      <c r="M103" s="1024">
        <f>+ABS(K56-K57)+0.000000003</f>
        <v>2.6273071687681532E-2</v>
      </c>
      <c r="N103" s="1014">
        <f t="shared" si="38"/>
        <v>5</v>
      </c>
      <c r="O103" s="1021"/>
      <c r="P103" s="1010"/>
      <c r="Q103" s="1010"/>
      <c r="R103" s="1010"/>
      <c r="S103" s="1010"/>
      <c r="T103" s="1010"/>
      <c r="U103" s="1010"/>
      <c r="V103" s="1010"/>
      <c r="W103" s="1010"/>
      <c r="X103" s="1010"/>
      <c r="Y103" s="1010"/>
      <c r="Z103" s="1010"/>
      <c r="AA103" s="1010"/>
      <c r="AB103" s="1010"/>
      <c r="AC103" s="1010"/>
      <c r="AD103" s="1010"/>
      <c r="AE103" s="1010"/>
      <c r="AF103" s="1010"/>
      <c r="AG103" s="1010"/>
      <c r="AH103" s="1010"/>
      <c r="AI103" s="1010"/>
      <c r="AJ103" s="1010"/>
      <c r="AK103" s="1010"/>
      <c r="AL103" s="1010"/>
      <c r="AM103" s="1010"/>
      <c r="AN103" s="1010"/>
      <c r="AO103" s="1010"/>
      <c r="AP103" s="1010"/>
      <c r="AQ103" s="1010"/>
      <c r="AR103" s="1010"/>
      <c r="AS103" s="1010"/>
      <c r="AT103" s="1010"/>
      <c r="AU103" s="1010"/>
      <c r="AV103" s="1010"/>
      <c r="AW103" s="1010"/>
      <c r="AX103" s="1010"/>
      <c r="AY103" s="1010"/>
      <c r="AZ103" s="1010"/>
      <c r="BA103" s="1010"/>
      <c r="BB103" s="1010"/>
      <c r="BC103" s="1010"/>
      <c r="BD103" s="1010"/>
      <c r="BE103" s="1010"/>
      <c r="BF103" s="1010"/>
      <c r="BG103" s="1010"/>
      <c r="BH103" s="1010"/>
      <c r="BI103" s="1010"/>
      <c r="BJ103" s="1010"/>
      <c r="BK103" s="1010"/>
      <c r="BL103" s="1010"/>
      <c r="BM103" s="1010"/>
      <c r="BN103" s="1010"/>
      <c r="BO103" s="1010"/>
      <c r="BP103" s="1010"/>
      <c r="BQ103" s="1010"/>
      <c r="BR103" s="1010"/>
      <c r="BS103" s="1010"/>
      <c r="BT103" s="1010"/>
      <c r="BU103" s="1010"/>
    </row>
    <row r="104" spans="1:73">
      <c r="A104" s="1010"/>
      <c r="B104" s="1010"/>
      <c r="C104" s="1033">
        <v>4</v>
      </c>
      <c r="D104" s="1014" t="str">
        <f t="shared" ca="1" si="34"/>
        <v xml:space="preserve">Total Fixed Operating Cost
($4556,669K, $4796,493K, $5036,318K) </v>
      </c>
      <c r="E104" s="1106">
        <f t="shared" ca="1" si="35"/>
        <v>2.3979695764844378</v>
      </c>
      <c r="F104" s="1106">
        <f t="shared" si="36"/>
        <v>2.4111382454761561</v>
      </c>
      <c r="G104" s="1106">
        <f t="shared" ca="1" si="37"/>
        <v>2.4243069144678726</v>
      </c>
      <c r="H104" s="1014">
        <f t="shared" ca="1" si="39"/>
        <v>2.3979695764844378</v>
      </c>
      <c r="I104" s="1014">
        <f t="shared" ca="1" si="40"/>
        <v>1.3168668991718313E-2</v>
      </c>
      <c r="J104" s="1014">
        <f t="shared" ca="1" si="41"/>
        <v>1.3168668991716537E-2</v>
      </c>
      <c r="K104" s="1010"/>
      <c r="L104" s="1014" t="str">
        <f>+B6&amp;"
("&amp;TEXT(H6,"0%, ")&amp;TEXT(C6,"0%, ")&amp;TEXT(I6,"0%)")</f>
        <v>Feedstock Consumption (% of baseline)
(95%, 100%, 105%)</v>
      </c>
      <c r="M104" s="1024">
        <f>+ABS(K58-K59)+0.000000004</f>
        <v>0.13968437818415735</v>
      </c>
      <c r="N104" s="1014">
        <f t="shared" si="38"/>
        <v>1</v>
      </c>
      <c r="O104" s="1021"/>
      <c r="P104" s="1010"/>
      <c r="Q104" s="1010"/>
      <c r="R104" s="1010"/>
      <c r="S104" s="1010"/>
      <c r="T104" s="1010"/>
      <c r="U104" s="1010"/>
      <c r="V104" s="1010"/>
      <c r="W104" s="1010"/>
      <c r="X104" s="1010"/>
      <c r="Y104" s="1010"/>
      <c r="Z104" s="1010"/>
      <c r="AA104" s="1010"/>
      <c r="AB104" s="1010"/>
      <c r="AC104" s="1010"/>
      <c r="AD104" s="1010"/>
      <c r="AE104" s="1010"/>
      <c r="AF104" s="1010"/>
      <c r="AG104" s="1010"/>
      <c r="AH104" s="1010"/>
      <c r="AI104" s="1010"/>
      <c r="AJ104" s="1010"/>
      <c r="AK104" s="1010"/>
      <c r="AL104" s="1010"/>
      <c r="AM104" s="1010"/>
      <c r="AN104" s="1010"/>
      <c r="AO104" s="1010"/>
      <c r="AP104" s="1010"/>
      <c r="AQ104" s="1010"/>
      <c r="AR104" s="1010"/>
      <c r="AS104" s="1010"/>
      <c r="AT104" s="1010"/>
      <c r="AU104" s="1010"/>
      <c r="AV104" s="1010"/>
      <c r="AW104" s="1010"/>
      <c r="AX104" s="1010"/>
      <c r="AY104" s="1010"/>
      <c r="AZ104" s="1010"/>
      <c r="BA104" s="1010"/>
      <c r="BB104" s="1010"/>
      <c r="BC104" s="1010"/>
      <c r="BD104" s="1010"/>
      <c r="BE104" s="1010"/>
      <c r="BF104" s="1010"/>
      <c r="BG104" s="1010"/>
      <c r="BH104" s="1010"/>
      <c r="BI104" s="1010"/>
      <c r="BJ104" s="1010"/>
      <c r="BK104" s="1010"/>
      <c r="BL104" s="1010"/>
      <c r="BM104" s="1010"/>
      <c r="BN104" s="1010"/>
      <c r="BO104" s="1010"/>
      <c r="BP104" s="1010"/>
      <c r="BQ104" s="1010"/>
      <c r="BR104" s="1010"/>
      <c r="BS104" s="1010"/>
      <c r="BT104" s="1010"/>
      <c r="BU104" s="1010"/>
    </row>
    <row r="105" spans="1:73">
      <c r="A105" s="1010"/>
      <c r="B105" s="1010"/>
      <c r="C105" s="1033">
        <v>5</v>
      </c>
      <c r="D105" s="1014" t="str">
        <f t="shared" ca="1" si="34"/>
        <v>After-tax Real IRR
(8%, 8%, 8%)</v>
      </c>
      <c r="E105" s="1106">
        <f t="shared" ca="1" si="35"/>
        <v>2.3981518107823239</v>
      </c>
      <c r="F105" s="1106">
        <f t="shared" si="36"/>
        <v>2.4111382454761561</v>
      </c>
      <c r="G105" s="1106">
        <f t="shared" ca="1" si="37"/>
        <v>2.4244248794700054</v>
      </c>
      <c r="H105" s="1014">
        <f t="shared" ref="H105" ca="1" si="42">+E105</f>
        <v>2.3981518107823239</v>
      </c>
      <c r="I105" s="1014">
        <f t="shared" ref="I105" ca="1" si="43">+F105-E105</f>
        <v>1.2986434693832205E-2</v>
      </c>
      <c r="J105" s="1014">
        <f t="shared" ref="J105" ca="1" si="44">+G105-F105</f>
        <v>1.3286633993849328E-2</v>
      </c>
      <c r="K105" s="1010"/>
      <c r="L105" s="1014" t="str">
        <f>+B7&amp;"
("&amp;TEXT(H7,"0%, ")&amp;TEXT(C7,"0%, ")&amp;TEXT(I7,"0%)")</f>
        <v>Utilities Consumption (% of baseline)
(95%, 100%, 105%)</v>
      </c>
      <c r="M105" s="1024">
        <f>+ABS(K60-K61)+0.000000004</f>
        <v>1.7390792453430785E-2</v>
      </c>
      <c r="N105" s="1014">
        <f t="shared" si="38"/>
        <v>7</v>
      </c>
      <c r="O105" s="1021"/>
      <c r="P105" s="1010"/>
      <c r="Q105" s="1010"/>
      <c r="R105" s="1010"/>
      <c r="S105" s="1010"/>
      <c r="T105" s="1010"/>
      <c r="U105" s="1010"/>
      <c r="V105" s="1010"/>
      <c r="W105" s="1010"/>
      <c r="X105" s="1010"/>
      <c r="Y105" s="1010"/>
      <c r="Z105" s="1010"/>
      <c r="AA105" s="1010"/>
      <c r="AB105" s="1010"/>
      <c r="AC105" s="1010"/>
      <c r="AD105" s="1010"/>
      <c r="AE105" s="1010"/>
      <c r="AF105" s="1010"/>
      <c r="AG105" s="1010"/>
      <c r="AH105" s="1010"/>
      <c r="AI105" s="1010"/>
      <c r="AJ105" s="1010"/>
      <c r="AK105" s="1010"/>
      <c r="AL105" s="1010"/>
      <c r="AM105" s="1010"/>
      <c r="AN105" s="1010"/>
      <c r="AO105" s="1010"/>
      <c r="AP105" s="1010"/>
      <c r="AQ105" s="1010"/>
      <c r="AR105" s="1010"/>
      <c r="AS105" s="1010"/>
      <c r="AT105" s="1010"/>
      <c r="AU105" s="1010"/>
      <c r="AV105" s="1010"/>
      <c r="AW105" s="1010"/>
      <c r="AX105" s="1010"/>
      <c r="AY105" s="1010"/>
      <c r="AZ105" s="1010"/>
      <c r="BA105" s="1010"/>
      <c r="BB105" s="1010"/>
      <c r="BC105" s="1010"/>
      <c r="BD105" s="1010"/>
      <c r="BE105" s="1010"/>
      <c r="BF105" s="1010"/>
      <c r="BG105" s="1010"/>
      <c r="BH105" s="1010"/>
      <c r="BI105" s="1010"/>
      <c r="BJ105" s="1010"/>
      <c r="BK105" s="1010"/>
      <c r="BL105" s="1010"/>
      <c r="BM105" s="1010"/>
      <c r="BN105" s="1010"/>
      <c r="BO105" s="1010"/>
      <c r="BP105" s="1010"/>
      <c r="BQ105" s="1010"/>
      <c r="BR105" s="1010"/>
      <c r="BS105" s="1010"/>
      <c r="BT105" s="1010"/>
      <c r="BU105" s="1010"/>
    </row>
    <row r="106" spans="1:73">
      <c r="A106" s="1010"/>
      <c r="B106" s="1010"/>
      <c r="C106" s="1033">
        <v>6</v>
      </c>
      <c r="D106" s="1014" t="str">
        <f t="shared" ca="1" si="34"/>
        <v xml:space="preserve">Plant Design Capacity (kg of H2/day)
(59325,000, 56500,000, 53675,000) </v>
      </c>
      <c r="E106" s="1106">
        <f t="shared" ca="1" si="35"/>
        <v>2.4017774627996471</v>
      </c>
      <c r="F106" s="1106">
        <f t="shared" si="36"/>
        <v>2.4111382454761561</v>
      </c>
      <c r="G106" s="1106">
        <f t="shared" ca="1" si="37"/>
        <v>2.4212711951023391</v>
      </c>
      <c r="H106" s="1014">
        <f t="shared" ca="1" si="39"/>
        <v>2.4017774627996471</v>
      </c>
      <c r="I106" s="1014">
        <f t="shared" ca="1" si="40"/>
        <v>9.3607826765089719E-3</v>
      </c>
      <c r="J106" s="1014">
        <f t="shared" ca="1" si="41"/>
        <v>1.0132949626183052E-2</v>
      </c>
      <c r="K106" s="1010"/>
      <c r="L106" s="1014" t="str">
        <f ca="1">+B8&amp;"
("&amp;TEXT(H8/1000,"$0,000K")&amp;", "&amp;TEXT(C8/1000,"$0,000K")&amp;", "&amp;TEXT(I8/1000,"$0,000K")&amp;") "</f>
        <v xml:space="preserve">Total Capital Investment
($82089,769K, $86410,284K, $90730,798K) </v>
      </c>
      <c r="M106" s="1024">
        <f>+ABS(K62-K63)+0.000000006</f>
        <v>3.4302415981209256E-2</v>
      </c>
      <c r="N106" s="1014">
        <f t="shared" si="38"/>
        <v>3</v>
      </c>
      <c r="O106" s="1021"/>
      <c r="P106" s="1010"/>
      <c r="Q106" s="1010"/>
      <c r="R106" s="1010"/>
      <c r="S106" s="1010"/>
      <c r="T106" s="1010"/>
      <c r="U106" s="1010"/>
      <c r="V106" s="1010"/>
      <c r="W106" s="1010"/>
      <c r="X106" s="1010"/>
      <c r="Y106" s="1010"/>
      <c r="Z106" s="1010"/>
      <c r="AA106" s="1010"/>
      <c r="AB106" s="1010"/>
      <c r="AC106" s="1010"/>
      <c r="AD106" s="1010"/>
      <c r="AE106" s="1010"/>
      <c r="AF106" s="1010"/>
      <c r="AG106" s="1010"/>
      <c r="AH106" s="1010"/>
      <c r="AI106" s="1010"/>
      <c r="AJ106" s="1010"/>
      <c r="AK106" s="1010"/>
      <c r="AL106" s="1010"/>
      <c r="AM106" s="1010"/>
      <c r="AN106" s="1010"/>
      <c r="AO106" s="1010"/>
      <c r="AP106" s="1010"/>
      <c r="AQ106" s="1010"/>
      <c r="AR106" s="1010"/>
      <c r="AS106" s="1010"/>
      <c r="AT106" s="1010"/>
      <c r="AU106" s="1010"/>
      <c r="AV106" s="1010"/>
      <c r="AW106" s="1010"/>
      <c r="AX106" s="1010"/>
      <c r="AY106" s="1010"/>
      <c r="AZ106" s="1010"/>
      <c r="BA106" s="1010"/>
      <c r="BB106" s="1010"/>
      <c r="BC106" s="1010"/>
      <c r="BD106" s="1010"/>
      <c r="BE106" s="1010"/>
      <c r="BF106" s="1010"/>
      <c r="BG106" s="1010"/>
      <c r="BH106" s="1010"/>
      <c r="BI106" s="1010"/>
      <c r="BJ106" s="1010"/>
      <c r="BK106" s="1010"/>
      <c r="BL106" s="1010"/>
      <c r="BM106" s="1010"/>
      <c r="BN106" s="1010"/>
      <c r="BO106" s="1010"/>
      <c r="BP106" s="1010"/>
      <c r="BQ106" s="1010"/>
      <c r="BR106" s="1010"/>
      <c r="BS106" s="1010"/>
      <c r="BT106" s="1010"/>
      <c r="BU106" s="1010"/>
    </row>
    <row r="107" spans="1:73">
      <c r="A107" s="1010"/>
      <c r="B107" s="1010"/>
      <c r="C107" s="1033">
        <v>7</v>
      </c>
      <c r="D107" s="1014" t="str">
        <f t="shared" ca="1" si="34"/>
        <v>Utilities Consumption (% of baseline)
(95%, 100%, 105%)</v>
      </c>
      <c r="E107" s="1106">
        <f t="shared" ca="1" si="35"/>
        <v>2.4024428512494405</v>
      </c>
      <c r="F107" s="1106">
        <f t="shared" si="36"/>
        <v>2.4111382454761561</v>
      </c>
      <c r="G107" s="1106">
        <f t="shared" ca="1" si="37"/>
        <v>2.4198336397028712</v>
      </c>
      <c r="H107" s="1014">
        <f t="shared" ca="1" si="39"/>
        <v>2.4024428512494405</v>
      </c>
      <c r="I107" s="1014">
        <f t="shared" ca="1" si="40"/>
        <v>8.6953942267156137E-3</v>
      </c>
      <c r="J107" s="1014">
        <f t="shared" ca="1" si="41"/>
        <v>8.6953942267151696E-3</v>
      </c>
      <c r="K107" s="1010"/>
      <c r="L107" s="1014" t="str">
        <f ca="1">+B9&amp;"
("&amp;TEXT(H9/1000,"$0,000K")&amp;", "&amp;TEXT(C9/1000,"$0,000K")&amp;", "&amp;TEXT(I9/1000,"$0,000K")&amp;") "</f>
        <v xml:space="preserve">Total Fixed Operating Cost
($4556,669K, $4796,493K, $5036,318K) </v>
      </c>
      <c r="M107" s="1024">
        <f>+ABS(K64-K65)+0.00000007</f>
        <v>2.6337407983434851E-2</v>
      </c>
      <c r="N107" s="1014">
        <f t="shared" si="38"/>
        <v>4</v>
      </c>
      <c r="O107" s="1021"/>
      <c r="P107" s="1010"/>
      <c r="Q107" s="1010"/>
      <c r="R107" s="1010"/>
      <c r="S107" s="1010"/>
      <c r="T107" s="1010"/>
      <c r="U107" s="1010"/>
      <c r="V107" s="1010"/>
      <c r="W107" s="1010"/>
      <c r="X107" s="1010"/>
      <c r="Y107" s="1010"/>
      <c r="Z107" s="1010"/>
      <c r="AA107" s="1010"/>
      <c r="AB107" s="1010"/>
      <c r="AC107" s="1010"/>
      <c r="AD107" s="1010"/>
      <c r="AE107" s="1010"/>
      <c r="AF107" s="1010"/>
      <c r="AG107" s="1010"/>
      <c r="AH107" s="1010"/>
      <c r="AI107" s="1010"/>
      <c r="AJ107" s="1010"/>
      <c r="AK107" s="1010"/>
      <c r="AL107" s="1010"/>
      <c r="AM107" s="1010"/>
      <c r="AN107" s="1010"/>
      <c r="AO107" s="1010"/>
      <c r="AP107" s="1010"/>
      <c r="AQ107" s="1010"/>
      <c r="AR107" s="1010"/>
      <c r="AS107" s="1010"/>
      <c r="AT107" s="1010"/>
      <c r="AU107" s="1010"/>
      <c r="AV107" s="1010"/>
      <c r="AW107" s="1010"/>
      <c r="AX107" s="1010"/>
      <c r="AY107" s="1010"/>
      <c r="AZ107" s="1010"/>
      <c r="BA107" s="1010"/>
      <c r="BB107" s="1010"/>
      <c r="BC107" s="1010"/>
      <c r="BD107" s="1010"/>
      <c r="BE107" s="1010"/>
      <c r="BF107" s="1010"/>
      <c r="BG107" s="1010"/>
      <c r="BH107" s="1010"/>
      <c r="BI107" s="1010"/>
      <c r="BJ107" s="1010"/>
      <c r="BK107" s="1010"/>
      <c r="BL107" s="1010"/>
      <c r="BM107" s="1010"/>
      <c r="BN107" s="1010"/>
      <c r="BO107" s="1010"/>
      <c r="BP107" s="1010"/>
      <c r="BQ107" s="1010"/>
      <c r="BR107" s="1010"/>
      <c r="BS107" s="1010"/>
      <c r="BT107" s="1010"/>
      <c r="BU107" s="1010"/>
    </row>
    <row r="108" spans="1:73">
      <c r="A108" s="1010"/>
      <c r="B108" s="1010"/>
      <c r="C108" s="1010"/>
      <c r="D108" s="1010"/>
      <c r="E108" s="1010"/>
      <c r="F108" s="1010"/>
      <c r="G108" s="1010"/>
      <c r="H108" s="1010"/>
      <c r="I108" s="1010"/>
      <c r="J108" s="1010"/>
      <c r="K108" s="1010"/>
      <c r="L108" s="1010"/>
      <c r="M108" s="1010"/>
      <c r="N108" s="1010"/>
      <c r="O108" s="1010"/>
      <c r="P108" s="1010"/>
      <c r="Q108" s="1010"/>
      <c r="R108" s="1010"/>
      <c r="S108" s="1010"/>
      <c r="T108" s="1010"/>
      <c r="U108" s="1010"/>
      <c r="V108" s="1010"/>
      <c r="W108" s="1010"/>
      <c r="X108" s="1010"/>
      <c r="Y108" s="1010"/>
      <c r="Z108" s="1010"/>
      <c r="AA108" s="1010"/>
      <c r="AB108" s="1010"/>
      <c r="AC108" s="1010"/>
      <c r="AD108" s="1010"/>
      <c r="AE108" s="1010"/>
      <c r="AF108" s="1010"/>
      <c r="AG108" s="1010"/>
      <c r="AH108" s="1010"/>
      <c r="AI108" s="1010"/>
      <c r="AJ108" s="1010"/>
      <c r="AK108" s="1010"/>
      <c r="AL108" s="1010"/>
      <c r="AM108" s="1010"/>
      <c r="AN108" s="1010"/>
      <c r="AO108" s="1010"/>
      <c r="AP108" s="1010"/>
      <c r="AQ108" s="1010"/>
      <c r="AR108" s="1010"/>
      <c r="AS108" s="1010"/>
      <c r="AT108" s="1010"/>
      <c r="AU108" s="1010"/>
      <c r="AV108" s="1010"/>
      <c r="AW108" s="1010"/>
      <c r="AX108" s="1010"/>
      <c r="AY108" s="1010"/>
      <c r="AZ108" s="1010"/>
      <c r="BA108" s="1010"/>
      <c r="BB108" s="1010"/>
      <c r="BC108" s="1010"/>
      <c r="BD108" s="1010"/>
      <c r="BE108" s="1010"/>
      <c r="BF108" s="1010"/>
      <c r="BG108" s="1010"/>
      <c r="BH108" s="1010"/>
      <c r="BI108" s="1010"/>
      <c r="BJ108" s="1010"/>
      <c r="BK108" s="1010"/>
      <c r="BL108" s="1010"/>
      <c r="BM108" s="1010"/>
      <c r="BN108" s="1010"/>
      <c r="BO108" s="1010"/>
      <c r="BP108" s="1010"/>
      <c r="BQ108" s="1010"/>
      <c r="BR108" s="1010"/>
      <c r="BS108" s="1010"/>
      <c r="BT108" s="1010"/>
      <c r="BU108" s="1010"/>
    </row>
    <row r="109" spans="1:73">
      <c r="A109" s="1010"/>
      <c r="B109" s="1010"/>
      <c r="C109" s="1010"/>
      <c r="D109" s="1010"/>
      <c r="E109" s="1010"/>
      <c r="F109" s="1010"/>
      <c r="G109" s="1010"/>
      <c r="H109" s="1010"/>
      <c r="I109" s="1010"/>
      <c r="J109" s="1010"/>
      <c r="K109" s="1010"/>
      <c r="L109" s="1010"/>
      <c r="M109" s="1010"/>
      <c r="N109" s="1010"/>
      <c r="O109" s="1010"/>
      <c r="P109" s="1010"/>
      <c r="Q109" s="1010"/>
      <c r="R109" s="1010"/>
      <c r="S109" s="1010"/>
      <c r="T109" s="1010"/>
      <c r="U109" s="1010"/>
      <c r="V109" s="1010"/>
      <c r="W109" s="1010"/>
      <c r="X109" s="1010"/>
      <c r="Y109" s="1010"/>
      <c r="Z109" s="1010"/>
      <c r="AA109" s="1010"/>
      <c r="AB109" s="1010"/>
      <c r="AC109" s="1010"/>
      <c r="AD109" s="1010"/>
      <c r="AE109" s="1010"/>
      <c r="AF109" s="1010"/>
      <c r="AG109" s="1010"/>
      <c r="AH109" s="1010"/>
      <c r="AI109" s="1010"/>
      <c r="AJ109" s="1010"/>
      <c r="AK109" s="1010"/>
      <c r="AL109" s="1010"/>
      <c r="AM109" s="1010"/>
      <c r="AN109" s="1010"/>
      <c r="AO109" s="1010"/>
      <c r="AP109" s="1010"/>
      <c r="AQ109" s="1010"/>
      <c r="AR109" s="1010"/>
      <c r="AS109" s="1010"/>
      <c r="AT109" s="1010"/>
      <c r="AU109" s="1010"/>
      <c r="AV109" s="1010"/>
      <c r="AW109" s="1010"/>
      <c r="AX109" s="1010"/>
      <c r="AY109" s="1010"/>
      <c r="AZ109" s="1010"/>
      <c r="BA109" s="1010"/>
      <c r="BB109" s="1010"/>
      <c r="BC109" s="1010"/>
      <c r="BD109" s="1010"/>
      <c r="BE109" s="1010"/>
      <c r="BF109" s="1010"/>
      <c r="BG109" s="1010"/>
      <c r="BH109" s="1010"/>
      <c r="BI109" s="1010"/>
      <c r="BJ109" s="1010"/>
      <c r="BK109" s="1010"/>
      <c r="BL109" s="1010"/>
      <c r="BM109" s="1010"/>
      <c r="BN109" s="1010"/>
      <c r="BO109" s="1010"/>
      <c r="BP109" s="1010"/>
      <c r="BQ109" s="1010"/>
      <c r="BR109" s="1010"/>
      <c r="BS109" s="1010"/>
      <c r="BT109" s="1010"/>
      <c r="BU109" s="1010"/>
    </row>
    <row r="110" spans="1:73" ht="51">
      <c r="A110" s="1010"/>
      <c r="B110" s="1012" t="s">
        <v>1157</v>
      </c>
      <c r="C110" s="1032" t="s">
        <v>1144</v>
      </c>
      <c r="D110" s="1021" t="str">
        <f t="shared" ref="D110:G110" si="45">+D76</f>
        <v>Chart titles</v>
      </c>
      <c r="E110" s="1021" t="s">
        <v>1177</v>
      </c>
      <c r="F110" s="1021" t="s">
        <v>1178</v>
      </c>
      <c r="G110" s="1021" t="str">
        <f t="shared" si="45"/>
        <v>Salvage Value</v>
      </c>
      <c r="H110" s="1021" t="str">
        <f t="shared" ref="H110:S110" si="46">+H76</f>
        <v>Initial Equity Depreciable Capital</v>
      </c>
      <c r="I110" s="1021" t="str">
        <f t="shared" si="46"/>
        <v>Yearly Replacement Costs</v>
      </c>
      <c r="J110" s="1021" t="str">
        <f t="shared" si="46"/>
        <v>Cash for Working Capital Reserve</v>
      </c>
      <c r="K110" s="1021" t="str">
        <f t="shared" si="46"/>
        <v>Other Non-Depreciable Capital Costs</v>
      </c>
      <c r="L110" s="1021" t="str">
        <f t="shared" si="46"/>
        <v>Decommissioning Costs</v>
      </c>
      <c r="M110" s="1021" t="str">
        <f t="shared" si="46"/>
        <v>Fixed Operating Cost</v>
      </c>
      <c r="N110" s="1021" t="str">
        <f t="shared" si="46"/>
        <v>Feedstock Cost</v>
      </c>
      <c r="O110" s="1021" t="str">
        <f t="shared" si="46"/>
        <v>Other Raw Material Cost</v>
      </c>
      <c r="P110" s="1021" t="str">
        <f t="shared" si="46"/>
        <v>Other Variable Operating Costs</v>
      </c>
      <c r="Q110" s="1021" t="str">
        <f t="shared" si="46"/>
        <v>Debt Interest</v>
      </c>
      <c r="R110" s="1021" t="str">
        <f t="shared" si="46"/>
        <v>Taxes</v>
      </c>
      <c r="S110" s="1021" t="str">
        <f t="shared" si="46"/>
        <v>Principal Payment</v>
      </c>
      <c r="T110" s="1010"/>
      <c r="U110" s="1010"/>
      <c r="V110" s="1010"/>
      <c r="W110" s="1010"/>
      <c r="X110" s="1010"/>
      <c r="Y110" s="1010"/>
      <c r="Z110" s="1010"/>
      <c r="AA110" s="1010"/>
      <c r="AB110" s="1010"/>
      <c r="AC110" s="1010"/>
      <c r="AD110" s="1010"/>
      <c r="AE110" s="1010"/>
      <c r="AF110" s="1010"/>
      <c r="AG110" s="1010"/>
      <c r="AH110" s="1010"/>
      <c r="AI110" s="1010"/>
      <c r="AJ110" s="1010"/>
      <c r="AK110" s="1010"/>
      <c r="AL110" s="1010"/>
      <c r="AM110" s="1010"/>
      <c r="AN110" s="1010"/>
      <c r="AO110" s="1010"/>
      <c r="AP110" s="1010"/>
      <c r="AQ110" s="1010"/>
      <c r="AR110" s="1010"/>
      <c r="AS110" s="1010"/>
      <c r="AT110" s="1010"/>
      <c r="AU110" s="1010"/>
      <c r="AV110" s="1010"/>
      <c r="AW110" s="1010"/>
      <c r="AX110" s="1010"/>
      <c r="AY110" s="1010"/>
      <c r="AZ110" s="1010"/>
      <c r="BA110" s="1010"/>
      <c r="BB110" s="1010"/>
      <c r="BC110" s="1010"/>
      <c r="BD110" s="1010"/>
      <c r="BE110" s="1010"/>
      <c r="BF110" s="1010"/>
      <c r="BG110" s="1010"/>
      <c r="BH110" s="1010"/>
      <c r="BI110" s="1010"/>
      <c r="BJ110" s="1010"/>
      <c r="BK110" s="1010"/>
      <c r="BL110" s="1010"/>
      <c r="BM110" s="1010"/>
      <c r="BN110" s="1010"/>
      <c r="BO110" s="1010"/>
      <c r="BP110" s="1010"/>
      <c r="BQ110" s="1010"/>
      <c r="BR110" s="1010"/>
      <c r="BS110" s="1010"/>
      <c r="BT110" s="1010"/>
      <c r="BU110" s="1010"/>
    </row>
    <row r="111" spans="1:73">
      <c r="A111" s="1010"/>
      <c r="B111" s="1010"/>
      <c r="C111" s="1033">
        <v>1</v>
      </c>
      <c r="D111" s="1013" t="s">
        <v>1176</v>
      </c>
      <c r="E111" s="1026">
        <f ca="1">OFFSET(E$76,MATCH($C111,$N$101:$N$107,0)*3-1,0)</f>
        <v>2.4111382454761561</v>
      </c>
      <c r="F111" s="1026">
        <f ca="1">OFFSET(F$76,MATCH($C111,$N$101:$N$107,0)*3-1,0)</f>
        <v>0</v>
      </c>
      <c r="G111" s="1026">
        <f ca="1">OFFSET(G$76,MATCH($C111,$N$101:$N$107,0)*3-1,0)</f>
        <v>1.6418275002923967E-3</v>
      </c>
      <c r="H111" s="1014"/>
      <c r="I111" s="1014"/>
      <c r="J111" s="1014"/>
      <c r="K111" s="1014"/>
      <c r="L111" s="1014"/>
      <c r="M111" s="1014"/>
      <c r="N111" s="1014"/>
      <c r="O111" s="1014"/>
      <c r="P111" s="1014"/>
      <c r="Q111" s="1014"/>
      <c r="R111" s="1014"/>
      <c r="S111" s="1014"/>
      <c r="T111" s="1010"/>
      <c r="U111" s="1010"/>
      <c r="V111" s="1010"/>
      <c r="W111" s="1010"/>
      <c r="X111" s="1010"/>
      <c r="Y111" s="1010"/>
      <c r="Z111" s="1010"/>
      <c r="AA111" s="1010"/>
      <c r="AB111" s="1010"/>
      <c r="AC111" s="1010"/>
      <c r="AD111" s="1010"/>
      <c r="AE111" s="1010"/>
      <c r="AF111" s="1010"/>
      <c r="AG111" s="1010"/>
      <c r="AH111" s="1010"/>
      <c r="AI111" s="1010"/>
      <c r="AJ111" s="1010"/>
      <c r="AK111" s="1010"/>
      <c r="AL111" s="1010"/>
      <c r="AM111" s="1010"/>
      <c r="AN111" s="1010"/>
      <c r="AO111" s="1010"/>
      <c r="AP111" s="1010"/>
      <c r="AQ111" s="1010"/>
      <c r="AR111" s="1010"/>
      <c r="AS111" s="1010"/>
      <c r="AT111" s="1010"/>
      <c r="AU111" s="1010"/>
      <c r="AV111" s="1010"/>
      <c r="AW111" s="1010"/>
      <c r="AX111" s="1010"/>
      <c r="AY111" s="1010"/>
      <c r="AZ111" s="1010"/>
      <c r="BA111" s="1010"/>
      <c r="BB111" s="1010"/>
      <c r="BC111" s="1010"/>
      <c r="BD111" s="1010"/>
      <c r="BE111" s="1010"/>
      <c r="BF111" s="1010"/>
      <c r="BG111" s="1010"/>
      <c r="BH111" s="1010"/>
      <c r="BI111" s="1010"/>
      <c r="BJ111" s="1010"/>
      <c r="BK111" s="1010"/>
      <c r="BL111" s="1010"/>
      <c r="BM111" s="1010"/>
      <c r="BN111" s="1010"/>
      <c r="BO111" s="1010"/>
      <c r="BP111" s="1010"/>
      <c r="BQ111" s="1010"/>
      <c r="BR111" s="1010"/>
      <c r="BS111" s="1010"/>
      <c r="BT111" s="1010"/>
      <c r="BU111" s="1010"/>
    </row>
    <row r="112" spans="1:73">
      <c r="A112" s="1010"/>
      <c r="B112" s="1012"/>
      <c r="C112" s="1112"/>
      <c r="D112" s="1113"/>
      <c r="E112" s="1114"/>
      <c r="F112" s="1114"/>
      <c r="G112" s="1114"/>
      <c r="H112" s="1026">
        <f t="shared" ref="H112:S112" ca="1" si="47">OFFSET(H$76,MATCH($C111,$N$101:$N$107,0)*3-1,0)</f>
        <v>0.14942045524399045</v>
      </c>
      <c r="I112" s="1026">
        <f t="shared" ca="1" si="47"/>
        <v>2.0985595575770056E-2</v>
      </c>
      <c r="J112" s="1026">
        <f t="shared" ca="1" si="47"/>
        <v>2.8489350007646817E-2</v>
      </c>
      <c r="K112" s="1026">
        <f t="shared" ca="1" si="47"/>
        <v>5.4915061535724839E-3</v>
      </c>
      <c r="L112" s="1026">
        <f t="shared" ca="1" si="47"/>
        <v>1.6201557621688327E-3</v>
      </c>
      <c r="M112" s="1026">
        <f t="shared" ca="1" si="47"/>
        <v>0.25862031433665061</v>
      </c>
      <c r="N112" s="1026">
        <f t="shared" ca="1" si="47"/>
        <v>1.3716385995415594</v>
      </c>
      <c r="O112" s="1026">
        <f t="shared" ca="1" si="47"/>
        <v>0.21197338494250778</v>
      </c>
      <c r="P112" s="1026">
        <f t="shared" ca="1" si="47"/>
        <v>0.24553111712834094</v>
      </c>
      <c r="Q112" s="1026">
        <f t="shared" ca="1" si="47"/>
        <v>9.8159081625125419E-2</v>
      </c>
      <c r="R112" s="1026">
        <f t="shared" ca="1" si="47"/>
        <v>1.6440982758693726E-2</v>
      </c>
      <c r="S112" s="1026">
        <f t="shared" ca="1" si="47"/>
        <v>4.4095299004201019E-3</v>
      </c>
      <c r="T112" s="1010"/>
      <c r="U112" s="1010"/>
      <c r="V112" s="1010"/>
      <c r="W112" s="1010"/>
      <c r="X112" s="1010"/>
      <c r="Y112" s="1010"/>
      <c r="Z112" s="1010"/>
      <c r="AA112" s="1010"/>
      <c r="AB112" s="1010"/>
      <c r="AC112" s="1010"/>
      <c r="AD112" s="1010"/>
      <c r="AE112" s="1010"/>
      <c r="AF112" s="1010"/>
      <c r="AG112" s="1010"/>
      <c r="AH112" s="1010"/>
      <c r="AI112" s="1010"/>
      <c r="AJ112" s="1010"/>
      <c r="AK112" s="1010"/>
      <c r="AL112" s="1010"/>
      <c r="AM112" s="1010"/>
      <c r="AN112" s="1010"/>
      <c r="AO112" s="1010"/>
      <c r="AP112" s="1010"/>
      <c r="AQ112" s="1010"/>
      <c r="AR112" s="1010"/>
      <c r="AS112" s="1010"/>
      <c r="AT112" s="1010"/>
      <c r="AU112" s="1010"/>
      <c r="AV112" s="1010"/>
      <c r="AW112" s="1010"/>
      <c r="AX112" s="1010"/>
      <c r="AY112" s="1010"/>
      <c r="AZ112" s="1010"/>
      <c r="BA112" s="1010"/>
      <c r="BB112" s="1010"/>
      <c r="BC112" s="1010"/>
      <c r="BD112" s="1010"/>
      <c r="BE112" s="1010"/>
      <c r="BF112" s="1010"/>
      <c r="BG112" s="1010"/>
      <c r="BH112" s="1010"/>
      <c r="BI112" s="1010"/>
      <c r="BJ112" s="1010"/>
      <c r="BK112" s="1010"/>
      <c r="BL112" s="1010"/>
      <c r="BM112" s="1010"/>
      <c r="BN112" s="1010"/>
      <c r="BO112" s="1010"/>
      <c r="BP112" s="1010"/>
      <c r="BQ112" s="1010"/>
      <c r="BR112" s="1010"/>
      <c r="BS112" s="1010"/>
      <c r="BT112" s="1010"/>
      <c r="BU112" s="1010"/>
    </row>
    <row r="113" spans="1:73">
      <c r="A113" s="1010"/>
      <c r="B113" s="1012"/>
      <c r="C113" s="1112"/>
      <c r="D113" s="1113"/>
      <c r="E113" s="1114"/>
      <c r="F113" s="1114"/>
      <c r="G113" s="1114"/>
      <c r="H113" s="1026"/>
      <c r="I113" s="1026"/>
      <c r="J113" s="1026"/>
      <c r="K113" s="1026"/>
      <c r="L113" s="1026"/>
      <c r="M113" s="1026"/>
      <c r="N113" s="1026"/>
      <c r="O113" s="1026"/>
      <c r="P113" s="1026"/>
      <c r="Q113" s="1026"/>
      <c r="R113" s="1026"/>
      <c r="S113" s="1026"/>
      <c r="T113" s="1010"/>
      <c r="U113" s="1010"/>
      <c r="V113" s="1010"/>
      <c r="W113" s="1010"/>
      <c r="X113" s="1010"/>
      <c r="Y113" s="1010"/>
      <c r="Z113" s="1010"/>
      <c r="AA113" s="1010"/>
      <c r="AB113" s="1010"/>
      <c r="AC113" s="1010"/>
      <c r="AD113" s="1010"/>
      <c r="AE113" s="1010"/>
      <c r="AF113" s="1010"/>
      <c r="AG113" s="1010"/>
      <c r="AH113" s="1010"/>
      <c r="AI113" s="1010"/>
      <c r="AJ113" s="1010"/>
      <c r="AK113" s="1010"/>
      <c r="AL113" s="1010"/>
      <c r="AM113" s="1010"/>
      <c r="AN113" s="1010"/>
      <c r="AO113" s="1010"/>
      <c r="AP113" s="1010"/>
      <c r="AQ113" s="1010"/>
      <c r="AR113" s="1010"/>
      <c r="AS113" s="1010"/>
      <c r="AT113" s="1010"/>
      <c r="AU113" s="1010"/>
      <c r="AV113" s="1010"/>
      <c r="AW113" s="1010"/>
      <c r="AX113" s="1010"/>
      <c r="AY113" s="1010"/>
      <c r="AZ113" s="1010"/>
      <c r="BA113" s="1010"/>
      <c r="BB113" s="1010"/>
      <c r="BC113" s="1010"/>
      <c r="BD113" s="1010"/>
      <c r="BE113" s="1010"/>
      <c r="BF113" s="1010"/>
      <c r="BG113" s="1010"/>
      <c r="BH113" s="1010"/>
      <c r="BI113" s="1010"/>
      <c r="BJ113" s="1010"/>
      <c r="BK113" s="1010"/>
      <c r="BL113" s="1010"/>
      <c r="BM113" s="1010"/>
      <c r="BN113" s="1010"/>
      <c r="BO113" s="1010"/>
      <c r="BP113" s="1010"/>
      <c r="BQ113" s="1010"/>
      <c r="BR113" s="1010"/>
      <c r="BS113" s="1010"/>
      <c r="BT113" s="1010"/>
      <c r="BU113" s="1010"/>
    </row>
    <row r="114" spans="1:73">
      <c r="A114" s="1010"/>
      <c r="B114" s="1012"/>
      <c r="C114" s="1112"/>
      <c r="D114" s="1114"/>
      <c r="E114" s="1114"/>
      <c r="F114" s="1114"/>
      <c r="G114" s="1114"/>
      <c r="H114" s="1114"/>
      <c r="I114" s="1114"/>
      <c r="J114" s="1114"/>
      <c r="K114" s="1114"/>
      <c r="L114" s="1114"/>
      <c r="M114" s="1114"/>
      <c r="N114" s="1114"/>
      <c r="O114" s="1114"/>
      <c r="P114" s="1114"/>
      <c r="Q114" s="1114"/>
      <c r="R114" s="1114"/>
      <c r="S114" s="1114"/>
      <c r="T114" s="1010"/>
      <c r="U114" s="1010"/>
      <c r="V114" s="1010"/>
      <c r="W114" s="1010"/>
      <c r="X114" s="1010"/>
      <c r="Y114" s="1010"/>
      <c r="Z114" s="1010"/>
      <c r="AA114" s="1010"/>
      <c r="AB114" s="1010"/>
      <c r="AC114" s="1010"/>
      <c r="AD114" s="1010"/>
      <c r="AE114" s="1010"/>
      <c r="AF114" s="1010"/>
      <c r="AG114" s="1010"/>
      <c r="AH114" s="1010"/>
      <c r="AI114" s="1010"/>
      <c r="AJ114" s="1010"/>
      <c r="AK114" s="1010"/>
      <c r="AL114" s="1010"/>
      <c r="AM114" s="1010"/>
      <c r="AN114" s="1010"/>
      <c r="AO114" s="1010"/>
      <c r="AP114" s="1010"/>
      <c r="AQ114" s="1010"/>
      <c r="AR114" s="1010"/>
      <c r="AS114" s="1010"/>
      <c r="AT114" s="1010"/>
      <c r="AU114" s="1010"/>
      <c r="AV114" s="1010"/>
      <c r="AW114" s="1010"/>
      <c r="AX114" s="1010"/>
      <c r="AY114" s="1010"/>
      <c r="AZ114" s="1010"/>
      <c r="BA114" s="1010"/>
      <c r="BB114" s="1010"/>
      <c r="BC114" s="1010"/>
      <c r="BD114" s="1010"/>
      <c r="BE114" s="1010"/>
      <c r="BF114" s="1010"/>
      <c r="BG114" s="1010"/>
      <c r="BH114" s="1010"/>
      <c r="BI114" s="1010"/>
      <c r="BJ114" s="1010"/>
      <c r="BK114" s="1010"/>
      <c r="BL114" s="1010"/>
      <c r="BM114" s="1010"/>
      <c r="BN114" s="1010"/>
      <c r="BO114" s="1010"/>
      <c r="BP114" s="1010"/>
      <c r="BQ114" s="1010"/>
      <c r="BR114" s="1010"/>
      <c r="BS114" s="1010"/>
      <c r="BT114" s="1010"/>
      <c r="BU114" s="1010"/>
    </row>
    <row r="115" spans="1:73">
      <c r="A115" s="1010"/>
      <c r="B115" s="1012"/>
      <c r="C115" s="1033">
        <v>1</v>
      </c>
      <c r="D115" s="1014" t="str">
        <f t="shared" ref="D115:G115" ca="1" si="48">OFFSET(D$76,MATCH($C115,$N$101:$N$107,0)*3-2,0)</f>
        <v>Feedstock Consumption (% of baseline) = 95%</v>
      </c>
      <c r="E115" s="1026">
        <f t="shared" ca="1" si="48"/>
        <v>2.3412960583840761</v>
      </c>
      <c r="F115" s="1026">
        <f t="shared" ca="1" si="48"/>
        <v>0</v>
      </c>
      <c r="G115" s="1026">
        <f t="shared" ca="1" si="48"/>
        <v>1.6418275002923967E-3</v>
      </c>
      <c r="H115" s="1114"/>
      <c r="I115" s="1114"/>
      <c r="J115" s="1114"/>
      <c r="K115" s="1114"/>
      <c r="L115" s="1114"/>
      <c r="M115" s="1114"/>
      <c r="N115" s="1114"/>
      <c r="O115" s="1114"/>
      <c r="P115" s="1114"/>
      <c r="Q115" s="1114"/>
      <c r="R115" s="1114"/>
      <c r="S115" s="1114"/>
      <c r="T115" s="1010"/>
      <c r="U115" s="1010"/>
      <c r="V115" s="1010"/>
      <c r="W115" s="1010"/>
      <c r="X115" s="1010"/>
      <c r="Y115" s="1010"/>
      <c r="Z115" s="1010"/>
      <c r="AA115" s="1010"/>
      <c r="AB115" s="1010"/>
      <c r="AC115" s="1010"/>
      <c r="AD115" s="1010"/>
      <c r="AE115" s="1010"/>
      <c r="AF115" s="1010"/>
      <c r="AG115" s="1010"/>
      <c r="AH115" s="1010"/>
      <c r="AI115" s="1010"/>
      <c r="AJ115" s="1010"/>
      <c r="AK115" s="1010"/>
      <c r="AL115" s="1010"/>
      <c r="AM115" s="1010"/>
      <c r="AN115" s="1010"/>
      <c r="AO115" s="1010"/>
      <c r="AP115" s="1010"/>
      <c r="AQ115" s="1010"/>
      <c r="AR115" s="1010"/>
      <c r="AS115" s="1010"/>
      <c r="AT115" s="1010"/>
      <c r="AU115" s="1010"/>
      <c r="AV115" s="1010"/>
      <c r="AW115" s="1010"/>
      <c r="AX115" s="1010"/>
      <c r="AY115" s="1010"/>
      <c r="AZ115" s="1010"/>
      <c r="BA115" s="1010"/>
      <c r="BB115" s="1010"/>
      <c r="BC115" s="1010"/>
      <c r="BD115" s="1010"/>
      <c r="BE115" s="1010"/>
      <c r="BF115" s="1010"/>
      <c r="BG115" s="1010"/>
      <c r="BH115" s="1010"/>
      <c r="BI115" s="1010"/>
      <c r="BJ115" s="1010"/>
      <c r="BK115" s="1010"/>
      <c r="BL115" s="1010"/>
      <c r="BM115" s="1010"/>
      <c r="BN115" s="1010"/>
      <c r="BO115" s="1010"/>
      <c r="BP115" s="1010"/>
      <c r="BQ115" s="1010"/>
      <c r="BR115" s="1010"/>
      <c r="BS115" s="1010"/>
      <c r="BT115" s="1010"/>
      <c r="BU115" s="1010"/>
    </row>
    <row r="116" spans="1:73">
      <c r="A116" s="1010"/>
      <c r="B116" s="1012"/>
      <c r="C116" s="1014"/>
      <c r="D116" s="1014"/>
      <c r="E116" s="1014"/>
      <c r="F116" s="1014"/>
      <c r="G116" s="1014"/>
      <c r="H116" s="1026">
        <f t="shared" ref="H116:S116" ca="1" si="49">OFFSET(H$76,MATCH($C115,$N$101:$N$107,0)*3-2,0)</f>
        <v>0.14942045524399045</v>
      </c>
      <c r="I116" s="1026">
        <f t="shared" ca="1" si="49"/>
        <v>2.0985595575770056E-2</v>
      </c>
      <c r="J116" s="1026">
        <f t="shared" ca="1" si="49"/>
        <v>2.7553483074046994E-2</v>
      </c>
      <c r="K116" s="1026">
        <f t="shared" ca="1" si="49"/>
        <v>5.4915061535724839E-3</v>
      </c>
      <c r="L116" s="1026">
        <f t="shared" ca="1" si="49"/>
        <v>1.6201557621688327E-3</v>
      </c>
      <c r="M116" s="1026">
        <f t="shared" ca="1" si="49"/>
        <v>0.25862031433665061</v>
      </c>
      <c r="N116" s="1026">
        <f t="shared" ca="1" si="49"/>
        <v>1.303056669564481</v>
      </c>
      <c r="O116" s="1026">
        <f t="shared" ca="1" si="49"/>
        <v>0.21197338494250778</v>
      </c>
      <c r="P116" s="1026">
        <f t="shared" ca="1" si="49"/>
        <v>0.24553111712834094</v>
      </c>
      <c r="Q116" s="1026">
        <f t="shared" ca="1" si="49"/>
        <v>9.8159081625125419E-2</v>
      </c>
      <c r="R116" s="1026">
        <f t="shared" ca="1" si="49"/>
        <v>1.6116592577292373E-2</v>
      </c>
      <c r="S116" s="1026">
        <f t="shared" ca="1" si="49"/>
        <v>4.4095299004201019E-3</v>
      </c>
      <c r="T116" s="1010"/>
      <c r="U116" s="1010"/>
      <c r="V116" s="1010"/>
      <c r="W116" s="1010"/>
      <c r="X116" s="1010"/>
      <c r="Y116" s="1010"/>
      <c r="Z116" s="1010"/>
      <c r="AA116" s="1010"/>
      <c r="AB116" s="1010"/>
      <c r="AC116" s="1010"/>
      <c r="AD116" s="1010"/>
      <c r="AE116" s="1010"/>
      <c r="AF116" s="1010"/>
      <c r="AG116" s="1010"/>
      <c r="AH116" s="1010"/>
      <c r="AI116" s="1010"/>
      <c r="AJ116" s="1010"/>
      <c r="AK116" s="1010"/>
      <c r="AL116" s="1010"/>
      <c r="AM116" s="1010"/>
      <c r="AN116" s="1010"/>
      <c r="AO116" s="1010"/>
      <c r="AP116" s="1010"/>
      <c r="AQ116" s="1010"/>
      <c r="AR116" s="1010"/>
      <c r="AS116" s="1010"/>
      <c r="AT116" s="1010"/>
      <c r="AU116" s="1010"/>
      <c r="AV116" s="1010"/>
      <c r="AW116" s="1010"/>
      <c r="AX116" s="1010"/>
      <c r="AY116" s="1010"/>
      <c r="AZ116" s="1010"/>
      <c r="BA116" s="1010"/>
      <c r="BB116" s="1010"/>
      <c r="BC116" s="1010"/>
      <c r="BD116" s="1010"/>
      <c r="BE116" s="1010"/>
      <c r="BF116" s="1010"/>
      <c r="BG116" s="1010"/>
      <c r="BH116" s="1010"/>
      <c r="BI116" s="1010"/>
      <c r="BJ116" s="1010"/>
      <c r="BK116" s="1010"/>
      <c r="BL116" s="1010"/>
      <c r="BM116" s="1010"/>
      <c r="BN116" s="1010"/>
      <c r="BO116" s="1010"/>
      <c r="BP116" s="1010"/>
      <c r="BQ116" s="1010"/>
      <c r="BR116" s="1010"/>
      <c r="BS116" s="1010"/>
      <c r="BT116" s="1010"/>
      <c r="BU116" s="1010"/>
    </row>
    <row r="117" spans="1:73">
      <c r="A117" s="1010"/>
      <c r="B117" s="1012"/>
      <c r="C117" s="1033">
        <v>1</v>
      </c>
      <c r="D117" s="1014" t="str">
        <f t="shared" ref="D117:G117" ca="1" si="50">OFFSET(D$76,MATCH($C117,$N$101:$N$107,0)*3,0)</f>
        <v>Feedstock Consumption (% of baseline) = 105%</v>
      </c>
      <c r="E117" s="1026">
        <f t="shared" ca="1" si="50"/>
        <v>2.4809804325682334</v>
      </c>
      <c r="F117" s="1026">
        <f t="shared" ca="1" si="50"/>
        <v>0</v>
      </c>
      <c r="G117" s="1026">
        <f t="shared" ca="1" si="50"/>
        <v>1.6418275002923967E-3</v>
      </c>
      <c r="H117" s="1014"/>
      <c r="I117" s="1014"/>
      <c r="J117" s="1014"/>
      <c r="K117" s="1014"/>
      <c r="L117" s="1014"/>
      <c r="M117" s="1014"/>
      <c r="N117" s="1014"/>
      <c r="O117" s="1014"/>
      <c r="P117" s="1014"/>
      <c r="Q117" s="1014"/>
      <c r="R117" s="1014"/>
      <c r="S117" s="1014"/>
      <c r="T117" s="1010"/>
      <c r="U117" s="1010"/>
      <c r="V117" s="1010"/>
      <c r="W117" s="1010"/>
      <c r="X117" s="1010"/>
      <c r="Y117" s="1010"/>
      <c r="Z117" s="1010"/>
      <c r="AA117" s="1010"/>
      <c r="AB117" s="1010"/>
      <c r="AC117" s="1010"/>
      <c r="AD117" s="1010"/>
      <c r="AE117" s="1010"/>
      <c r="AF117" s="1010"/>
      <c r="AG117" s="1010"/>
      <c r="AH117" s="1010"/>
      <c r="AI117" s="1010"/>
      <c r="AJ117" s="1010"/>
      <c r="AK117" s="1010"/>
      <c r="AL117" s="1010"/>
      <c r="AM117" s="1010"/>
      <c r="AN117" s="1010"/>
      <c r="AO117" s="1010"/>
      <c r="AP117" s="1010"/>
      <c r="AQ117" s="1010"/>
      <c r="AR117" s="1010"/>
      <c r="AS117" s="1010"/>
      <c r="AT117" s="1010"/>
      <c r="AU117" s="1010"/>
      <c r="AV117" s="1010"/>
      <c r="AW117" s="1010"/>
      <c r="AX117" s="1010"/>
      <c r="AY117" s="1010"/>
      <c r="AZ117" s="1010"/>
      <c r="BA117" s="1010"/>
      <c r="BB117" s="1010"/>
      <c r="BC117" s="1010"/>
      <c r="BD117" s="1010"/>
      <c r="BE117" s="1010"/>
      <c r="BF117" s="1010"/>
      <c r="BG117" s="1010"/>
      <c r="BH117" s="1010"/>
      <c r="BI117" s="1010"/>
      <c r="BJ117" s="1010"/>
      <c r="BK117" s="1010"/>
      <c r="BL117" s="1010"/>
      <c r="BM117" s="1010"/>
      <c r="BN117" s="1010"/>
      <c r="BO117" s="1010"/>
      <c r="BP117" s="1010"/>
      <c r="BQ117" s="1010"/>
      <c r="BR117" s="1010"/>
      <c r="BS117" s="1010"/>
      <c r="BT117" s="1010"/>
      <c r="BU117" s="1010"/>
    </row>
    <row r="118" spans="1:73">
      <c r="A118" s="1010"/>
      <c r="B118" s="1012"/>
      <c r="C118" s="1033"/>
      <c r="D118" s="1014"/>
      <c r="E118" s="1026"/>
      <c r="F118" s="1026"/>
      <c r="G118" s="1026"/>
      <c r="H118" s="1026">
        <f t="shared" ref="H118:S118" ca="1" si="51">OFFSET(H$76,MATCH($C117,$N$101:$N$107,0)*3,0)</f>
        <v>0.14942045524399045</v>
      </c>
      <c r="I118" s="1026">
        <f t="shared" ca="1" si="51"/>
        <v>2.0985595575770056E-2</v>
      </c>
      <c r="J118" s="1026">
        <f t="shared" ca="1" si="51"/>
        <v>2.9425216941246661E-2</v>
      </c>
      <c r="K118" s="1026">
        <f t="shared" ca="1" si="51"/>
        <v>5.4915061535724839E-3</v>
      </c>
      <c r="L118" s="1026">
        <f t="shared" ca="1" si="51"/>
        <v>1.6201557621688327E-3</v>
      </c>
      <c r="M118" s="1026">
        <f t="shared" ca="1" si="51"/>
        <v>0.25862031433665061</v>
      </c>
      <c r="N118" s="1026">
        <f t="shared" ca="1" si="51"/>
        <v>1.4402205295186363</v>
      </c>
      <c r="O118" s="1026">
        <f t="shared" ca="1" si="51"/>
        <v>0.21197338494250778</v>
      </c>
      <c r="P118" s="1026">
        <f t="shared" ca="1" si="51"/>
        <v>0.24553111712834094</v>
      </c>
      <c r="Q118" s="1026">
        <f t="shared" ca="1" si="51"/>
        <v>9.8159081625125419E-2</v>
      </c>
      <c r="R118" s="1026">
        <f t="shared" ca="1" si="51"/>
        <v>1.6765372940094808E-2</v>
      </c>
      <c r="S118" s="1026">
        <f t="shared" ca="1" si="51"/>
        <v>4.4095299004201019E-3</v>
      </c>
      <c r="T118" s="1010"/>
      <c r="U118" s="1010"/>
      <c r="V118" s="1010"/>
      <c r="W118" s="1010"/>
      <c r="X118" s="1010"/>
      <c r="Y118" s="1010"/>
      <c r="Z118" s="1010"/>
      <c r="AA118" s="1010"/>
      <c r="AB118" s="1010"/>
      <c r="AC118" s="1010"/>
      <c r="AD118" s="1010"/>
      <c r="AE118" s="1010"/>
      <c r="AF118" s="1010"/>
      <c r="AG118" s="1010"/>
      <c r="AH118" s="1010"/>
      <c r="AI118" s="1010"/>
      <c r="AJ118" s="1010"/>
      <c r="AK118" s="1010"/>
      <c r="AL118" s="1010"/>
      <c r="AM118" s="1010"/>
      <c r="AN118" s="1010"/>
      <c r="AO118" s="1010"/>
      <c r="AP118" s="1010"/>
      <c r="AQ118" s="1010"/>
      <c r="AR118" s="1010"/>
      <c r="AS118" s="1010"/>
      <c r="AT118" s="1010"/>
      <c r="AU118" s="1010"/>
      <c r="AV118" s="1010"/>
      <c r="AW118" s="1010"/>
      <c r="AX118" s="1010"/>
      <c r="AY118" s="1010"/>
      <c r="AZ118" s="1010"/>
      <c r="BA118" s="1010"/>
      <c r="BB118" s="1010"/>
      <c r="BC118" s="1010"/>
      <c r="BD118" s="1010"/>
      <c r="BE118" s="1010"/>
      <c r="BF118" s="1010"/>
      <c r="BG118" s="1010"/>
      <c r="BH118" s="1010"/>
      <c r="BI118" s="1010"/>
      <c r="BJ118" s="1010"/>
      <c r="BK118" s="1010"/>
      <c r="BL118" s="1010"/>
      <c r="BM118" s="1010"/>
      <c r="BN118" s="1010"/>
      <c r="BO118" s="1010"/>
      <c r="BP118" s="1010"/>
      <c r="BQ118" s="1010"/>
      <c r="BR118" s="1010"/>
      <c r="BS118" s="1010"/>
      <c r="BT118" s="1010"/>
      <c r="BU118" s="1010"/>
    </row>
    <row r="119" spans="1:73">
      <c r="A119" s="1010"/>
      <c r="B119" s="1012"/>
      <c r="C119" s="1033"/>
      <c r="D119" s="1014"/>
      <c r="E119" s="1026"/>
      <c r="F119" s="1026"/>
      <c r="G119" s="1026"/>
      <c r="H119" s="1026"/>
      <c r="I119" s="1026"/>
      <c r="J119" s="1026"/>
      <c r="K119" s="1026"/>
      <c r="L119" s="1026"/>
      <c r="M119" s="1026"/>
      <c r="N119" s="1026"/>
      <c r="O119" s="1026"/>
      <c r="P119" s="1026"/>
      <c r="Q119" s="1026"/>
      <c r="R119" s="1026"/>
      <c r="S119" s="1026"/>
      <c r="T119" s="1010"/>
      <c r="U119" s="1010"/>
      <c r="V119" s="1010"/>
      <c r="W119" s="1010"/>
      <c r="X119" s="1010"/>
      <c r="Y119" s="1010"/>
      <c r="Z119" s="1010"/>
      <c r="AA119" s="1010"/>
      <c r="AB119" s="1010"/>
      <c r="AC119" s="1010"/>
      <c r="AD119" s="1010"/>
      <c r="AE119" s="1010"/>
      <c r="AF119" s="1010"/>
      <c r="AG119" s="1010"/>
      <c r="AH119" s="1010"/>
      <c r="AI119" s="1010"/>
      <c r="AJ119" s="1010"/>
      <c r="AK119" s="1010"/>
      <c r="AL119" s="1010"/>
      <c r="AM119" s="1010"/>
      <c r="AN119" s="1010"/>
      <c r="AO119" s="1010"/>
      <c r="AP119" s="1010"/>
      <c r="AQ119" s="1010"/>
      <c r="AR119" s="1010"/>
      <c r="AS119" s="1010"/>
      <c r="AT119" s="1010"/>
      <c r="AU119" s="1010"/>
      <c r="AV119" s="1010"/>
      <c r="AW119" s="1010"/>
      <c r="AX119" s="1010"/>
      <c r="AY119" s="1010"/>
      <c r="AZ119" s="1010"/>
      <c r="BA119" s="1010"/>
      <c r="BB119" s="1010"/>
      <c r="BC119" s="1010"/>
      <c r="BD119" s="1010"/>
      <c r="BE119" s="1010"/>
      <c r="BF119" s="1010"/>
      <c r="BG119" s="1010"/>
      <c r="BH119" s="1010"/>
      <c r="BI119" s="1010"/>
      <c r="BJ119" s="1010"/>
      <c r="BK119" s="1010"/>
      <c r="BL119" s="1010"/>
      <c r="BM119" s="1010"/>
      <c r="BN119" s="1010"/>
      <c r="BO119" s="1010"/>
      <c r="BP119" s="1010"/>
      <c r="BQ119" s="1010"/>
      <c r="BR119" s="1010"/>
      <c r="BS119" s="1010"/>
      <c r="BT119" s="1010"/>
      <c r="BU119" s="1010"/>
    </row>
    <row r="120" spans="1:73">
      <c r="A120" s="1010"/>
      <c r="B120" s="1010"/>
      <c r="C120" s="1033">
        <v>2</v>
      </c>
      <c r="D120" s="1014" t="str">
        <f t="shared" ref="D120:G120" ca="1" si="52">OFFSET(D$76,MATCH($C120,$N$101:$N$107,0)*3-2,0)</f>
        <v>Operating Capacity Factor = 101.85%</v>
      </c>
      <c r="E120" s="1026">
        <f t="shared" ca="1" si="52"/>
        <v>2.3717195249913128</v>
      </c>
      <c r="F120" s="1026">
        <f t="shared" ca="1" si="52"/>
        <v>0</v>
      </c>
      <c r="G120" s="1026">
        <f t="shared" ca="1" si="52"/>
        <v>1.563645238373711E-3</v>
      </c>
      <c r="H120" s="1026"/>
      <c r="I120" s="1026"/>
      <c r="J120" s="1026"/>
      <c r="K120" s="1026"/>
      <c r="L120" s="1026"/>
      <c r="M120" s="1026"/>
      <c r="N120" s="1026"/>
      <c r="O120" s="1026"/>
      <c r="P120" s="1026"/>
      <c r="Q120" s="1026"/>
      <c r="R120" s="1026"/>
      <c r="S120" s="1026"/>
      <c r="T120" s="1010"/>
      <c r="U120" s="1010"/>
      <c r="V120" s="1010"/>
      <c r="W120" s="1010"/>
      <c r="X120" s="1010"/>
      <c r="Y120" s="1010"/>
      <c r="Z120" s="1010"/>
      <c r="AA120" s="1010"/>
      <c r="AB120" s="1010"/>
      <c r="AC120" s="1010"/>
      <c r="AD120" s="1010"/>
      <c r="AE120" s="1010"/>
      <c r="AF120" s="1010"/>
      <c r="AG120" s="1010"/>
      <c r="AH120" s="1010"/>
      <c r="AI120" s="1010"/>
      <c r="AJ120" s="1010"/>
      <c r="AK120" s="1010"/>
      <c r="AL120" s="1010"/>
      <c r="AM120" s="1010"/>
      <c r="AN120" s="1010"/>
      <c r="AO120" s="1010"/>
      <c r="AP120" s="1010"/>
      <c r="AQ120" s="1010"/>
      <c r="AR120" s="1010"/>
      <c r="AS120" s="1010"/>
      <c r="AT120" s="1010"/>
      <c r="AU120" s="1010"/>
      <c r="AV120" s="1010"/>
      <c r="AW120" s="1010"/>
      <c r="AX120" s="1010"/>
      <c r="AY120" s="1010"/>
      <c r="AZ120" s="1010"/>
      <c r="BA120" s="1010"/>
      <c r="BB120" s="1010"/>
      <c r="BC120" s="1010"/>
      <c r="BD120" s="1010"/>
      <c r="BE120" s="1010"/>
      <c r="BF120" s="1010"/>
      <c r="BG120" s="1010"/>
      <c r="BH120" s="1010"/>
      <c r="BI120" s="1010"/>
      <c r="BJ120" s="1010"/>
      <c r="BK120" s="1010"/>
      <c r="BL120" s="1010"/>
      <c r="BM120" s="1010"/>
      <c r="BN120" s="1010"/>
      <c r="BO120" s="1010"/>
      <c r="BP120" s="1010"/>
      <c r="BQ120" s="1010"/>
      <c r="BR120" s="1010"/>
      <c r="BS120" s="1010"/>
      <c r="BT120" s="1010"/>
      <c r="BU120" s="1010"/>
    </row>
    <row r="121" spans="1:73">
      <c r="A121" s="1010"/>
      <c r="B121" s="1010"/>
      <c r="C121" s="1033"/>
      <c r="D121" s="1014"/>
      <c r="E121" s="1026"/>
      <c r="F121" s="1026"/>
      <c r="G121" s="1026"/>
      <c r="H121" s="1026">
        <f t="shared" ref="H121:S121" ca="1" si="53">OFFSET(H$76,MATCH($C120,$N$101:$N$107,0)*3-2,0)</f>
        <v>0.14230519547046708</v>
      </c>
      <c r="I121" s="1026">
        <f t="shared" ca="1" si="53"/>
        <v>1.998628150073338E-2</v>
      </c>
      <c r="J121" s="1026">
        <f t="shared" ca="1" si="53"/>
        <v>2.8142974902194199E-2</v>
      </c>
      <c r="K121" s="1026">
        <f t="shared" ca="1" si="53"/>
        <v>5.2300058605452221E-3</v>
      </c>
      <c r="L121" s="1026">
        <f t="shared" ca="1" si="53"/>
        <v>1.5430054877798405E-3</v>
      </c>
      <c r="M121" s="1026">
        <f t="shared" ca="1" si="53"/>
        <v>0.24630506127300053</v>
      </c>
      <c r="N121" s="1026">
        <f t="shared" ca="1" si="53"/>
        <v>1.3716385995415585</v>
      </c>
      <c r="O121" s="1026">
        <f t="shared" ca="1" si="53"/>
        <v>0.20187941423095973</v>
      </c>
      <c r="P121" s="1026">
        <f t="shared" ca="1" si="53"/>
        <v>0.24255998469951776</v>
      </c>
      <c r="Q121" s="1026">
        <f t="shared" ca="1" si="53"/>
        <v>9.3484839642976575E-2</v>
      </c>
      <c r="R121" s="1026">
        <f t="shared" ca="1" si="53"/>
        <v>1.6008255333838126E-2</v>
      </c>
      <c r="S121" s="1026">
        <f t="shared" ca="1" si="53"/>
        <v>4.1995522861143818E-3</v>
      </c>
      <c r="T121" s="1010"/>
      <c r="U121" s="1010"/>
      <c r="V121" s="1010"/>
      <c r="W121" s="1010"/>
      <c r="X121" s="1010"/>
      <c r="Y121" s="1010"/>
      <c r="Z121" s="1010"/>
      <c r="AA121" s="1010"/>
      <c r="AB121" s="1010"/>
      <c r="AC121" s="1010"/>
      <c r="AD121" s="1010"/>
      <c r="AE121" s="1010"/>
      <c r="AF121" s="1010"/>
      <c r="AG121" s="1010"/>
      <c r="AH121" s="1010"/>
      <c r="AI121" s="1010"/>
      <c r="AJ121" s="1010"/>
      <c r="AK121" s="1010"/>
      <c r="AL121" s="1010"/>
      <c r="AM121" s="1010"/>
      <c r="AN121" s="1010"/>
      <c r="AO121" s="1010"/>
      <c r="AP121" s="1010"/>
      <c r="AQ121" s="1010"/>
      <c r="AR121" s="1010"/>
      <c r="AS121" s="1010"/>
      <c r="AT121" s="1010"/>
      <c r="AU121" s="1010"/>
      <c r="AV121" s="1010"/>
      <c r="AW121" s="1010"/>
      <c r="AX121" s="1010"/>
      <c r="AY121" s="1010"/>
      <c r="AZ121" s="1010"/>
      <c r="BA121" s="1010"/>
      <c r="BB121" s="1010"/>
      <c r="BC121" s="1010"/>
      <c r="BD121" s="1010"/>
      <c r="BE121" s="1010"/>
      <c r="BF121" s="1010"/>
      <c r="BG121" s="1010"/>
      <c r="BH121" s="1010"/>
      <c r="BI121" s="1010"/>
      <c r="BJ121" s="1010"/>
      <c r="BK121" s="1010"/>
      <c r="BL121" s="1010"/>
      <c r="BM121" s="1010"/>
      <c r="BN121" s="1010"/>
      <c r="BO121" s="1010"/>
      <c r="BP121" s="1010"/>
      <c r="BQ121" s="1010"/>
      <c r="BR121" s="1010"/>
      <c r="BS121" s="1010"/>
      <c r="BT121" s="1010"/>
      <c r="BU121" s="1010"/>
    </row>
    <row r="122" spans="1:73">
      <c r="A122" s="1010"/>
      <c r="B122" s="1010"/>
      <c r="C122" s="1033">
        <v>2</v>
      </c>
      <c r="D122" s="1014" t="str">
        <f t="shared" ref="D122:G122" ca="1" si="54">OFFSET(D$76,MATCH($C122,$N$101:$N$107,0)*3,0)</f>
        <v>Operating Capacity Factor = 92.15%</v>
      </c>
      <c r="E122" s="1026">
        <f t="shared" ca="1" si="54"/>
        <v>2.4547063049594002</v>
      </c>
      <c r="F122" s="1026">
        <f t="shared" ca="1" si="54"/>
        <v>0</v>
      </c>
      <c r="G122" s="1026">
        <f t="shared" ca="1" si="54"/>
        <v>1.7282394739919966E-3</v>
      </c>
      <c r="H122" s="1026"/>
      <c r="I122" s="1026"/>
      <c r="J122" s="1026"/>
      <c r="K122" s="1026"/>
      <c r="L122" s="1026"/>
      <c r="M122" s="1026"/>
      <c r="N122" s="1026"/>
      <c r="O122" s="1026"/>
      <c r="P122" s="1026"/>
      <c r="Q122" s="1026"/>
      <c r="R122" s="1026"/>
      <c r="S122" s="1026"/>
      <c r="T122" s="1010"/>
      <c r="U122" s="1010"/>
      <c r="V122" s="1010"/>
      <c r="W122" s="1010"/>
      <c r="X122" s="1010"/>
      <c r="Y122" s="1010"/>
      <c r="Z122" s="1010"/>
      <c r="AA122" s="1010"/>
      <c r="AB122" s="1010"/>
      <c r="AC122" s="1010"/>
      <c r="AD122" s="1010"/>
      <c r="AE122" s="1010"/>
      <c r="AF122" s="1010"/>
      <c r="AG122" s="1010"/>
      <c r="AH122" s="1010"/>
      <c r="AI122" s="1010"/>
      <c r="AJ122" s="1010"/>
      <c r="AK122" s="1010"/>
      <c r="AL122" s="1010"/>
      <c r="AM122" s="1010"/>
      <c r="AN122" s="1010"/>
      <c r="AO122" s="1010"/>
      <c r="AP122" s="1010"/>
      <c r="AQ122" s="1010"/>
      <c r="AR122" s="1010"/>
      <c r="AS122" s="1010"/>
      <c r="AT122" s="1010"/>
      <c r="AU122" s="1010"/>
      <c r="AV122" s="1010"/>
      <c r="AW122" s="1010"/>
      <c r="AX122" s="1010"/>
      <c r="AY122" s="1010"/>
      <c r="AZ122" s="1010"/>
      <c r="BA122" s="1010"/>
      <c r="BB122" s="1010"/>
      <c r="BC122" s="1010"/>
      <c r="BD122" s="1010"/>
      <c r="BE122" s="1010"/>
      <c r="BF122" s="1010"/>
      <c r="BG122" s="1010"/>
      <c r="BH122" s="1010"/>
      <c r="BI122" s="1010"/>
      <c r="BJ122" s="1010"/>
      <c r="BK122" s="1010"/>
      <c r="BL122" s="1010"/>
      <c r="BM122" s="1010"/>
      <c r="BN122" s="1010"/>
      <c r="BO122" s="1010"/>
      <c r="BP122" s="1010"/>
      <c r="BQ122" s="1010"/>
      <c r="BR122" s="1010"/>
      <c r="BS122" s="1010"/>
      <c r="BT122" s="1010"/>
      <c r="BU122" s="1010"/>
    </row>
    <row r="123" spans="1:73">
      <c r="A123" s="1010"/>
      <c r="B123" s="1010"/>
      <c r="C123" s="1033"/>
      <c r="D123" s="1014"/>
      <c r="E123" s="1026"/>
      <c r="F123" s="1026"/>
      <c r="G123" s="1026"/>
      <c r="H123" s="1026">
        <f t="shared" ref="H123:S123" ca="1" si="55">OFFSET(H$76,MATCH($C122,$N$101:$N$107,0)*3,0)</f>
        <v>0.15728468973051624</v>
      </c>
      <c r="I123" s="1026">
        <f t="shared" ca="1" si="55"/>
        <v>2.2090100606073741E-2</v>
      </c>
      <c r="J123" s="1026">
        <f t="shared" ca="1" si="55"/>
        <v>2.8872185650515511E-2</v>
      </c>
      <c r="K123" s="1026">
        <f t="shared" ca="1" si="55"/>
        <v>5.7805327932341942E-3</v>
      </c>
      <c r="L123" s="1026">
        <f t="shared" ca="1" si="55"/>
        <v>1.7054271180724553E-3</v>
      </c>
      <c r="M123" s="1026">
        <f t="shared" ca="1" si="55"/>
        <v>0.27223190982805323</v>
      </c>
      <c r="N123" s="1026">
        <f t="shared" ca="1" si="55"/>
        <v>1.3716385995415592</v>
      </c>
      <c r="O123" s="1026">
        <f t="shared" ca="1" si="55"/>
        <v>0.22312987888685026</v>
      </c>
      <c r="P123" s="1026">
        <f t="shared" ca="1" si="55"/>
        <v>0.2488150003391455</v>
      </c>
      <c r="Q123" s="1026">
        <f t="shared" ca="1" si="55"/>
        <v>0.10332534907907938</v>
      </c>
      <c r="R123" s="1026">
        <f t="shared" ca="1" si="55"/>
        <v>1.691926043879716E-2</v>
      </c>
      <c r="S123" s="1026">
        <f t="shared" ca="1" si="55"/>
        <v>4.6416104214948434E-3</v>
      </c>
      <c r="T123" s="1010"/>
      <c r="U123" s="1010"/>
      <c r="V123" s="1010"/>
      <c r="W123" s="1010"/>
      <c r="X123" s="1010"/>
      <c r="Y123" s="1010"/>
      <c r="Z123" s="1010"/>
      <c r="AA123" s="1010"/>
      <c r="AB123" s="1010"/>
      <c r="AC123" s="1010"/>
      <c r="AD123" s="1010"/>
      <c r="AE123" s="1010"/>
      <c r="AF123" s="1010"/>
      <c r="AG123" s="1010"/>
      <c r="AH123" s="1010"/>
      <c r="AI123" s="1010"/>
      <c r="AJ123" s="1010"/>
      <c r="AK123" s="1010"/>
      <c r="AL123" s="1010"/>
      <c r="AM123" s="1010"/>
      <c r="AN123" s="1010"/>
      <c r="AO123" s="1010"/>
      <c r="AP123" s="1010"/>
      <c r="AQ123" s="1010"/>
      <c r="AR123" s="1010"/>
      <c r="AS123" s="1010"/>
      <c r="AT123" s="1010"/>
      <c r="AU123" s="1010"/>
      <c r="AV123" s="1010"/>
      <c r="AW123" s="1010"/>
      <c r="AX123" s="1010"/>
      <c r="AY123" s="1010"/>
      <c r="AZ123" s="1010"/>
      <c r="BA123" s="1010"/>
      <c r="BB123" s="1010"/>
      <c r="BC123" s="1010"/>
      <c r="BD123" s="1010"/>
      <c r="BE123" s="1010"/>
      <c r="BF123" s="1010"/>
      <c r="BG123" s="1010"/>
      <c r="BH123" s="1010"/>
      <c r="BI123" s="1010"/>
      <c r="BJ123" s="1010"/>
      <c r="BK123" s="1010"/>
      <c r="BL123" s="1010"/>
      <c r="BM123" s="1010"/>
      <c r="BN123" s="1010"/>
      <c r="BO123" s="1010"/>
      <c r="BP123" s="1010"/>
      <c r="BQ123" s="1010"/>
      <c r="BR123" s="1010"/>
      <c r="BS123" s="1010"/>
      <c r="BT123" s="1010"/>
      <c r="BU123" s="1010"/>
    </row>
    <row r="124" spans="1:73">
      <c r="A124" s="1010"/>
      <c r="B124" s="1010"/>
      <c r="C124" s="1033"/>
      <c r="D124" s="1014"/>
      <c r="E124" s="1026"/>
      <c r="F124" s="1026"/>
      <c r="G124" s="1026"/>
      <c r="H124" s="1026"/>
      <c r="I124" s="1026"/>
      <c r="J124" s="1026"/>
      <c r="K124" s="1026"/>
      <c r="L124" s="1026"/>
      <c r="M124" s="1026"/>
      <c r="N124" s="1026"/>
      <c r="O124" s="1026"/>
      <c r="P124" s="1026"/>
      <c r="Q124" s="1026"/>
      <c r="R124" s="1026"/>
      <c r="S124" s="1026"/>
      <c r="T124" s="1010"/>
      <c r="U124" s="1010"/>
      <c r="V124" s="1010"/>
      <c r="W124" s="1010"/>
      <c r="X124" s="1010"/>
      <c r="Y124" s="1010"/>
      <c r="Z124" s="1010"/>
      <c r="AA124" s="1010"/>
      <c r="AB124" s="1010"/>
      <c r="AC124" s="1010"/>
      <c r="AD124" s="1010"/>
      <c r="AE124" s="1010"/>
      <c r="AF124" s="1010"/>
      <c r="AG124" s="1010"/>
      <c r="AH124" s="1010"/>
      <c r="AI124" s="1010"/>
      <c r="AJ124" s="1010"/>
      <c r="AK124" s="1010"/>
      <c r="AL124" s="1010"/>
      <c r="AM124" s="1010"/>
      <c r="AN124" s="1010"/>
      <c r="AO124" s="1010"/>
      <c r="AP124" s="1010"/>
      <c r="AQ124" s="1010"/>
      <c r="AR124" s="1010"/>
      <c r="AS124" s="1010"/>
      <c r="AT124" s="1010"/>
      <c r="AU124" s="1010"/>
      <c r="AV124" s="1010"/>
      <c r="AW124" s="1010"/>
      <c r="AX124" s="1010"/>
      <c r="AY124" s="1010"/>
      <c r="AZ124" s="1010"/>
      <c r="BA124" s="1010"/>
      <c r="BB124" s="1010"/>
      <c r="BC124" s="1010"/>
      <c r="BD124" s="1010"/>
      <c r="BE124" s="1010"/>
      <c r="BF124" s="1010"/>
      <c r="BG124" s="1010"/>
      <c r="BH124" s="1010"/>
      <c r="BI124" s="1010"/>
      <c r="BJ124" s="1010"/>
      <c r="BK124" s="1010"/>
      <c r="BL124" s="1010"/>
      <c r="BM124" s="1010"/>
      <c r="BN124" s="1010"/>
      <c r="BO124" s="1010"/>
      <c r="BP124" s="1010"/>
      <c r="BQ124" s="1010"/>
      <c r="BR124" s="1010"/>
      <c r="BS124" s="1010"/>
      <c r="BT124" s="1010"/>
      <c r="BU124" s="1010"/>
    </row>
    <row r="125" spans="1:73">
      <c r="A125" s="1010"/>
      <c r="B125" s="1010"/>
      <c r="C125" s="1033">
        <v>3</v>
      </c>
      <c r="D125" s="1014" t="str">
        <f t="shared" ref="D125:G125" ca="1" si="56">OFFSET(D$76,MATCH($C125,$N$101:$N$107,0)*3-2,0)</f>
        <v>Total Capital Investment = $82089,769K</v>
      </c>
      <c r="E125" s="1026">
        <f t="shared" ca="1" si="56"/>
        <v>2.3939870404855514</v>
      </c>
      <c r="F125" s="1026">
        <f t="shared" ca="1" si="56"/>
        <v>0</v>
      </c>
      <c r="G125" s="1026">
        <f t="shared" ca="1" si="56"/>
        <v>1.5597361252777768E-3</v>
      </c>
      <c r="H125" s="1026"/>
      <c r="I125" s="1026"/>
      <c r="J125" s="1026"/>
      <c r="K125" s="1026"/>
      <c r="L125" s="1026"/>
      <c r="M125" s="1026"/>
      <c r="N125" s="1026"/>
      <c r="O125" s="1026"/>
      <c r="P125" s="1026"/>
      <c r="Q125" s="1026"/>
      <c r="R125" s="1026"/>
      <c r="S125" s="1026"/>
      <c r="T125" s="1010"/>
      <c r="U125" s="1010"/>
      <c r="V125" s="1010"/>
      <c r="W125" s="1010"/>
      <c r="X125" s="1010"/>
      <c r="Y125" s="1010"/>
      <c r="Z125" s="1010"/>
      <c r="AA125" s="1010"/>
      <c r="AB125" s="1010"/>
      <c r="AC125" s="1010"/>
      <c r="AD125" s="1010"/>
      <c r="AE125" s="1010"/>
      <c r="AF125" s="1010"/>
      <c r="AG125" s="1010"/>
      <c r="AH125" s="1010"/>
      <c r="AI125" s="1010"/>
      <c r="AJ125" s="1010"/>
      <c r="AK125" s="1010"/>
      <c r="AL125" s="1010"/>
      <c r="AM125" s="1010"/>
      <c r="AN125" s="1010"/>
      <c r="AO125" s="1010"/>
      <c r="AP125" s="1010"/>
      <c r="AQ125" s="1010"/>
      <c r="AR125" s="1010"/>
      <c r="AS125" s="1010"/>
      <c r="AT125" s="1010"/>
      <c r="AU125" s="1010"/>
      <c r="AV125" s="1010"/>
      <c r="AW125" s="1010"/>
      <c r="AX125" s="1010"/>
      <c r="AY125" s="1010"/>
      <c r="AZ125" s="1010"/>
      <c r="BA125" s="1010"/>
      <c r="BB125" s="1010"/>
      <c r="BC125" s="1010"/>
      <c r="BD125" s="1010"/>
      <c r="BE125" s="1010"/>
      <c r="BF125" s="1010"/>
      <c r="BG125" s="1010"/>
      <c r="BH125" s="1010"/>
      <c r="BI125" s="1010"/>
      <c r="BJ125" s="1010"/>
      <c r="BK125" s="1010"/>
      <c r="BL125" s="1010"/>
      <c r="BM125" s="1010"/>
      <c r="BN125" s="1010"/>
      <c r="BO125" s="1010"/>
      <c r="BP125" s="1010"/>
      <c r="BQ125" s="1010"/>
      <c r="BR125" s="1010"/>
      <c r="BS125" s="1010"/>
      <c r="BT125" s="1010"/>
      <c r="BU125" s="1010"/>
    </row>
    <row r="126" spans="1:73">
      <c r="A126" s="1010"/>
      <c r="B126" s="1010"/>
      <c r="C126" s="1033"/>
      <c r="D126" s="1014"/>
      <c r="E126" s="1026"/>
      <c r="F126" s="1026"/>
      <c r="G126" s="1026"/>
      <c r="H126" s="1026">
        <f t="shared" ref="H126:S126" ca="1" si="57">OFFSET(H$76,MATCH($C125,$N$101:$N$107,0)*3-2,0)</f>
        <v>0.14184949761589821</v>
      </c>
      <c r="I126" s="1026">
        <f t="shared" ca="1" si="57"/>
        <v>2.0985595575770056E-2</v>
      </c>
      <c r="J126" s="1026">
        <f t="shared" ca="1" si="57"/>
        <v>2.8431301887573927E-2</v>
      </c>
      <c r="K126" s="1026">
        <f t="shared" ca="1" si="57"/>
        <v>5.4915061535724839E-3</v>
      </c>
      <c r="L126" s="1026">
        <f t="shared" ca="1" si="57"/>
        <v>1.5380643871542128E-3</v>
      </c>
      <c r="M126" s="1026">
        <f t="shared" ca="1" si="57"/>
        <v>0.25436705317116975</v>
      </c>
      <c r="N126" s="1026">
        <f t="shared" ca="1" si="57"/>
        <v>1.3716385995415594</v>
      </c>
      <c r="O126" s="1026">
        <f t="shared" ca="1" si="57"/>
        <v>0.21197338494250778</v>
      </c>
      <c r="P126" s="1026">
        <f t="shared" ca="1" si="57"/>
        <v>0.24553111712834094</v>
      </c>
      <c r="Q126" s="1026">
        <f t="shared" ca="1" si="57"/>
        <v>9.3185477130461339E-2</v>
      </c>
      <c r="R126" s="1026">
        <f t="shared" ca="1" si="57"/>
        <v>1.6369074837774656E-2</v>
      </c>
      <c r="S126" s="1026">
        <f t="shared" ca="1" si="57"/>
        <v>4.1861042390448086E-3</v>
      </c>
      <c r="T126" s="1010"/>
      <c r="U126" s="1010"/>
      <c r="V126" s="1010"/>
      <c r="W126" s="1010"/>
      <c r="X126" s="1010"/>
      <c r="Y126" s="1010"/>
      <c r="Z126" s="1010"/>
      <c r="AA126" s="1010"/>
      <c r="AB126" s="1010"/>
      <c r="AC126" s="1010"/>
      <c r="AD126" s="1010"/>
      <c r="AE126" s="1010"/>
      <c r="AF126" s="1010"/>
      <c r="AG126" s="1010"/>
      <c r="AH126" s="1010"/>
      <c r="AI126" s="1010"/>
      <c r="AJ126" s="1010"/>
      <c r="AK126" s="1010"/>
      <c r="AL126" s="1010"/>
      <c r="AM126" s="1010"/>
      <c r="AN126" s="1010"/>
      <c r="AO126" s="1010"/>
      <c r="AP126" s="1010"/>
      <c r="AQ126" s="1010"/>
      <c r="AR126" s="1010"/>
      <c r="AS126" s="1010"/>
      <c r="AT126" s="1010"/>
      <c r="AU126" s="1010"/>
      <c r="AV126" s="1010"/>
      <c r="AW126" s="1010"/>
      <c r="AX126" s="1010"/>
      <c r="AY126" s="1010"/>
      <c r="AZ126" s="1010"/>
      <c r="BA126" s="1010"/>
      <c r="BB126" s="1010"/>
      <c r="BC126" s="1010"/>
      <c r="BD126" s="1010"/>
      <c r="BE126" s="1010"/>
      <c r="BF126" s="1010"/>
      <c r="BG126" s="1010"/>
      <c r="BH126" s="1010"/>
      <c r="BI126" s="1010"/>
      <c r="BJ126" s="1010"/>
      <c r="BK126" s="1010"/>
      <c r="BL126" s="1010"/>
      <c r="BM126" s="1010"/>
      <c r="BN126" s="1010"/>
      <c r="BO126" s="1010"/>
      <c r="BP126" s="1010"/>
      <c r="BQ126" s="1010"/>
      <c r="BR126" s="1010"/>
      <c r="BS126" s="1010"/>
      <c r="BT126" s="1010"/>
      <c r="BU126" s="1010"/>
    </row>
    <row r="127" spans="1:73">
      <c r="A127" s="1010"/>
      <c r="B127" s="1010"/>
      <c r="C127" s="1033">
        <v>3</v>
      </c>
      <c r="D127" s="1014" t="str">
        <f t="shared" ref="D127:G127" ca="1" si="58">OFFSET(D$76,MATCH($C127,$N$101:$N$107,0)*3,0)</f>
        <v>Total Capital Investment = $90730,798K</v>
      </c>
      <c r="E127" s="1026">
        <f t="shared" ca="1" si="58"/>
        <v>2.4282894504667607</v>
      </c>
      <c r="F127" s="1026">
        <f t="shared" ca="1" si="58"/>
        <v>0</v>
      </c>
      <c r="G127" s="1026">
        <f t="shared" ca="1" si="58"/>
        <v>1.723918875307017E-3</v>
      </c>
      <c r="H127" s="1026"/>
      <c r="I127" s="1026"/>
      <c r="J127" s="1026"/>
      <c r="K127" s="1026"/>
      <c r="L127" s="1026"/>
      <c r="M127" s="1026"/>
      <c r="N127" s="1026"/>
      <c r="O127" s="1026"/>
      <c r="P127" s="1026"/>
      <c r="Q127" s="1026"/>
      <c r="R127" s="1026"/>
      <c r="S127" s="1026"/>
      <c r="T127" s="1010"/>
      <c r="U127" s="1010"/>
      <c r="V127" s="1010"/>
      <c r="W127" s="1010"/>
      <c r="X127" s="1010"/>
      <c r="Y127" s="1010"/>
      <c r="Z127" s="1010"/>
      <c r="AA127" s="1010"/>
      <c r="AB127" s="1010"/>
      <c r="AC127" s="1010"/>
      <c r="AD127" s="1010"/>
      <c r="AE127" s="1010"/>
      <c r="AF127" s="1010"/>
      <c r="AG127" s="1010"/>
      <c r="AH127" s="1010"/>
      <c r="AI127" s="1010"/>
      <c r="AJ127" s="1010"/>
      <c r="AK127" s="1010"/>
      <c r="AL127" s="1010"/>
      <c r="AM127" s="1010"/>
      <c r="AN127" s="1010"/>
      <c r="AO127" s="1010"/>
      <c r="AP127" s="1010"/>
      <c r="AQ127" s="1010"/>
      <c r="AR127" s="1010"/>
      <c r="AS127" s="1010"/>
      <c r="AT127" s="1010"/>
      <c r="AU127" s="1010"/>
      <c r="AV127" s="1010"/>
      <c r="AW127" s="1010"/>
      <c r="AX127" s="1010"/>
      <c r="AY127" s="1010"/>
      <c r="AZ127" s="1010"/>
      <c r="BA127" s="1010"/>
      <c r="BB127" s="1010"/>
      <c r="BC127" s="1010"/>
      <c r="BD127" s="1010"/>
      <c r="BE127" s="1010"/>
      <c r="BF127" s="1010"/>
      <c r="BG127" s="1010"/>
      <c r="BH127" s="1010"/>
      <c r="BI127" s="1010"/>
      <c r="BJ127" s="1010"/>
      <c r="BK127" s="1010"/>
      <c r="BL127" s="1010"/>
      <c r="BM127" s="1010"/>
      <c r="BN127" s="1010"/>
      <c r="BO127" s="1010"/>
      <c r="BP127" s="1010"/>
      <c r="BQ127" s="1010"/>
      <c r="BR127" s="1010"/>
      <c r="BS127" s="1010"/>
      <c r="BT127" s="1010"/>
      <c r="BU127" s="1010"/>
    </row>
    <row r="128" spans="1:73">
      <c r="A128" s="1010"/>
      <c r="B128" s="1010"/>
      <c r="C128" s="1033"/>
      <c r="D128" s="1014"/>
      <c r="E128" s="1026"/>
      <c r="F128" s="1026"/>
      <c r="G128" s="1026"/>
      <c r="H128" s="1026">
        <f t="shared" ref="H128:S128" ca="1" si="59">OFFSET(H$76,MATCH($C127,$N$101:$N$107,0)*3,0)</f>
        <v>0.15699141287208263</v>
      </c>
      <c r="I128" s="1026">
        <f t="shared" ca="1" si="59"/>
        <v>2.0985595575770056E-2</v>
      </c>
      <c r="J128" s="1026">
        <f t="shared" ca="1" si="59"/>
        <v>2.8547398127719732E-2</v>
      </c>
      <c r="K128" s="1026">
        <f t="shared" ca="1" si="59"/>
        <v>5.4915061535724839E-3</v>
      </c>
      <c r="L128" s="1026">
        <f t="shared" ca="1" si="59"/>
        <v>1.7022471371834528E-3</v>
      </c>
      <c r="M128" s="1026">
        <f t="shared" ca="1" si="59"/>
        <v>0.26287357550213158</v>
      </c>
      <c r="N128" s="1026">
        <f t="shared" ca="1" si="59"/>
        <v>1.3716385995415594</v>
      </c>
      <c r="O128" s="1026">
        <f t="shared" ca="1" si="59"/>
        <v>0.21197338494250778</v>
      </c>
      <c r="P128" s="1026">
        <f t="shared" ca="1" si="59"/>
        <v>0.24553111712834094</v>
      </c>
      <c r="Q128" s="1026">
        <f t="shared" ca="1" si="59"/>
        <v>0.10313268611978955</v>
      </c>
      <c r="R128" s="1026">
        <f t="shared" ca="1" si="59"/>
        <v>1.6512890679612906E-2</v>
      </c>
      <c r="S128" s="1026">
        <f t="shared" ca="1" si="59"/>
        <v>4.6329555617953986E-3</v>
      </c>
      <c r="T128" s="1010"/>
      <c r="U128" s="1010"/>
      <c r="V128" s="1010"/>
      <c r="W128" s="1010"/>
      <c r="X128" s="1010"/>
      <c r="Y128" s="1010"/>
      <c r="Z128" s="1010"/>
      <c r="AA128" s="1010"/>
      <c r="AB128" s="1010"/>
      <c r="AC128" s="1010"/>
      <c r="AD128" s="1010"/>
      <c r="AE128" s="1010"/>
      <c r="AF128" s="1010"/>
      <c r="AG128" s="1010"/>
      <c r="AH128" s="1010"/>
      <c r="AI128" s="1010"/>
      <c r="AJ128" s="1010"/>
      <c r="AK128" s="1010"/>
      <c r="AL128" s="1010"/>
      <c r="AM128" s="1010"/>
      <c r="AN128" s="1010"/>
      <c r="AO128" s="1010"/>
      <c r="AP128" s="1010"/>
      <c r="AQ128" s="1010"/>
      <c r="AR128" s="1010"/>
      <c r="AS128" s="1010"/>
      <c r="AT128" s="1010"/>
      <c r="AU128" s="1010"/>
      <c r="AV128" s="1010"/>
      <c r="AW128" s="1010"/>
      <c r="AX128" s="1010"/>
      <c r="AY128" s="1010"/>
      <c r="AZ128" s="1010"/>
      <c r="BA128" s="1010"/>
      <c r="BB128" s="1010"/>
      <c r="BC128" s="1010"/>
      <c r="BD128" s="1010"/>
      <c r="BE128" s="1010"/>
      <c r="BF128" s="1010"/>
      <c r="BG128" s="1010"/>
      <c r="BH128" s="1010"/>
      <c r="BI128" s="1010"/>
      <c r="BJ128" s="1010"/>
      <c r="BK128" s="1010"/>
      <c r="BL128" s="1010"/>
      <c r="BM128" s="1010"/>
      <c r="BN128" s="1010"/>
      <c r="BO128" s="1010"/>
      <c r="BP128" s="1010"/>
      <c r="BQ128" s="1010"/>
      <c r="BR128" s="1010"/>
      <c r="BS128" s="1010"/>
      <c r="BT128" s="1010"/>
      <c r="BU128" s="1010"/>
    </row>
    <row r="129" spans="1:73">
      <c r="A129" s="1010"/>
      <c r="B129" s="1010"/>
      <c r="C129" s="1033"/>
      <c r="D129" s="1014"/>
      <c r="E129" s="1026"/>
      <c r="F129" s="1026"/>
      <c r="G129" s="1026"/>
      <c r="H129" s="1026"/>
      <c r="I129" s="1026"/>
      <c r="J129" s="1026"/>
      <c r="K129" s="1026"/>
      <c r="L129" s="1026"/>
      <c r="M129" s="1026"/>
      <c r="N129" s="1026"/>
      <c r="O129" s="1026"/>
      <c r="P129" s="1026"/>
      <c r="Q129" s="1026"/>
      <c r="R129" s="1026"/>
      <c r="S129" s="1026"/>
      <c r="T129" s="1010"/>
      <c r="U129" s="1010"/>
      <c r="V129" s="1010"/>
      <c r="W129" s="1010"/>
      <c r="X129" s="1010"/>
      <c r="Y129" s="1010"/>
      <c r="Z129" s="1010"/>
      <c r="AA129" s="1010"/>
      <c r="AB129" s="1010"/>
      <c r="AC129" s="1010"/>
      <c r="AD129" s="1010"/>
      <c r="AE129" s="1010"/>
      <c r="AF129" s="1010"/>
      <c r="AG129" s="1010"/>
      <c r="AH129" s="1010"/>
      <c r="AI129" s="1010"/>
      <c r="AJ129" s="1010"/>
      <c r="AK129" s="1010"/>
      <c r="AL129" s="1010"/>
      <c r="AM129" s="1010"/>
      <c r="AN129" s="1010"/>
      <c r="AO129" s="1010"/>
      <c r="AP129" s="1010"/>
      <c r="AQ129" s="1010"/>
      <c r="AR129" s="1010"/>
      <c r="AS129" s="1010"/>
      <c r="AT129" s="1010"/>
      <c r="AU129" s="1010"/>
      <c r="AV129" s="1010"/>
      <c r="AW129" s="1010"/>
      <c r="AX129" s="1010"/>
      <c r="AY129" s="1010"/>
      <c r="AZ129" s="1010"/>
      <c r="BA129" s="1010"/>
      <c r="BB129" s="1010"/>
      <c r="BC129" s="1010"/>
      <c r="BD129" s="1010"/>
      <c r="BE129" s="1010"/>
      <c r="BF129" s="1010"/>
      <c r="BG129" s="1010"/>
      <c r="BH129" s="1010"/>
      <c r="BI129" s="1010"/>
      <c r="BJ129" s="1010"/>
      <c r="BK129" s="1010"/>
      <c r="BL129" s="1010"/>
      <c r="BM129" s="1010"/>
      <c r="BN129" s="1010"/>
      <c r="BO129" s="1010"/>
      <c r="BP129" s="1010"/>
      <c r="BQ129" s="1010"/>
      <c r="BR129" s="1010"/>
      <c r="BS129" s="1010"/>
      <c r="BT129" s="1010"/>
      <c r="BU129" s="1010"/>
    </row>
    <row r="130" spans="1:73">
      <c r="A130" s="1010"/>
      <c r="B130" s="1010"/>
      <c r="C130" s="1033">
        <v>4</v>
      </c>
      <c r="D130" s="1014" t="str">
        <f t="shared" ref="D130:G130" ca="1" si="60">OFFSET(D$76,MATCH($C130,$N$101:$N$107,0)*3-2,0)</f>
        <v>Total Fixed Operating Cost = $4556,669K</v>
      </c>
      <c r="E130" s="1026">
        <f t="shared" ca="1" si="60"/>
        <v>2.3979695764844378</v>
      </c>
      <c r="F130" s="1026">
        <f t="shared" ca="1" si="60"/>
        <v>0</v>
      </c>
      <c r="G130" s="1026">
        <f t="shared" ca="1" si="60"/>
        <v>1.6418275002923967E-3</v>
      </c>
      <c r="H130" s="1026"/>
      <c r="I130" s="1026"/>
      <c r="J130" s="1026"/>
      <c r="K130" s="1026"/>
      <c r="L130" s="1026"/>
      <c r="M130" s="1026"/>
      <c r="N130" s="1026"/>
      <c r="O130" s="1026"/>
      <c r="P130" s="1026"/>
      <c r="Q130" s="1026"/>
      <c r="R130" s="1026"/>
      <c r="S130" s="1026"/>
      <c r="T130" s="1010"/>
      <c r="U130" s="1010"/>
      <c r="V130" s="1010"/>
      <c r="W130" s="1010"/>
      <c r="X130" s="1010"/>
      <c r="Y130" s="1010"/>
      <c r="Z130" s="1010"/>
      <c r="AA130" s="1010"/>
      <c r="AB130" s="1010"/>
      <c r="AC130" s="1010"/>
      <c r="AD130" s="1010"/>
      <c r="AE130" s="1010"/>
      <c r="AF130" s="1010"/>
      <c r="AG130" s="1010"/>
      <c r="AH130" s="1010"/>
      <c r="AI130" s="1010"/>
      <c r="AJ130" s="1010"/>
      <c r="AK130" s="1010"/>
      <c r="AL130" s="1010"/>
      <c r="AM130" s="1010"/>
      <c r="AN130" s="1010"/>
      <c r="AO130" s="1010"/>
      <c r="AP130" s="1010"/>
      <c r="AQ130" s="1010"/>
      <c r="AR130" s="1010"/>
      <c r="AS130" s="1010"/>
      <c r="AT130" s="1010"/>
      <c r="AU130" s="1010"/>
      <c r="AV130" s="1010"/>
      <c r="AW130" s="1010"/>
      <c r="AX130" s="1010"/>
      <c r="AY130" s="1010"/>
      <c r="AZ130" s="1010"/>
      <c r="BA130" s="1010"/>
      <c r="BB130" s="1010"/>
      <c r="BC130" s="1010"/>
      <c r="BD130" s="1010"/>
      <c r="BE130" s="1010"/>
      <c r="BF130" s="1010"/>
      <c r="BG130" s="1010"/>
      <c r="BH130" s="1010"/>
      <c r="BI130" s="1010"/>
      <c r="BJ130" s="1010"/>
      <c r="BK130" s="1010"/>
      <c r="BL130" s="1010"/>
      <c r="BM130" s="1010"/>
      <c r="BN130" s="1010"/>
      <c r="BO130" s="1010"/>
      <c r="BP130" s="1010"/>
      <c r="BQ130" s="1010"/>
      <c r="BR130" s="1010"/>
      <c r="BS130" s="1010"/>
      <c r="BT130" s="1010"/>
      <c r="BU130" s="1010"/>
    </row>
    <row r="131" spans="1:73">
      <c r="A131" s="1010"/>
      <c r="B131" s="1010"/>
      <c r="C131" s="1033"/>
      <c r="D131" s="1014"/>
      <c r="E131" s="1026"/>
      <c r="F131" s="1026"/>
      <c r="G131" s="1026"/>
      <c r="H131" s="1026">
        <f t="shared" ref="H131:S131" ca="1" si="61">OFFSET(H$76,MATCH($C130,$N$101:$N$107,0)*3-2,0)</f>
        <v>0.14942045524399045</v>
      </c>
      <c r="I131" s="1026">
        <f t="shared" ca="1" si="61"/>
        <v>2.0985595575770056E-2</v>
      </c>
      <c r="J131" s="1026">
        <f t="shared" ca="1" si="61"/>
        <v>2.8312868685717384E-2</v>
      </c>
      <c r="K131" s="1026">
        <f t="shared" ca="1" si="61"/>
        <v>5.4915061535724839E-3</v>
      </c>
      <c r="L131" s="1026">
        <f t="shared" ca="1" si="61"/>
        <v>1.6201557621688327E-3</v>
      </c>
      <c r="M131" s="1026">
        <f t="shared" ca="1" si="61"/>
        <v>0.24568929861981814</v>
      </c>
      <c r="N131" s="1026">
        <f t="shared" ca="1" si="61"/>
        <v>1.3716385995415594</v>
      </c>
      <c r="O131" s="1026">
        <f t="shared" ca="1" si="61"/>
        <v>0.21197338494250778</v>
      </c>
      <c r="P131" s="1026">
        <f t="shared" ca="1" si="61"/>
        <v>0.24553111712834094</v>
      </c>
      <c r="Q131" s="1026">
        <f t="shared" ca="1" si="61"/>
        <v>9.8159081625125419E-2</v>
      </c>
      <c r="R131" s="1026">
        <f t="shared" ca="1" si="61"/>
        <v>1.637981080573836E-2</v>
      </c>
      <c r="S131" s="1026">
        <f t="shared" ca="1" si="61"/>
        <v>4.4095299004201019E-3</v>
      </c>
      <c r="T131" s="1010"/>
      <c r="U131" s="1010"/>
      <c r="V131" s="1010"/>
      <c r="W131" s="1010"/>
      <c r="X131" s="1010"/>
      <c r="Y131" s="1010"/>
      <c r="Z131" s="1010"/>
      <c r="AA131" s="1010"/>
      <c r="AB131" s="1010"/>
      <c r="AC131" s="1010"/>
      <c r="AD131" s="1010"/>
      <c r="AE131" s="1010"/>
      <c r="AF131" s="1010"/>
      <c r="AG131" s="1010"/>
      <c r="AH131" s="1010"/>
      <c r="AI131" s="1010"/>
      <c r="AJ131" s="1010"/>
      <c r="AK131" s="1010"/>
      <c r="AL131" s="1010"/>
      <c r="AM131" s="1010"/>
      <c r="AN131" s="1010"/>
      <c r="AO131" s="1010"/>
      <c r="AP131" s="1010"/>
      <c r="AQ131" s="1010"/>
      <c r="AR131" s="1010"/>
      <c r="AS131" s="1010"/>
      <c r="AT131" s="1010"/>
      <c r="AU131" s="1010"/>
      <c r="AV131" s="1010"/>
      <c r="AW131" s="1010"/>
      <c r="AX131" s="1010"/>
      <c r="AY131" s="1010"/>
      <c r="AZ131" s="1010"/>
      <c r="BA131" s="1010"/>
      <c r="BB131" s="1010"/>
      <c r="BC131" s="1010"/>
      <c r="BD131" s="1010"/>
      <c r="BE131" s="1010"/>
      <c r="BF131" s="1010"/>
      <c r="BG131" s="1010"/>
      <c r="BH131" s="1010"/>
      <c r="BI131" s="1010"/>
      <c r="BJ131" s="1010"/>
      <c r="BK131" s="1010"/>
      <c r="BL131" s="1010"/>
      <c r="BM131" s="1010"/>
      <c r="BN131" s="1010"/>
      <c r="BO131" s="1010"/>
      <c r="BP131" s="1010"/>
      <c r="BQ131" s="1010"/>
      <c r="BR131" s="1010"/>
      <c r="BS131" s="1010"/>
      <c r="BT131" s="1010"/>
      <c r="BU131" s="1010"/>
    </row>
    <row r="132" spans="1:73">
      <c r="A132" s="1010"/>
      <c r="B132" s="1010"/>
      <c r="C132" s="1033">
        <v>4</v>
      </c>
      <c r="D132" s="1014" t="str">
        <f t="shared" ref="D132:G132" ca="1" si="62">OFFSET(D$76,MATCH($C132,$N$101:$N$107,0)*3,0)</f>
        <v>Total Fixed Operating Cost = $5036,318K</v>
      </c>
      <c r="E132" s="1026">
        <f t="shared" ca="1" si="62"/>
        <v>2.4243069144678726</v>
      </c>
      <c r="F132" s="1026">
        <f t="shared" ca="1" si="62"/>
        <v>0</v>
      </c>
      <c r="G132" s="1026">
        <f t="shared" ca="1" si="62"/>
        <v>1.6418275002923967E-3</v>
      </c>
      <c r="H132" s="1026"/>
      <c r="I132" s="1026"/>
      <c r="J132" s="1026"/>
      <c r="K132" s="1026"/>
      <c r="L132" s="1026"/>
      <c r="M132" s="1026"/>
      <c r="N132" s="1026"/>
      <c r="O132" s="1026"/>
      <c r="P132" s="1026"/>
      <c r="Q132" s="1026"/>
      <c r="R132" s="1026"/>
      <c r="S132" s="1026"/>
      <c r="T132" s="1010"/>
      <c r="U132" s="1010"/>
      <c r="V132" s="1010"/>
      <c r="W132" s="1010"/>
      <c r="X132" s="1010"/>
      <c r="Y132" s="1010"/>
      <c r="Z132" s="1010"/>
      <c r="AA132" s="1010"/>
      <c r="AB132" s="1010"/>
      <c r="AC132" s="1010"/>
      <c r="AD132" s="1010"/>
      <c r="AE132" s="1010"/>
      <c r="AF132" s="1010"/>
      <c r="AG132" s="1010"/>
      <c r="AH132" s="1010"/>
      <c r="AI132" s="1010"/>
      <c r="AJ132" s="1010"/>
      <c r="AK132" s="1010"/>
      <c r="AL132" s="1010"/>
      <c r="AM132" s="1010"/>
      <c r="AN132" s="1010"/>
      <c r="AO132" s="1010"/>
      <c r="AP132" s="1010"/>
      <c r="AQ132" s="1010"/>
      <c r="AR132" s="1010"/>
      <c r="AS132" s="1010"/>
      <c r="AT132" s="1010"/>
      <c r="AU132" s="1010"/>
      <c r="AV132" s="1010"/>
      <c r="AW132" s="1010"/>
      <c r="AX132" s="1010"/>
      <c r="AY132" s="1010"/>
      <c r="AZ132" s="1010"/>
      <c r="BA132" s="1010"/>
      <c r="BB132" s="1010"/>
      <c r="BC132" s="1010"/>
      <c r="BD132" s="1010"/>
      <c r="BE132" s="1010"/>
      <c r="BF132" s="1010"/>
      <c r="BG132" s="1010"/>
      <c r="BH132" s="1010"/>
      <c r="BI132" s="1010"/>
      <c r="BJ132" s="1010"/>
      <c r="BK132" s="1010"/>
      <c r="BL132" s="1010"/>
      <c r="BM132" s="1010"/>
      <c r="BN132" s="1010"/>
      <c r="BO132" s="1010"/>
      <c r="BP132" s="1010"/>
      <c r="BQ132" s="1010"/>
      <c r="BR132" s="1010"/>
      <c r="BS132" s="1010"/>
      <c r="BT132" s="1010"/>
      <c r="BU132" s="1010"/>
    </row>
    <row r="133" spans="1:73">
      <c r="A133" s="1010"/>
      <c r="B133" s="1010"/>
      <c r="C133" s="1033"/>
      <c r="D133" s="1014"/>
      <c r="E133" s="1026"/>
      <c r="F133" s="1026"/>
      <c r="G133" s="1026"/>
      <c r="H133" s="1026">
        <f t="shared" ref="H133:S133" ca="1" si="63">OFFSET(H$76,MATCH($C132,$N$101:$N$107,0)*3,0)</f>
        <v>0.14942045524399045</v>
      </c>
      <c r="I133" s="1026">
        <f t="shared" ca="1" si="63"/>
        <v>2.0985595575770056E-2</v>
      </c>
      <c r="J133" s="1026">
        <f t="shared" ca="1" si="63"/>
        <v>2.8665831329576272E-2</v>
      </c>
      <c r="K133" s="1026">
        <f t="shared" ca="1" si="63"/>
        <v>5.4915061535724839E-3</v>
      </c>
      <c r="L133" s="1026">
        <f t="shared" ca="1" si="63"/>
        <v>1.6201557621688327E-3</v>
      </c>
      <c r="M133" s="1026">
        <f t="shared" ca="1" si="63"/>
        <v>0.27155133005348309</v>
      </c>
      <c r="N133" s="1026">
        <f t="shared" ca="1" si="63"/>
        <v>1.3716385995415594</v>
      </c>
      <c r="O133" s="1026">
        <f t="shared" ca="1" si="63"/>
        <v>0.21197338494250778</v>
      </c>
      <c r="P133" s="1026">
        <f t="shared" ca="1" si="63"/>
        <v>0.24553111712834094</v>
      </c>
      <c r="Q133" s="1026">
        <f t="shared" ca="1" si="63"/>
        <v>9.8159081625125419E-2</v>
      </c>
      <c r="R133" s="1026">
        <f t="shared" ca="1" si="63"/>
        <v>1.6502154711649036E-2</v>
      </c>
      <c r="S133" s="1026">
        <f t="shared" ca="1" si="63"/>
        <v>4.4095299004201019E-3</v>
      </c>
      <c r="T133" s="1010"/>
      <c r="U133" s="1010"/>
      <c r="V133" s="1010"/>
      <c r="W133" s="1010"/>
      <c r="X133" s="1010"/>
      <c r="Y133" s="1010"/>
      <c r="Z133" s="1010"/>
      <c r="AA133" s="1010"/>
      <c r="AB133" s="1010"/>
      <c r="AC133" s="1010"/>
      <c r="AD133" s="1010"/>
      <c r="AE133" s="1010"/>
      <c r="AF133" s="1010"/>
      <c r="AG133" s="1010"/>
      <c r="AH133" s="1010"/>
      <c r="AI133" s="1010"/>
      <c r="AJ133" s="1010"/>
      <c r="AK133" s="1010"/>
      <c r="AL133" s="1010"/>
      <c r="AM133" s="1010"/>
      <c r="AN133" s="1010"/>
      <c r="AO133" s="1010"/>
      <c r="AP133" s="1010"/>
      <c r="AQ133" s="1010"/>
      <c r="AR133" s="1010"/>
      <c r="AS133" s="1010"/>
      <c r="AT133" s="1010"/>
      <c r="AU133" s="1010"/>
      <c r="AV133" s="1010"/>
      <c r="AW133" s="1010"/>
      <c r="AX133" s="1010"/>
      <c r="AY133" s="1010"/>
      <c r="AZ133" s="1010"/>
      <c r="BA133" s="1010"/>
      <c r="BB133" s="1010"/>
      <c r="BC133" s="1010"/>
      <c r="BD133" s="1010"/>
      <c r="BE133" s="1010"/>
      <c r="BF133" s="1010"/>
      <c r="BG133" s="1010"/>
      <c r="BH133" s="1010"/>
      <c r="BI133" s="1010"/>
      <c r="BJ133" s="1010"/>
      <c r="BK133" s="1010"/>
      <c r="BL133" s="1010"/>
      <c r="BM133" s="1010"/>
      <c r="BN133" s="1010"/>
      <c r="BO133" s="1010"/>
      <c r="BP133" s="1010"/>
      <c r="BQ133" s="1010"/>
      <c r="BR133" s="1010"/>
      <c r="BS133" s="1010"/>
      <c r="BT133" s="1010"/>
      <c r="BU133" s="1010"/>
    </row>
    <row r="134" spans="1:73">
      <c r="A134" s="1010"/>
      <c r="B134" s="1010"/>
      <c r="C134" s="1033"/>
      <c r="D134" s="1014"/>
      <c r="E134" s="1026"/>
      <c r="F134" s="1026"/>
      <c r="G134" s="1026"/>
      <c r="H134" s="1026"/>
      <c r="I134" s="1026"/>
      <c r="J134" s="1026"/>
      <c r="K134" s="1026"/>
      <c r="L134" s="1026"/>
      <c r="M134" s="1026"/>
      <c r="N134" s="1026"/>
      <c r="O134" s="1026"/>
      <c r="P134" s="1026"/>
      <c r="Q134" s="1026"/>
      <c r="R134" s="1026"/>
      <c r="S134" s="1026"/>
      <c r="T134" s="1010"/>
      <c r="U134" s="1010"/>
      <c r="V134" s="1010"/>
      <c r="W134" s="1010"/>
      <c r="X134" s="1010"/>
      <c r="Y134" s="1010"/>
      <c r="Z134" s="1010"/>
      <c r="AA134" s="1010"/>
      <c r="AB134" s="1010"/>
      <c r="AC134" s="1010"/>
      <c r="AD134" s="1010"/>
      <c r="AE134" s="1010"/>
      <c r="AF134" s="1010"/>
      <c r="AG134" s="1010"/>
      <c r="AH134" s="1010"/>
      <c r="AI134" s="1010"/>
      <c r="AJ134" s="1010"/>
      <c r="AK134" s="1010"/>
      <c r="AL134" s="1010"/>
      <c r="AM134" s="1010"/>
      <c r="AN134" s="1010"/>
      <c r="AO134" s="1010"/>
      <c r="AP134" s="1010"/>
      <c r="AQ134" s="1010"/>
      <c r="AR134" s="1010"/>
      <c r="AS134" s="1010"/>
      <c r="AT134" s="1010"/>
      <c r="AU134" s="1010"/>
      <c r="AV134" s="1010"/>
      <c r="AW134" s="1010"/>
      <c r="AX134" s="1010"/>
      <c r="AY134" s="1010"/>
      <c r="AZ134" s="1010"/>
      <c r="BA134" s="1010"/>
      <c r="BB134" s="1010"/>
      <c r="BC134" s="1010"/>
      <c r="BD134" s="1010"/>
      <c r="BE134" s="1010"/>
      <c r="BF134" s="1010"/>
      <c r="BG134" s="1010"/>
      <c r="BH134" s="1010"/>
      <c r="BI134" s="1010"/>
      <c r="BJ134" s="1010"/>
      <c r="BK134" s="1010"/>
      <c r="BL134" s="1010"/>
      <c r="BM134" s="1010"/>
      <c r="BN134" s="1010"/>
      <c r="BO134" s="1010"/>
      <c r="BP134" s="1010"/>
      <c r="BQ134" s="1010"/>
      <c r="BR134" s="1010"/>
      <c r="BS134" s="1010"/>
      <c r="BT134" s="1010"/>
      <c r="BU134" s="1010"/>
    </row>
    <row r="135" spans="1:73">
      <c r="A135" s="1010"/>
      <c r="B135" s="1010"/>
      <c r="C135" s="1033">
        <v>5</v>
      </c>
      <c r="D135" s="1014" t="str">
        <f t="shared" ref="D135:G135" ca="1" si="64">OFFSET(D$76,MATCH($C135,$N$101:$N$107,0)*3-2,0)</f>
        <v>After-tax Real IRR = 8%</v>
      </c>
      <c r="E135" s="1026">
        <f t="shared" ca="1" si="64"/>
        <v>2.3981518107823239</v>
      </c>
      <c r="F135" s="1026">
        <f t="shared" ca="1" si="64"/>
        <v>0</v>
      </c>
      <c r="G135" s="1026">
        <f t="shared" ca="1" si="64"/>
        <v>1.8205055488574227E-3</v>
      </c>
      <c r="H135" s="1026"/>
      <c r="I135" s="1026"/>
      <c r="J135" s="1026"/>
      <c r="K135" s="1026"/>
      <c r="L135" s="1026"/>
      <c r="M135" s="1026"/>
      <c r="N135" s="1026"/>
      <c r="O135" s="1026"/>
      <c r="P135" s="1026"/>
      <c r="Q135" s="1026"/>
      <c r="R135" s="1026"/>
      <c r="S135" s="1026"/>
      <c r="T135" s="1010"/>
      <c r="U135" s="1010"/>
      <c r="V135" s="1010"/>
      <c r="W135" s="1010"/>
      <c r="X135" s="1010"/>
      <c r="Y135" s="1010"/>
      <c r="Z135" s="1010"/>
      <c r="AA135" s="1010"/>
      <c r="AB135" s="1010"/>
      <c r="AC135" s="1010"/>
      <c r="AD135" s="1010"/>
      <c r="AE135" s="1010"/>
      <c r="AF135" s="1010"/>
      <c r="AG135" s="1010"/>
      <c r="AH135" s="1010"/>
      <c r="AI135" s="1010"/>
      <c r="AJ135" s="1010"/>
      <c r="AK135" s="1010"/>
      <c r="AL135" s="1010"/>
      <c r="AM135" s="1010"/>
      <c r="AN135" s="1010"/>
      <c r="AO135" s="1010"/>
      <c r="AP135" s="1010"/>
      <c r="AQ135" s="1010"/>
      <c r="AR135" s="1010"/>
      <c r="AS135" s="1010"/>
      <c r="AT135" s="1010"/>
      <c r="AU135" s="1010"/>
      <c r="AV135" s="1010"/>
      <c r="AW135" s="1010"/>
      <c r="AX135" s="1010"/>
      <c r="AY135" s="1010"/>
      <c r="AZ135" s="1010"/>
      <c r="BA135" s="1010"/>
      <c r="BB135" s="1010"/>
      <c r="BC135" s="1010"/>
      <c r="BD135" s="1010"/>
      <c r="BE135" s="1010"/>
      <c r="BF135" s="1010"/>
      <c r="BG135" s="1010"/>
      <c r="BH135" s="1010"/>
      <c r="BI135" s="1010"/>
      <c r="BJ135" s="1010"/>
      <c r="BK135" s="1010"/>
      <c r="BL135" s="1010"/>
      <c r="BM135" s="1010"/>
      <c r="BN135" s="1010"/>
      <c r="BO135" s="1010"/>
      <c r="BP135" s="1010"/>
      <c r="BQ135" s="1010"/>
      <c r="BR135" s="1010"/>
      <c r="BS135" s="1010"/>
      <c r="BT135" s="1010"/>
      <c r="BU135" s="1010"/>
    </row>
    <row r="136" spans="1:73">
      <c r="A136" s="1010"/>
      <c r="B136" s="1010"/>
      <c r="C136" s="1033"/>
      <c r="D136" s="1014"/>
      <c r="E136" s="1026"/>
      <c r="F136" s="1026"/>
      <c r="G136" s="1026"/>
      <c r="H136" s="1026">
        <f t="shared" ref="H136:S136" ca="1" si="65">OFFSET(H$76,MATCH($C135,$N$101:$N$107,0)*3-2,0)</f>
        <v>0.14241276366491534</v>
      </c>
      <c r="I136" s="1026">
        <f t="shared" ca="1" si="65"/>
        <v>2.0952547202839879E-2</v>
      </c>
      <c r="J136" s="1026">
        <f t="shared" ca="1" si="65"/>
        <v>2.7404339406443594E-2</v>
      </c>
      <c r="K136" s="1026">
        <f t="shared" ca="1" si="65"/>
        <v>5.2104306666281358E-3</v>
      </c>
      <c r="L136" s="1026">
        <f t="shared" ca="1" si="65"/>
        <v>1.7964753023788451E-3</v>
      </c>
      <c r="M136" s="1026">
        <f t="shared" ca="1" si="65"/>
        <v>0.25821303589822564</v>
      </c>
      <c r="N136" s="1026">
        <f t="shared" ca="1" si="65"/>
        <v>1.370562847202597</v>
      </c>
      <c r="O136" s="1026">
        <f t="shared" ca="1" si="65"/>
        <v>0.2118031716072182</v>
      </c>
      <c r="P136" s="1026">
        <f t="shared" ca="1" si="65"/>
        <v>0.24571493542281861</v>
      </c>
      <c r="Q136" s="1026">
        <f t="shared" ca="1" si="65"/>
        <v>9.643493075003963E-2</v>
      </c>
      <c r="R136" s="1026">
        <f t="shared" ca="1" si="65"/>
        <v>1.4577425641924701E-2</v>
      </c>
      <c r="S136" s="1026">
        <f t="shared" ca="1" si="65"/>
        <v>4.8894135651509464E-3</v>
      </c>
      <c r="T136" s="1010"/>
      <c r="U136" s="1010"/>
      <c r="V136" s="1010"/>
      <c r="W136" s="1010"/>
      <c r="X136" s="1010"/>
      <c r="Y136" s="1010"/>
      <c r="Z136" s="1010"/>
      <c r="AA136" s="1010"/>
      <c r="AB136" s="1010"/>
      <c r="AC136" s="1010"/>
      <c r="AD136" s="1010"/>
      <c r="AE136" s="1010"/>
      <c r="AF136" s="1010"/>
      <c r="AG136" s="1010"/>
      <c r="AH136" s="1010"/>
      <c r="AI136" s="1010"/>
      <c r="AJ136" s="1010"/>
      <c r="AK136" s="1010"/>
      <c r="AL136" s="1010"/>
      <c r="AM136" s="1010"/>
      <c r="AN136" s="1010"/>
      <c r="AO136" s="1010"/>
      <c r="AP136" s="1010"/>
      <c r="AQ136" s="1010"/>
      <c r="AR136" s="1010"/>
      <c r="AS136" s="1010"/>
      <c r="AT136" s="1010"/>
      <c r="AU136" s="1010"/>
      <c r="AV136" s="1010"/>
      <c r="AW136" s="1010"/>
      <c r="AX136" s="1010"/>
      <c r="AY136" s="1010"/>
      <c r="AZ136" s="1010"/>
      <c r="BA136" s="1010"/>
      <c r="BB136" s="1010"/>
      <c r="BC136" s="1010"/>
      <c r="BD136" s="1010"/>
      <c r="BE136" s="1010"/>
      <c r="BF136" s="1010"/>
      <c r="BG136" s="1010"/>
      <c r="BH136" s="1010"/>
      <c r="BI136" s="1010"/>
      <c r="BJ136" s="1010"/>
      <c r="BK136" s="1010"/>
      <c r="BL136" s="1010"/>
      <c r="BM136" s="1010"/>
      <c r="BN136" s="1010"/>
      <c r="BO136" s="1010"/>
      <c r="BP136" s="1010"/>
      <c r="BQ136" s="1010"/>
      <c r="BR136" s="1010"/>
      <c r="BS136" s="1010"/>
      <c r="BT136" s="1010"/>
      <c r="BU136" s="1010"/>
    </row>
    <row r="137" spans="1:73">
      <c r="A137" s="1010"/>
      <c r="B137" s="1010"/>
      <c r="C137" s="1033">
        <v>5</v>
      </c>
      <c r="D137" s="1014" t="str">
        <f t="shared" ref="D137:G137" ca="1" si="66">OFFSET(D$76,MATCH($C137,$N$101:$N$107,0)*3,0)</f>
        <v>After-tax Real IRR = 8%</v>
      </c>
      <c r="E137" s="1026">
        <f t="shared" ca="1" si="66"/>
        <v>2.4244248794700054</v>
      </c>
      <c r="F137" s="1026">
        <f t="shared" ca="1" si="66"/>
        <v>0</v>
      </c>
      <c r="G137" s="1026">
        <f t="shared" ca="1" si="66"/>
        <v>1.4794948863293543E-3</v>
      </c>
      <c r="H137" s="1026"/>
      <c r="I137" s="1026"/>
      <c r="J137" s="1026"/>
      <c r="K137" s="1026"/>
      <c r="L137" s="1026"/>
      <c r="M137" s="1026"/>
      <c r="N137" s="1026"/>
      <c r="O137" s="1026"/>
      <c r="P137" s="1026"/>
      <c r="Q137" s="1026"/>
      <c r="R137" s="1026"/>
      <c r="S137" s="1026"/>
      <c r="T137" s="1010"/>
      <c r="U137" s="1010"/>
      <c r="V137" s="1010"/>
      <c r="W137" s="1010"/>
      <c r="X137" s="1010"/>
      <c r="Y137" s="1010"/>
      <c r="Z137" s="1010"/>
      <c r="AA137" s="1010"/>
      <c r="AB137" s="1010"/>
      <c r="AC137" s="1010"/>
      <c r="AD137" s="1010"/>
      <c r="AE137" s="1010"/>
      <c r="AF137" s="1010"/>
      <c r="AG137" s="1010"/>
      <c r="AH137" s="1010"/>
      <c r="AI137" s="1010"/>
      <c r="AJ137" s="1010"/>
      <c r="AK137" s="1010"/>
      <c r="AL137" s="1010"/>
      <c r="AM137" s="1010"/>
      <c r="AN137" s="1010"/>
      <c r="AO137" s="1010"/>
      <c r="AP137" s="1010"/>
      <c r="AQ137" s="1010"/>
      <c r="AR137" s="1010"/>
      <c r="AS137" s="1010"/>
      <c r="AT137" s="1010"/>
      <c r="AU137" s="1010"/>
      <c r="AV137" s="1010"/>
      <c r="AW137" s="1010"/>
      <c r="AX137" s="1010"/>
      <c r="AY137" s="1010"/>
      <c r="AZ137" s="1010"/>
      <c r="BA137" s="1010"/>
      <c r="BB137" s="1010"/>
      <c r="BC137" s="1010"/>
      <c r="BD137" s="1010"/>
      <c r="BE137" s="1010"/>
      <c r="BF137" s="1010"/>
      <c r="BG137" s="1010"/>
      <c r="BH137" s="1010"/>
      <c r="BI137" s="1010"/>
      <c r="BJ137" s="1010"/>
      <c r="BK137" s="1010"/>
      <c r="BL137" s="1010"/>
      <c r="BM137" s="1010"/>
      <c r="BN137" s="1010"/>
      <c r="BO137" s="1010"/>
      <c r="BP137" s="1010"/>
      <c r="BQ137" s="1010"/>
      <c r="BR137" s="1010"/>
      <c r="BS137" s="1010"/>
      <c r="BT137" s="1010"/>
      <c r="BU137" s="1010"/>
    </row>
    <row r="138" spans="1:73">
      <c r="A138" s="1010"/>
      <c r="B138" s="1010"/>
      <c r="C138" s="1033"/>
      <c r="D138" s="1014"/>
      <c r="E138" s="1026"/>
      <c r="F138" s="1026"/>
      <c r="G138" s="1026"/>
      <c r="H138" s="1026">
        <f t="shared" ref="H138:S138" ca="1" si="67">OFFSET(H$76,MATCH($C137,$N$101:$N$107,0)*3,0)</f>
        <v>0.15655995420919266</v>
      </c>
      <c r="I138" s="1026">
        <f t="shared" ca="1" si="67"/>
        <v>2.1018904071997496E-2</v>
      </c>
      <c r="J138" s="1026">
        <f t="shared" ca="1" si="67"/>
        <v>2.9568156104698755E-2</v>
      </c>
      <c r="K138" s="1026">
        <f t="shared" ca="1" si="67"/>
        <v>5.7797564634626767E-3</v>
      </c>
      <c r="L138" s="1026">
        <f t="shared" ca="1" si="67"/>
        <v>1.4599659006557851E-3</v>
      </c>
      <c r="M138" s="1026">
        <f t="shared" ca="1" si="67"/>
        <v>0.25903079845816712</v>
      </c>
      <c r="N138" s="1026">
        <f t="shared" ca="1" si="67"/>
        <v>1.3727252497452316</v>
      </c>
      <c r="O138" s="1026">
        <f t="shared" ca="1" si="67"/>
        <v>0.21214493802466211</v>
      </c>
      <c r="P138" s="1026">
        <f t="shared" ca="1" si="67"/>
        <v>0.24535660127597192</v>
      </c>
      <c r="Q138" s="1026">
        <f t="shared" ca="1" si="67"/>
        <v>9.9895435720664921E-2</v>
      </c>
      <c r="R138" s="1026">
        <f t="shared" ca="1" si="67"/>
        <v>1.8391068477671794E-2</v>
      </c>
      <c r="S138" s="1026">
        <f t="shared" ca="1" si="67"/>
        <v>3.9735459039552425E-3</v>
      </c>
      <c r="T138" s="1010"/>
      <c r="U138" s="1010"/>
      <c r="V138" s="1010"/>
      <c r="W138" s="1010"/>
      <c r="X138" s="1010"/>
      <c r="Y138" s="1010"/>
      <c r="Z138" s="1010"/>
      <c r="AA138" s="1010"/>
      <c r="AB138" s="1010"/>
      <c r="AC138" s="1010"/>
      <c r="AD138" s="1010"/>
      <c r="AE138" s="1010"/>
      <c r="AF138" s="1010"/>
      <c r="AG138" s="1010"/>
      <c r="AH138" s="1010"/>
      <c r="AI138" s="1010"/>
      <c r="AJ138" s="1010"/>
      <c r="AK138" s="1010"/>
      <c r="AL138" s="1010"/>
      <c r="AM138" s="1010"/>
      <c r="AN138" s="1010"/>
      <c r="AO138" s="1010"/>
      <c r="AP138" s="1010"/>
      <c r="AQ138" s="1010"/>
      <c r="AR138" s="1010"/>
      <c r="AS138" s="1010"/>
      <c r="AT138" s="1010"/>
      <c r="AU138" s="1010"/>
      <c r="AV138" s="1010"/>
      <c r="AW138" s="1010"/>
      <c r="AX138" s="1010"/>
      <c r="AY138" s="1010"/>
      <c r="AZ138" s="1010"/>
      <c r="BA138" s="1010"/>
      <c r="BB138" s="1010"/>
      <c r="BC138" s="1010"/>
      <c r="BD138" s="1010"/>
      <c r="BE138" s="1010"/>
      <c r="BF138" s="1010"/>
      <c r="BG138" s="1010"/>
      <c r="BH138" s="1010"/>
      <c r="BI138" s="1010"/>
      <c r="BJ138" s="1010"/>
      <c r="BK138" s="1010"/>
      <c r="BL138" s="1010"/>
      <c r="BM138" s="1010"/>
      <c r="BN138" s="1010"/>
      <c r="BO138" s="1010"/>
      <c r="BP138" s="1010"/>
      <c r="BQ138" s="1010"/>
      <c r="BR138" s="1010"/>
      <c r="BS138" s="1010"/>
      <c r="BT138" s="1010"/>
      <c r="BU138" s="1010"/>
    </row>
    <row r="139" spans="1:73">
      <c r="A139" s="1010"/>
      <c r="B139" s="1010"/>
      <c r="C139" s="1033"/>
      <c r="D139" s="1014"/>
      <c r="E139" s="1026"/>
      <c r="F139" s="1026"/>
      <c r="G139" s="1026"/>
      <c r="H139" s="1026"/>
      <c r="I139" s="1026"/>
      <c r="J139" s="1026"/>
      <c r="K139" s="1026"/>
      <c r="L139" s="1026"/>
      <c r="M139" s="1026"/>
      <c r="N139" s="1026"/>
      <c r="O139" s="1026"/>
      <c r="P139" s="1026"/>
      <c r="Q139" s="1026"/>
      <c r="R139" s="1026"/>
      <c r="S139" s="1026"/>
      <c r="T139" s="1010"/>
      <c r="U139" s="1010"/>
      <c r="V139" s="1010"/>
      <c r="W139" s="1010"/>
      <c r="X139" s="1010"/>
      <c r="Y139" s="1010"/>
      <c r="Z139" s="1010"/>
      <c r="AA139" s="1010"/>
      <c r="AB139" s="1010"/>
      <c r="AC139" s="1010"/>
      <c r="AD139" s="1010"/>
      <c r="AE139" s="1010"/>
      <c r="AF139" s="1010"/>
      <c r="AG139" s="1010"/>
      <c r="AH139" s="1010"/>
      <c r="AI139" s="1010"/>
      <c r="AJ139" s="1010"/>
      <c r="AK139" s="1010"/>
      <c r="AL139" s="1010"/>
      <c r="AM139" s="1010"/>
      <c r="AN139" s="1010"/>
      <c r="AO139" s="1010"/>
      <c r="AP139" s="1010"/>
      <c r="AQ139" s="1010"/>
      <c r="AR139" s="1010"/>
      <c r="AS139" s="1010"/>
      <c r="AT139" s="1010"/>
      <c r="AU139" s="1010"/>
      <c r="AV139" s="1010"/>
      <c r="AW139" s="1010"/>
      <c r="AX139" s="1010"/>
      <c r="AY139" s="1010"/>
      <c r="AZ139" s="1010"/>
      <c r="BA139" s="1010"/>
      <c r="BB139" s="1010"/>
      <c r="BC139" s="1010"/>
      <c r="BD139" s="1010"/>
      <c r="BE139" s="1010"/>
      <c r="BF139" s="1010"/>
      <c r="BG139" s="1010"/>
      <c r="BH139" s="1010"/>
      <c r="BI139" s="1010"/>
      <c r="BJ139" s="1010"/>
      <c r="BK139" s="1010"/>
      <c r="BL139" s="1010"/>
      <c r="BM139" s="1010"/>
      <c r="BN139" s="1010"/>
      <c r="BO139" s="1010"/>
      <c r="BP139" s="1010"/>
      <c r="BQ139" s="1010"/>
      <c r="BR139" s="1010"/>
      <c r="BS139" s="1010"/>
      <c r="BT139" s="1010"/>
      <c r="BU139" s="1010"/>
    </row>
    <row r="140" spans="1:73">
      <c r="A140" s="1010"/>
      <c r="B140" s="1010"/>
      <c r="C140" s="1033">
        <v>6</v>
      </c>
      <c r="D140" s="1014" t="str">
        <f t="shared" ref="D140:G140" ca="1" si="68">OFFSET(D$76,MATCH($C140,$N$101:$N$107,0)*3-2,0)</f>
        <v>Plant Design Capacity (kg of H2/day) = 59325,000</v>
      </c>
      <c r="E140" s="1026">
        <f t="shared" ca="1" si="68"/>
        <v>2.4017774627996471</v>
      </c>
      <c r="F140" s="1026">
        <f t="shared" ca="1" si="68"/>
        <v>0</v>
      </c>
      <c r="G140" s="1026">
        <f t="shared" ca="1" si="68"/>
        <v>1.6242986372420952E-3</v>
      </c>
      <c r="H140" s="1026"/>
      <c r="I140" s="1026"/>
      <c r="J140" s="1026"/>
      <c r="K140" s="1026"/>
      <c r="L140" s="1026"/>
      <c r="M140" s="1026"/>
      <c r="N140" s="1026"/>
      <c r="O140" s="1026"/>
      <c r="P140" s="1026"/>
      <c r="Q140" s="1026"/>
      <c r="R140" s="1026"/>
      <c r="S140" s="1026"/>
      <c r="T140" s="1010"/>
      <c r="U140" s="1010"/>
      <c r="V140" s="1010"/>
      <c r="W140" s="1010"/>
      <c r="X140" s="1010"/>
      <c r="Y140" s="1010"/>
      <c r="Z140" s="1010"/>
      <c r="AA140" s="1010"/>
      <c r="AB140" s="1010"/>
      <c r="AC140" s="1010"/>
      <c r="AD140" s="1010"/>
      <c r="AE140" s="1010"/>
      <c r="AF140" s="1010"/>
      <c r="AG140" s="1010"/>
      <c r="AH140" s="1010"/>
      <c r="AI140" s="1010"/>
      <c r="AJ140" s="1010"/>
      <c r="AK140" s="1010"/>
      <c r="AL140" s="1010"/>
      <c r="AM140" s="1010"/>
      <c r="AN140" s="1010"/>
      <c r="AO140" s="1010"/>
      <c r="AP140" s="1010"/>
      <c r="AQ140" s="1010"/>
      <c r="AR140" s="1010"/>
      <c r="AS140" s="1010"/>
      <c r="AT140" s="1010"/>
      <c r="AU140" s="1010"/>
      <c r="AV140" s="1010"/>
      <c r="AW140" s="1010"/>
      <c r="AX140" s="1010"/>
      <c r="AY140" s="1010"/>
      <c r="AZ140" s="1010"/>
      <c r="BA140" s="1010"/>
      <c r="BB140" s="1010"/>
      <c r="BC140" s="1010"/>
      <c r="BD140" s="1010"/>
      <c r="BE140" s="1010"/>
      <c r="BF140" s="1010"/>
      <c r="BG140" s="1010"/>
      <c r="BH140" s="1010"/>
      <c r="BI140" s="1010"/>
      <c r="BJ140" s="1010"/>
      <c r="BK140" s="1010"/>
      <c r="BL140" s="1010"/>
      <c r="BM140" s="1010"/>
      <c r="BN140" s="1010"/>
      <c r="BO140" s="1010"/>
      <c r="BP140" s="1010"/>
      <c r="BQ140" s="1010"/>
      <c r="BR140" s="1010"/>
      <c r="BS140" s="1010"/>
      <c r="BT140" s="1010"/>
      <c r="BU140" s="1010"/>
    </row>
    <row r="141" spans="1:73">
      <c r="A141" s="1010"/>
      <c r="B141" s="1010"/>
      <c r="C141" s="1033"/>
      <c r="D141" s="1014"/>
      <c r="E141" s="1026"/>
      <c r="F141" s="1026"/>
      <c r="G141" s="1026"/>
      <c r="H141" s="1026">
        <f t="shared" ref="H141:S141" ca="1" si="69">OFFSET(H$76,MATCH($C140,$N$101:$N$107,0)*3-2,0)</f>
        <v>0.147825177605859</v>
      </c>
      <c r="I141" s="1026">
        <f t="shared" ca="1" si="69"/>
        <v>2.0761544248324784E-2</v>
      </c>
      <c r="J141" s="1026">
        <f t="shared" ca="1" si="69"/>
        <v>2.8404680173223534E-2</v>
      </c>
      <c r="K141" s="1026">
        <f t="shared" ca="1" si="69"/>
        <v>5.4328764502152701E-3</v>
      </c>
      <c r="L141" s="1026">
        <f t="shared" ca="1" si="69"/>
        <v>1.6028582760016462E-3</v>
      </c>
      <c r="M141" s="1026">
        <f t="shared" ca="1" si="69"/>
        <v>0.25241644557762755</v>
      </c>
      <c r="N141" s="1026">
        <f t="shared" ca="1" si="69"/>
        <v>1.3716385995415585</v>
      </c>
      <c r="O141" s="1026">
        <f t="shared" ca="1" si="69"/>
        <v>0.2119733849425077</v>
      </c>
      <c r="P141" s="1026">
        <f t="shared" ca="1" si="69"/>
        <v>0.24553111712834089</v>
      </c>
      <c r="Q141" s="1026">
        <f t="shared" ca="1" si="69"/>
        <v>9.7111092662433673E-2</v>
      </c>
      <c r="R141" s="1026">
        <f t="shared" ca="1" si="69"/>
        <v>1.6341532985607313E-2</v>
      </c>
      <c r="S141" s="1026">
        <f t="shared" ca="1" si="69"/>
        <v>4.3624518451878024E-3</v>
      </c>
      <c r="T141" s="1010"/>
      <c r="U141" s="1010"/>
      <c r="V141" s="1010"/>
      <c r="W141" s="1010"/>
      <c r="X141" s="1010"/>
      <c r="Y141" s="1010"/>
      <c r="Z141" s="1010"/>
      <c r="AA141" s="1010"/>
      <c r="AB141" s="1010"/>
      <c r="AC141" s="1010"/>
      <c r="AD141" s="1010"/>
      <c r="AE141" s="1010"/>
      <c r="AF141" s="1010"/>
      <c r="AG141" s="1010"/>
      <c r="AH141" s="1010"/>
      <c r="AI141" s="1010"/>
      <c r="AJ141" s="1010"/>
      <c r="AK141" s="1010"/>
      <c r="AL141" s="1010"/>
      <c r="AM141" s="1010"/>
      <c r="AN141" s="1010"/>
      <c r="AO141" s="1010"/>
      <c r="AP141" s="1010"/>
      <c r="AQ141" s="1010"/>
      <c r="AR141" s="1010"/>
      <c r="AS141" s="1010"/>
      <c r="AT141" s="1010"/>
      <c r="AU141" s="1010"/>
      <c r="AV141" s="1010"/>
      <c r="AW141" s="1010"/>
      <c r="AX141" s="1010"/>
      <c r="AY141" s="1010"/>
      <c r="AZ141" s="1010"/>
      <c r="BA141" s="1010"/>
      <c r="BB141" s="1010"/>
      <c r="BC141" s="1010"/>
      <c r="BD141" s="1010"/>
      <c r="BE141" s="1010"/>
      <c r="BF141" s="1010"/>
      <c r="BG141" s="1010"/>
      <c r="BH141" s="1010"/>
      <c r="BI141" s="1010"/>
      <c r="BJ141" s="1010"/>
      <c r="BK141" s="1010"/>
      <c r="BL141" s="1010"/>
      <c r="BM141" s="1010"/>
      <c r="BN141" s="1010"/>
      <c r="BO141" s="1010"/>
      <c r="BP141" s="1010"/>
      <c r="BQ141" s="1010"/>
      <c r="BR141" s="1010"/>
      <c r="BS141" s="1010"/>
      <c r="BT141" s="1010"/>
      <c r="BU141" s="1010"/>
    </row>
    <row r="142" spans="1:73">
      <c r="A142" s="1010"/>
      <c r="B142" s="1010"/>
      <c r="C142" s="1033">
        <v>6</v>
      </c>
      <c r="D142" s="1014" t="str">
        <f t="shared" ref="D142:G142" ca="1" si="70">OFFSET(D$76,MATCH($C142,$N$101:$N$107,0)*3,0)</f>
        <v>Plant Design Capacity (kg of H2/day) = 53675,000</v>
      </c>
      <c r="E142" s="1026">
        <f t="shared" ca="1" si="70"/>
        <v>2.4212711951023391</v>
      </c>
      <c r="F142" s="1026">
        <f t="shared" ca="1" si="70"/>
        <v>0</v>
      </c>
      <c r="G142" s="1026">
        <f t="shared" ca="1" si="70"/>
        <v>1.6604596732696653E-3</v>
      </c>
      <c r="H142" s="1026"/>
      <c r="I142" s="1026"/>
      <c r="J142" s="1026"/>
      <c r="K142" s="1026"/>
      <c r="L142" s="1026"/>
      <c r="M142" s="1026"/>
      <c r="N142" s="1026"/>
      <c r="O142" s="1026"/>
      <c r="P142" s="1026"/>
      <c r="Q142" s="1026"/>
      <c r="R142" s="1026"/>
      <c r="S142" s="1026"/>
      <c r="T142" s="1010"/>
      <c r="U142" s="1010"/>
      <c r="V142" s="1010"/>
      <c r="W142" s="1010"/>
      <c r="X142" s="1010"/>
      <c r="Y142" s="1010"/>
      <c r="Z142" s="1010"/>
      <c r="AA142" s="1010"/>
      <c r="AB142" s="1010"/>
      <c r="AC142" s="1010"/>
      <c r="AD142" s="1010"/>
      <c r="AE142" s="1010"/>
      <c r="AF142" s="1010"/>
      <c r="AG142" s="1010"/>
      <c r="AH142" s="1010"/>
      <c r="AI142" s="1010"/>
      <c r="AJ142" s="1010"/>
      <c r="AK142" s="1010"/>
      <c r="AL142" s="1010"/>
      <c r="AM142" s="1010"/>
      <c r="AN142" s="1010"/>
      <c r="AO142" s="1010"/>
      <c r="AP142" s="1010"/>
      <c r="AQ142" s="1010"/>
      <c r="AR142" s="1010"/>
      <c r="AS142" s="1010"/>
      <c r="AT142" s="1010"/>
      <c r="AU142" s="1010"/>
      <c r="AV142" s="1010"/>
      <c r="AW142" s="1010"/>
      <c r="AX142" s="1010"/>
      <c r="AY142" s="1010"/>
      <c r="AZ142" s="1010"/>
      <c r="BA142" s="1010"/>
      <c r="BB142" s="1010"/>
      <c r="BC142" s="1010"/>
      <c r="BD142" s="1010"/>
      <c r="BE142" s="1010"/>
      <c r="BF142" s="1010"/>
      <c r="BG142" s="1010"/>
      <c r="BH142" s="1010"/>
      <c r="BI142" s="1010"/>
      <c r="BJ142" s="1010"/>
      <c r="BK142" s="1010"/>
      <c r="BL142" s="1010"/>
      <c r="BM142" s="1010"/>
      <c r="BN142" s="1010"/>
      <c r="BO142" s="1010"/>
      <c r="BP142" s="1010"/>
      <c r="BQ142" s="1010"/>
      <c r="BR142" s="1010"/>
      <c r="BS142" s="1010"/>
      <c r="BT142" s="1010"/>
      <c r="BU142" s="1010"/>
    </row>
    <row r="143" spans="1:73">
      <c r="A143" s="1010"/>
      <c r="B143" s="1010"/>
      <c r="C143" s="1033"/>
      <c r="D143" s="1014"/>
      <c r="E143" s="1026"/>
      <c r="F143" s="1026"/>
      <c r="G143" s="1026"/>
      <c r="H143" s="1026">
        <f t="shared" ref="H143:S143" ca="1" si="71">OFFSET(H$76,MATCH($C142,$N$101:$N$107,0)*3,0)</f>
        <v>0.1511161435961178</v>
      </c>
      <c r="I143" s="1026">
        <f t="shared" ca="1" si="71"/>
        <v>2.122374924704741E-2</v>
      </c>
      <c r="J143" s="1026">
        <f t="shared" ca="1" si="71"/>
        <v>2.8581801345220675E-2</v>
      </c>
      <c r="K143" s="1026">
        <f t="shared" ca="1" si="71"/>
        <v>5.5538261552418875E-3</v>
      </c>
      <c r="L143" s="1026">
        <f t="shared" ca="1" si="71"/>
        <v>1.6385419948305904E-3</v>
      </c>
      <c r="M143" s="1026">
        <f t="shared" ca="1" si="71"/>
        <v>0.26539434394012101</v>
      </c>
      <c r="N143" s="1026">
        <f t="shared" ca="1" si="71"/>
        <v>1.3716385995415592</v>
      </c>
      <c r="O143" s="1026">
        <f t="shared" ca="1" si="71"/>
        <v>0.21197338494250781</v>
      </c>
      <c r="P143" s="1026">
        <f t="shared" ca="1" si="71"/>
        <v>0.24553111712834097</v>
      </c>
      <c r="Q143" s="1026">
        <f t="shared" ca="1" si="71"/>
        <v>9.9273033601081154E-2</v>
      </c>
      <c r="R143" s="1026">
        <f t="shared" ca="1" si="71"/>
        <v>1.6547542118833171E-2</v>
      </c>
      <c r="S143" s="1026">
        <f t="shared" ca="1" si="71"/>
        <v>4.4595711647054384E-3</v>
      </c>
      <c r="T143" s="1010"/>
      <c r="U143" s="1010"/>
      <c r="V143" s="1010"/>
      <c r="W143" s="1010"/>
      <c r="X143" s="1010"/>
      <c r="Y143" s="1010"/>
      <c r="Z143" s="1010"/>
      <c r="AA143" s="1010"/>
      <c r="AB143" s="1010"/>
      <c r="AC143" s="1010"/>
      <c r="AD143" s="1010"/>
      <c r="AE143" s="1010"/>
      <c r="AF143" s="1010"/>
      <c r="AG143" s="1010"/>
      <c r="AH143" s="1010"/>
      <c r="AI143" s="1010"/>
      <c r="AJ143" s="1010"/>
      <c r="AK143" s="1010"/>
      <c r="AL143" s="1010"/>
      <c r="AM143" s="1010"/>
      <c r="AN143" s="1010"/>
      <c r="AO143" s="1010"/>
      <c r="AP143" s="1010"/>
      <c r="AQ143" s="1010"/>
      <c r="AR143" s="1010"/>
      <c r="AS143" s="1010"/>
      <c r="AT143" s="1010"/>
      <c r="AU143" s="1010"/>
      <c r="AV143" s="1010"/>
      <c r="AW143" s="1010"/>
      <c r="AX143" s="1010"/>
      <c r="AY143" s="1010"/>
      <c r="AZ143" s="1010"/>
      <c r="BA143" s="1010"/>
      <c r="BB143" s="1010"/>
      <c r="BC143" s="1010"/>
      <c r="BD143" s="1010"/>
      <c r="BE143" s="1010"/>
      <c r="BF143" s="1010"/>
      <c r="BG143" s="1010"/>
      <c r="BH143" s="1010"/>
      <c r="BI143" s="1010"/>
      <c r="BJ143" s="1010"/>
      <c r="BK143" s="1010"/>
      <c r="BL143" s="1010"/>
      <c r="BM143" s="1010"/>
      <c r="BN143" s="1010"/>
      <c r="BO143" s="1010"/>
      <c r="BP143" s="1010"/>
      <c r="BQ143" s="1010"/>
      <c r="BR143" s="1010"/>
      <c r="BS143" s="1010"/>
      <c r="BT143" s="1010"/>
      <c r="BU143" s="1010"/>
    </row>
    <row r="144" spans="1:73">
      <c r="A144" s="1010"/>
      <c r="B144" s="1010"/>
      <c r="C144" s="1033"/>
      <c r="D144" s="1014"/>
      <c r="E144" s="1026"/>
      <c r="F144" s="1026"/>
      <c r="G144" s="1026"/>
      <c r="H144" s="1026"/>
      <c r="I144" s="1026"/>
      <c r="J144" s="1026"/>
      <c r="K144" s="1026"/>
      <c r="L144" s="1026"/>
      <c r="M144" s="1026"/>
      <c r="N144" s="1026"/>
      <c r="O144" s="1026"/>
      <c r="P144" s="1026"/>
      <c r="Q144" s="1026"/>
      <c r="R144" s="1026"/>
      <c r="S144" s="1026"/>
      <c r="T144" s="1010"/>
      <c r="U144" s="1010"/>
      <c r="V144" s="1010"/>
      <c r="W144" s="1010"/>
      <c r="X144" s="1010"/>
      <c r="Y144" s="1010"/>
      <c r="Z144" s="1010"/>
      <c r="AA144" s="1010"/>
      <c r="AB144" s="1010"/>
      <c r="AC144" s="1010"/>
      <c r="AD144" s="1010"/>
      <c r="AE144" s="1010"/>
      <c r="AF144" s="1010"/>
      <c r="AG144" s="1010"/>
      <c r="AH144" s="1010"/>
      <c r="AI144" s="1010"/>
      <c r="AJ144" s="1010"/>
      <c r="AK144" s="1010"/>
      <c r="AL144" s="1010"/>
      <c r="AM144" s="1010"/>
      <c r="AN144" s="1010"/>
      <c r="AO144" s="1010"/>
      <c r="AP144" s="1010"/>
      <c r="AQ144" s="1010"/>
      <c r="AR144" s="1010"/>
      <c r="AS144" s="1010"/>
      <c r="AT144" s="1010"/>
      <c r="AU144" s="1010"/>
      <c r="AV144" s="1010"/>
      <c r="AW144" s="1010"/>
      <c r="AX144" s="1010"/>
      <c r="AY144" s="1010"/>
      <c r="AZ144" s="1010"/>
      <c r="BA144" s="1010"/>
      <c r="BB144" s="1010"/>
      <c r="BC144" s="1010"/>
      <c r="BD144" s="1010"/>
      <c r="BE144" s="1010"/>
      <c r="BF144" s="1010"/>
      <c r="BG144" s="1010"/>
      <c r="BH144" s="1010"/>
      <c r="BI144" s="1010"/>
      <c r="BJ144" s="1010"/>
      <c r="BK144" s="1010"/>
      <c r="BL144" s="1010"/>
      <c r="BM144" s="1010"/>
      <c r="BN144" s="1010"/>
      <c r="BO144" s="1010"/>
      <c r="BP144" s="1010"/>
      <c r="BQ144" s="1010"/>
      <c r="BR144" s="1010"/>
      <c r="BS144" s="1010"/>
      <c r="BT144" s="1010"/>
      <c r="BU144" s="1010"/>
    </row>
    <row r="145" spans="1:73">
      <c r="A145" s="1010"/>
      <c r="B145" s="1010"/>
      <c r="C145" s="1033">
        <v>7</v>
      </c>
      <c r="D145" s="1014" t="str">
        <f t="shared" ref="D145:G145" ca="1" si="72">OFFSET(D$76,MATCH($C145,$N$101:$N$107,0)*3-2,0)</f>
        <v>Utilities Consumption (% of baseline) = 95%</v>
      </c>
      <c r="E145" s="1026">
        <f t="shared" ca="1" si="72"/>
        <v>2.4024428512494405</v>
      </c>
      <c r="F145" s="1026">
        <f t="shared" ca="1" si="72"/>
        <v>0</v>
      </c>
      <c r="G145" s="1026">
        <f t="shared" ca="1" si="72"/>
        <v>1.6418275002923967E-3</v>
      </c>
      <c r="H145" s="1026"/>
      <c r="I145" s="1026"/>
      <c r="J145" s="1026"/>
      <c r="K145" s="1026"/>
      <c r="L145" s="1026"/>
      <c r="M145" s="1026"/>
      <c r="N145" s="1026"/>
      <c r="O145" s="1026"/>
      <c r="P145" s="1026"/>
      <c r="Q145" s="1026"/>
      <c r="R145" s="1026"/>
      <c r="S145" s="1026"/>
      <c r="T145" s="1010"/>
      <c r="U145" s="1010"/>
      <c r="V145" s="1010"/>
      <c r="W145" s="1010"/>
      <c r="X145" s="1010"/>
      <c r="Y145" s="1010"/>
      <c r="Z145" s="1010"/>
      <c r="AA145" s="1010"/>
      <c r="AB145" s="1010"/>
      <c r="AC145" s="1010"/>
      <c r="AD145" s="1010"/>
      <c r="AE145" s="1010"/>
      <c r="AF145" s="1010"/>
      <c r="AG145" s="1010"/>
      <c r="AH145" s="1010"/>
      <c r="AI145" s="1010"/>
      <c r="AJ145" s="1010"/>
      <c r="AK145" s="1010"/>
      <c r="AL145" s="1010"/>
      <c r="AM145" s="1010"/>
      <c r="AN145" s="1010"/>
      <c r="AO145" s="1010"/>
      <c r="AP145" s="1010"/>
      <c r="AQ145" s="1010"/>
      <c r="AR145" s="1010"/>
      <c r="AS145" s="1010"/>
      <c r="AT145" s="1010"/>
      <c r="AU145" s="1010"/>
      <c r="AV145" s="1010"/>
      <c r="AW145" s="1010"/>
      <c r="AX145" s="1010"/>
      <c r="AY145" s="1010"/>
      <c r="AZ145" s="1010"/>
      <c r="BA145" s="1010"/>
      <c r="BB145" s="1010"/>
      <c r="BC145" s="1010"/>
      <c r="BD145" s="1010"/>
      <c r="BE145" s="1010"/>
      <c r="BF145" s="1010"/>
      <c r="BG145" s="1010"/>
      <c r="BH145" s="1010"/>
      <c r="BI145" s="1010"/>
      <c r="BJ145" s="1010"/>
      <c r="BK145" s="1010"/>
      <c r="BL145" s="1010"/>
      <c r="BM145" s="1010"/>
      <c r="BN145" s="1010"/>
      <c r="BO145" s="1010"/>
      <c r="BP145" s="1010"/>
      <c r="BQ145" s="1010"/>
      <c r="BR145" s="1010"/>
      <c r="BS145" s="1010"/>
      <c r="BT145" s="1010"/>
      <c r="BU145" s="1010"/>
    </row>
    <row r="146" spans="1:73">
      <c r="A146" s="1010"/>
      <c r="B146" s="1010"/>
      <c r="C146" s="1033"/>
      <c r="D146" s="1014"/>
      <c r="E146" s="1026"/>
      <c r="F146" s="1026"/>
      <c r="G146" s="1026"/>
      <c r="H146" s="1026">
        <f t="shared" ref="H146:S146" ca="1" si="73">OFFSET(H$76,MATCH($C145,$N$101:$N$107,0)*3-2,0)</f>
        <v>0.14942045524399045</v>
      </c>
      <c r="I146" s="1026">
        <f t="shared" ca="1" si="73"/>
        <v>2.0985595575770056E-2</v>
      </c>
      <c r="J146" s="1026">
        <f t="shared" ca="1" si="73"/>
        <v>2.8372881315156803E-2</v>
      </c>
      <c r="K146" s="1026">
        <f t="shared" ca="1" si="73"/>
        <v>5.4915061535724839E-3</v>
      </c>
      <c r="L146" s="1026">
        <f t="shared" ca="1" si="73"/>
        <v>1.6201557621688327E-3</v>
      </c>
      <c r="M146" s="1026">
        <f t="shared" ca="1" si="73"/>
        <v>0.25862031433665061</v>
      </c>
      <c r="N146" s="1026">
        <f t="shared" ca="1" si="73"/>
        <v>1.3716385995415594</v>
      </c>
      <c r="O146" s="1026">
        <f t="shared" ca="1" si="73"/>
        <v>0.21197338494250778</v>
      </c>
      <c r="P146" s="1026">
        <f t="shared" ca="1" si="73"/>
        <v>0.23699256197042473</v>
      </c>
      <c r="Q146" s="1026">
        <f t="shared" ca="1" si="73"/>
        <v>9.8159081625125419E-2</v>
      </c>
      <c r="R146" s="1026">
        <f t="shared" ca="1" si="73"/>
        <v>1.6400612382384893E-2</v>
      </c>
      <c r="S146" s="1026">
        <f t="shared" ca="1" si="73"/>
        <v>4.4095299004201019E-3</v>
      </c>
      <c r="T146" s="1010"/>
      <c r="U146" s="1010"/>
      <c r="V146" s="1010"/>
      <c r="W146" s="1010"/>
      <c r="X146" s="1010"/>
      <c r="Y146" s="1010"/>
      <c r="Z146" s="1010"/>
      <c r="AA146" s="1010"/>
      <c r="AB146" s="1010"/>
      <c r="AC146" s="1010"/>
      <c r="AD146" s="1010"/>
      <c r="AE146" s="1010"/>
      <c r="AF146" s="1010"/>
      <c r="AG146" s="1010"/>
      <c r="AH146" s="1010"/>
      <c r="AI146" s="1010"/>
      <c r="AJ146" s="1010"/>
      <c r="AK146" s="1010"/>
      <c r="AL146" s="1010"/>
      <c r="AM146" s="1010"/>
      <c r="AN146" s="1010"/>
      <c r="AO146" s="1010"/>
      <c r="AP146" s="1010"/>
      <c r="AQ146" s="1010"/>
      <c r="AR146" s="1010"/>
      <c r="AS146" s="1010"/>
      <c r="AT146" s="1010"/>
      <c r="AU146" s="1010"/>
      <c r="AV146" s="1010"/>
      <c r="AW146" s="1010"/>
      <c r="AX146" s="1010"/>
      <c r="AY146" s="1010"/>
      <c r="AZ146" s="1010"/>
      <c r="BA146" s="1010"/>
      <c r="BB146" s="1010"/>
      <c r="BC146" s="1010"/>
      <c r="BD146" s="1010"/>
      <c r="BE146" s="1010"/>
      <c r="BF146" s="1010"/>
      <c r="BG146" s="1010"/>
      <c r="BH146" s="1010"/>
      <c r="BI146" s="1010"/>
      <c r="BJ146" s="1010"/>
      <c r="BK146" s="1010"/>
      <c r="BL146" s="1010"/>
      <c r="BM146" s="1010"/>
      <c r="BN146" s="1010"/>
      <c r="BO146" s="1010"/>
      <c r="BP146" s="1010"/>
      <c r="BQ146" s="1010"/>
      <c r="BR146" s="1010"/>
      <c r="BS146" s="1010"/>
      <c r="BT146" s="1010"/>
      <c r="BU146" s="1010"/>
    </row>
    <row r="147" spans="1:73">
      <c r="A147" s="1010"/>
      <c r="B147" s="1010"/>
      <c r="C147" s="1033">
        <v>7</v>
      </c>
      <c r="D147" s="1014" t="str">
        <f t="shared" ref="D147:G147" ca="1" si="74">OFFSET(D$76,MATCH($C147,$N$101:$N$107,0)*3,0)</f>
        <v>Utilities Consumption (% of baseline) = 105%</v>
      </c>
      <c r="E147" s="1026">
        <f t="shared" ca="1" si="74"/>
        <v>2.4198336397028712</v>
      </c>
      <c r="F147" s="1026">
        <f t="shared" ca="1" si="74"/>
        <v>0</v>
      </c>
      <c r="G147" s="1026">
        <f t="shared" ca="1" si="74"/>
        <v>1.6418275002923967E-3</v>
      </c>
      <c r="H147" s="1026"/>
      <c r="I147" s="1026"/>
      <c r="J147" s="1026"/>
      <c r="K147" s="1026"/>
      <c r="L147" s="1026"/>
      <c r="M147" s="1026"/>
      <c r="N147" s="1026"/>
      <c r="O147" s="1026"/>
      <c r="P147" s="1026"/>
      <c r="Q147" s="1026"/>
      <c r="R147" s="1026"/>
      <c r="S147" s="1026"/>
      <c r="T147" s="1010"/>
      <c r="U147" s="1010"/>
      <c r="V147" s="1010"/>
      <c r="W147" s="1010"/>
      <c r="X147" s="1010"/>
      <c r="Y147" s="1010"/>
      <c r="Z147" s="1010"/>
      <c r="AA147" s="1010"/>
      <c r="AB147" s="1010"/>
      <c r="AC147" s="1010"/>
      <c r="AD147" s="1010"/>
      <c r="AE147" s="1010"/>
      <c r="AF147" s="1010"/>
      <c r="AG147" s="1010"/>
      <c r="AH147" s="1010"/>
      <c r="AI147" s="1010"/>
      <c r="AJ147" s="1010"/>
      <c r="AK147" s="1010"/>
      <c r="AL147" s="1010"/>
      <c r="AM147" s="1010"/>
      <c r="AN147" s="1010"/>
      <c r="AO147" s="1010"/>
      <c r="AP147" s="1010"/>
      <c r="AQ147" s="1010"/>
      <c r="AR147" s="1010"/>
      <c r="AS147" s="1010"/>
      <c r="AT147" s="1010"/>
      <c r="AU147" s="1010"/>
      <c r="AV147" s="1010"/>
      <c r="AW147" s="1010"/>
      <c r="AX147" s="1010"/>
      <c r="AY147" s="1010"/>
      <c r="AZ147" s="1010"/>
      <c r="BA147" s="1010"/>
      <c r="BB147" s="1010"/>
      <c r="BC147" s="1010"/>
      <c r="BD147" s="1010"/>
      <c r="BE147" s="1010"/>
      <c r="BF147" s="1010"/>
      <c r="BG147" s="1010"/>
      <c r="BH147" s="1010"/>
      <c r="BI147" s="1010"/>
      <c r="BJ147" s="1010"/>
      <c r="BK147" s="1010"/>
      <c r="BL147" s="1010"/>
      <c r="BM147" s="1010"/>
      <c r="BN147" s="1010"/>
      <c r="BO147" s="1010"/>
      <c r="BP147" s="1010"/>
      <c r="BQ147" s="1010"/>
      <c r="BR147" s="1010"/>
      <c r="BS147" s="1010"/>
      <c r="BT147" s="1010"/>
      <c r="BU147" s="1010"/>
    </row>
    <row r="148" spans="1:73">
      <c r="A148" s="1010"/>
      <c r="B148" s="1010"/>
      <c r="C148" s="1014"/>
      <c r="D148" s="1014"/>
      <c r="E148" s="1014"/>
      <c r="F148" s="1014"/>
      <c r="G148" s="1014"/>
      <c r="H148" s="1026">
        <f t="shared" ref="H148:S148" ca="1" si="75">OFFSET(H$76,MATCH($C147,$N$101:$N$107,0)*3,0)</f>
        <v>0.14942045524399045</v>
      </c>
      <c r="I148" s="1026">
        <f t="shared" ca="1" si="75"/>
        <v>2.0985595575770056E-2</v>
      </c>
      <c r="J148" s="1026">
        <f t="shared" ca="1" si="75"/>
        <v>2.8605818700136856E-2</v>
      </c>
      <c r="K148" s="1026">
        <f t="shared" ca="1" si="75"/>
        <v>5.4915061535724839E-3</v>
      </c>
      <c r="L148" s="1026">
        <f t="shared" ca="1" si="75"/>
        <v>1.6201557621688327E-3</v>
      </c>
      <c r="M148" s="1026">
        <f t="shared" ca="1" si="75"/>
        <v>0.25862031433665061</v>
      </c>
      <c r="N148" s="1026">
        <f t="shared" ca="1" si="75"/>
        <v>1.3716385995415594</v>
      </c>
      <c r="O148" s="1026">
        <f t="shared" ca="1" si="75"/>
        <v>0.21197338494250778</v>
      </c>
      <c r="P148" s="1026">
        <f t="shared" ca="1" si="75"/>
        <v>0.2540696722862571</v>
      </c>
      <c r="Q148" s="1026">
        <f t="shared" ca="1" si="75"/>
        <v>9.8159081625125419E-2</v>
      </c>
      <c r="R148" s="1026">
        <f t="shared" ca="1" si="75"/>
        <v>1.6481353135002614E-2</v>
      </c>
      <c r="S148" s="1026">
        <f t="shared" ca="1" si="75"/>
        <v>4.4095299004201019E-3</v>
      </c>
      <c r="T148" s="1010"/>
      <c r="U148" s="1010"/>
      <c r="V148" s="1010"/>
      <c r="W148" s="1010"/>
      <c r="X148" s="1010"/>
      <c r="Y148" s="1010"/>
      <c r="Z148" s="1010"/>
      <c r="AA148" s="1010"/>
      <c r="AB148" s="1010"/>
      <c r="AC148" s="1010"/>
      <c r="AD148" s="1010"/>
      <c r="AE148" s="1010"/>
      <c r="AF148" s="1010"/>
      <c r="AG148" s="1010"/>
      <c r="AH148" s="1010"/>
      <c r="AI148" s="1010"/>
      <c r="AJ148" s="1010"/>
      <c r="AK148" s="1010"/>
      <c r="AL148" s="1010"/>
      <c r="AM148" s="1010"/>
      <c r="AN148" s="1010"/>
      <c r="AO148" s="1010"/>
      <c r="AP148" s="1010"/>
      <c r="AQ148" s="1010"/>
      <c r="AR148" s="1010"/>
      <c r="AS148" s="1010"/>
      <c r="AT148" s="1010"/>
      <c r="AU148" s="1010"/>
      <c r="AV148" s="1010"/>
      <c r="AW148" s="1010"/>
      <c r="AX148" s="1010"/>
      <c r="AY148" s="1010"/>
      <c r="AZ148" s="1010"/>
      <c r="BA148" s="1010"/>
      <c r="BB148" s="1010"/>
      <c r="BC148" s="1010"/>
      <c r="BD148" s="1010"/>
      <c r="BE148" s="1010"/>
      <c r="BF148" s="1010"/>
      <c r="BG148" s="1010"/>
      <c r="BH148" s="1010"/>
      <c r="BI148" s="1010"/>
      <c r="BJ148" s="1010"/>
      <c r="BK148" s="1010"/>
      <c r="BL148" s="1010"/>
      <c r="BM148" s="1010"/>
      <c r="BN148" s="1010"/>
      <c r="BO148" s="1010"/>
      <c r="BP148" s="1010"/>
      <c r="BQ148" s="1010"/>
      <c r="BR148" s="1010"/>
      <c r="BS148" s="1010"/>
      <c r="BT148" s="1010"/>
      <c r="BU148" s="1010"/>
    </row>
    <row r="149" spans="1:73">
      <c r="A149" s="1010"/>
      <c r="B149" s="1010"/>
      <c r="C149" s="1010"/>
      <c r="D149" s="1010"/>
      <c r="E149" s="1010"/>
      <c r="F149" s="1010"/>
      <c r="G149" s="1010"/>
      <c r="H149" s="1010"/>
      <c r="I149" s="1010"/>
      <c r="J149" s="1010"/>
      <c r="K149" s="1010"/>
      <c r="L149" s="1010"/>
      <c r="M149" s="1010"/>
      <c r="N149" s="1010"/>
      <c r="O149" s="1010"/>
      <c r="P149" s="1010"/>
      <c r="Q149" s="1010"/>
      <c r="R149" s="1010"/>
      <c r="S149" s="1010"/>
      <c r="T149" s="1010"/>
      <c r="U149" s="1010"/>
      <c r="V149" s="1010"/>
      <c r="W149" s="1010"/>
      <c r="X149" s="1010"/>
      <c r="Y149" s="1010"/>
      <c r="Z149" s="1010"/>
      <c r="AA149" s="1010"/>
      <c r="AB149" s="1010"/>
      <c r="AC149" s="1010"/>
      <c r="AD149" s="1010"/>
      <c r="AE149" s="1010"/>
      <c r="AF149" s="1010"/>
      <c r="AG149" s="1010"/>
      <c r="AH149" s="1010"/>
      <c r="AI149" s="1010"/>
      <c r="AJ149" s="1010"/>
      <c r="AK149" s="1010"/>
      <c r="AL149" s="1010"/>
      <c r="AM149" s="1010"/>
      <c r="AN149" s="1010"/>
      <c r="AO149" s="1010"/>
      <c r="AP149" s="1010"/>
      <c r="AQ149" s="1010"/>
      <c r="AR149" s="1010"/>
      <c r="AS149" s="1010"/>
      <c r="AT149" s="1010"/>
      <c r="AU149" s="1010"/>
      <c r="AV149" s="1010"/>
      <c r="AW149" s="1010"/>
      <c r="AX149" s="1010"/>
      <c r="AY149" s="1010"/>
      <c r="AZ149" s="1010"/>
      <c r="BA149" s="1010"/>
      <c r="BB149" s="1010"/>
      <c r="BC149" s="1010"/>
      <c r="BD149" s="1010"/>
      <c r="BE149" s="1010"/>
      <c r="BF149" s="1010"/>
      <c r="BG149" s="1010"/>
      <c r="BH149" s="1010"/>
      <c r="BI149" s="1010"/>
      <c r="BJ149" s="1010"/>
      <c r="BK149" s="1010"/>
      <c r="BL149" s="1010"/>
      <c r="BM149" s="1010"/>
      <c r="BN149" s="1010"/>
      <c r="BO149" s="1010"/>
      <c r="BP149" s="1010"/>
      <c r="BQ149" s="1010"/>
      <c r="BR149" s="1010"/>
      <c r="BS149" s="1010"/>
      <c r="BT149" s="1010"/>
      <c r="BU149" s="1010"/>
    </row>
    <row r="150" spans="1:73">
      <c r="A150" s="1010"/>
      <c r="B150" s="1010"/>
      <c r="C150" s="1010"/>
      <c r="D150" s="1010"/>
      <c r="E150" s="1010"/>
      <c r="F150" s="1010"/>
      <c r="G150" s="1010"/>
      <c r="H150" s="1010"/>
      <c r="I150" s="1010"/>
      <c r="J150" s="1010"/>
      <c r="K150" s="1010"/>
      <c r="L150" s="1010"/>
      <c r="M150" s="1010"/>
      <c r="N150" s="1010"/>
      <c r="O150" s="1010"/>
      <c r="P150" s="1010"/>
      <c r="Q150" s="1010"/>
      <c r="R150" s="1010"/>
      <c r="S150" s="1010"/>
      <c r="T150" s="1010"/>
      <c r="U150" s="1010"/>
      <c r="V150" s="1010"/>
      <c r="W150" s="1010"/>
      <c r="X150" s="1010"/>
      <c r="Y150" s="1010"/>
      <c r="Z150" s="1010"/>
      <c r="AA150" s="1010"/>
      <c r="AB150" s="1010"/>
      <c r="AC150" s="1010"/>
      <c r="AD150" s="1010"/>
      <c r="AE150" s="1010"/>
      <c r="AF150" s="1010"/>
      <c r="AG150" s="1010"/>
      <c r="AH150" s="1010"/>
      <c r="AI150" s="1010"/>
      <c r="AJ150" s="1010"/>
      <c r="AK150" s="1010"/>
      <c r="AL150" s="1010"/>
      <c r="AM150" s="1010"/>
      <c r="AN150" s="1010"/>
      <c r="AO150" s="1010"/>
      <c r="AP150" s="1010"/>
      <c r="AQ150" s="1010"/>
      <c r="AR150" s="1010"/>
      <c r="AS150" s="1010"/>
      <c r="AT150" s="1010"/>
      <c r="AU150" s="1010"/>
      <c r="AV150" s="1010"/>
      <c r="AW150" s="1010"/>
      <c r="AX150" s="1010"/>
      <c r="AY150" s="1010"/>
      <c r="AZ150" s="1010"/>
      <c r="BA150" s="1010"/>
      <c r="BB150" s="1010"/>
      <c r="BC150" s="1010"/>
      <c r="BD150" s="1010"/>
      <c r="BE150" s="1010"/>
      <c r="BF150" s="1010"/>
      <c r="BG150" s="1010"/>
      <c r="BH150" s="1010"/>
      <c r="BI150" s="1010"/>
      <c r="BJ150" s="1010"/>
      <c r="BK150" s="1010"/>
      <c r="BL150" s="1010"/>
      <c r="BM150" s="1010"/>
      <c r="BN150" s="1010"/>
      <c r="BO150" s="1010"/>
      <c r="BP150" s="1010"/>
      <c r="BQ150" s="1010"/>
      <c r="BR150" s="1010"/>
      <c r="BS150" s="1010"/>
      <c r="BT150" s="1010"/>
      <c r="BU150" s="1010"/>
    </row>
    <row r="151" spans="1:73">
      <c r="A151" s="1010"/>
      <c r="B151" s="1010"/>
      <c r="C151" s="1010"/>
      <c r="D151" s="1010"/>
      <c r="E151" s="1010"/>
      <c r="F151" s="1010"/>
      <c r="G151" s="1010"/>
      <c r="H151" s="1010"/>
      <c r="I151" s="1010"/>
      <c r="J151" s="1010"/>
      <c r="K151" s="1010"/>
      <c r="L151" s="1010"/>
      <c r="M151" s="1010"/>
      <c r="N151" s="1010"/>
      <c r="O151" s="1010"/>
      <c r="P151" s="1010"/>
      <c r="Q151" s="1010"/>
      <c r="R151" s="1010"/>
      <c r="S151" s="1010"/>
      <c r="T151" s="1010"/>
      <c r="U151" s="1010"/>
      <c r="V151" s="1010"/>
      <c r="W151" s="1010"/>
      <c r="X151" s="1010"/>
      <c r="Y151" s="1010"/>
      <c r="Z151" s="1010"/>
      <c r="AA151" s="1010"/>
      <c r="AB151" s="1010"/>
      <c r="AC151" s="1010"/>
      <c r="AD151" s="1010"/>
      <c r="AE151" s="1010"/>
      <c r="AF151" s="1010"/>
      <c r="AG151" s="1010"/>
      <c r="AH151" s="1010"/>
      <c r="AI151" s="1010"/>
      <c r="AJ151" s="1010"/>
      <c r="AK151" s="1010"/>
      <c r="AL151" s="1010"/>
      <c r="AM151" s="1010"/>
      <c r="AN151" s="1010"/>
      <c r="AO151" s="1010"/>
      <c r="AP151" s="1010"/>
      <c r="AQ151" s="1010"/>
      <c r="AR151" s="1010"/>
      <c r="AS151" s="1010"/>
    </row>
    <row r="152" spans="1:73">
      <c r="A152" s="1010"/>
      <c r="B152" s="1012" t="s">
        <v>1158</v>
      </c>
      <c r="C152" s="1010"/>
      <c r="D152" s="1010"/>
      <c r="E152" s="1010"/>
      <c r="F152" s="1010"/>
      <c r="G152" s="1010"/>
      <c r="H152" s="1010"/>
      <c r="I152" s="1010"/>
      <c r="J152" s="1010"/>
      <c r="K152" s="1010"/>
      <c r="L152" s="1010"/>
      <c r="M152" s="1010"/>
      <c r="N152" s="1010"/>
      <c r="O152" s="1010"/>
      <c r="P152" s="1010"/>
      <c r="Q152" s="1010"/>
      <c r="R152" s="1010"/>
      <c r="S152" s="1010"/>
      <c r="T152" s="1010"/>
      <c r="U152" s="1010"/>
      <c r="V152" s="1010"/>
      <c r="W152" s="1010"/>
      <c r="X152" s="1010"/>
      <c r="Y152" s="1010"/>
      <c r="Z152" s="1010"/>
      <c r="AA152" s="1010"/>
      <c r="AB152" s="1010"/>
      <c r="AC152" s="1010"/>
      <c r="AD152" s="1010"/>
      <c r="AE152" s="1010"/>
      <c r="AF152" s="1010"/>
      <c r="AG152" s="1010"/>
      <c r="AH152" s="1010"/>
      <c r="AI152" s="1010"/>
      <c r="AJ152" s="1010"/>
      <c r="AK152" s="1010"/>
      <c r="AL152" s="1010"/>
      <c r="AM152" s="1010"/>
      <c r="AN152" s="1010"/>
      <c r="AO152" s="1010"/>
      <c r="AP152" s="1010"/>
      <c r="AQ152" s="1010"/>
      <c r="AR152" s="1010"/>
      <c r="AS152" s="1010"/>
    </row>
    <row r="153" spans="1:73">
      <c r="A153" s="1010"/>
      <c r="B153" s="1010"/>
      <c r="C153" s="1010"/>
      <c r="D153" s="1021" t="s">
        <v>1162</v>
      </c>
      <c r="E153" s="1021"/>
      <c r="F153" s="1021"/>
      <c r="G153" s="1021"/>
      <c r="H153" s="1021"/>
      <c r="I153" s="1021"/>
      <c r="J153" s="1010"/>
      <c r="K153" s="1010"/>
      <c r="L153" s="1010"/>
      <c r="M153" s="1010"/>
      <c r="N153" s="1010"/>
      <c r="O153" s="1010"/>
      <c r="P153" s="1010"/>
      <c r="Q153" s="1010"/>
      <c r="R153" s="1010"/>
      <c r="S153" s="1010"/>
      <c r="T153" s="1010"/>
      <c r="U153" s="1010"/>
      <c r="V153" s="1010"/>
      <c r="W153" s="1010"/>
      <c r="X153" s="1010"/>
      <c r="Y153" s="1010"/>
      <c r="Z153" s="1010"/>
      <c r="AA153" s="1010"/>
      <c r="AB153" s="1010"/>
      <c r="AC153" s="1010"/>
      <c r="AD153" s="1010"/>
      <c r="AE153" s="1010"/>
      <c r="AF153" s="1010"/>
      <c r="AG153" s="1010"/>
      <c r="AH153" s="1010"/>
      <c r="AI153" s="1010"/>
      <c r="AJ153" s="1010"/>
      <c r="AK153" s="1010"/>
      <c r="AL153" s="1010"/>
      <c r="AM153" s="1010"/>
      <c r="AN153" s="1010"/>
      <c r="AO153" s="1010"/>
      <c r="AP153" s="1010"/>
      <c r="AQ153" s="1010"/>
      <c r="AR153" s="1010"/>
      <c r="AS153" s="1010"/>
    </row>
    <row r="154" spans="1:73" ht="25.5">
      <c r="A154" s="1010"/>
      <c r="B154" s="1012"/>
      <c r="C154" s="1010"/>
      <c r="D154" s="1021" t="s">
        <v>1161</v>
      </c>
      <c r="E154" s="1021" t="s">
        <v>1167</v>
      </c>
      <c r="F154" s="1021" t="s">
        <v>1163</v>
      </c>
      <c r="G154" s="1021" t="s">
        <v>1164</v>
      </c>
      <c r="H154" s="1021" t="s">
        <v>1165</v>
      </c>
      <c r="I154" s="1021" t="s">
        <v>1166</v>
      </c>
      <c r="J154" s="1010"/>
      <c r="K154" s="1021" t="s">
        <v>1196</v>
      </c>
      <c r="L154" s="1021" t="s">
        <v>1194</v>
      </c>
      <c r="M154" s="1021" t="s">
        <v>1195</v>
      </c>
      <c r="N154" s="1021" t="s">
        <v>1197</v>
      </c>
      <c r="O154" s="1010"/>
      <c r="P154" s="1010"/>
      <c r="Q154" s="1010"/>
      <c r="R154" s="1010"/>
      <c r="S154" s="1010"/>
      <c r="T154" s="1010"/>
      <c r="U154" s="1010"/>
      <c r="V154" s="1010"/>
      <c r="W154" s="1010"/>
      <c r="X154" s="1010"/>
      <c r="Y154" s="1010"/>
      <c r="Z154" s="1010"/>
      <c r="AA154" s="1010"/>
      <c r="AB154" s="1010"/>
      <c r="AC154" s="1010"/>
      <c r="AD154" s="1010"/>
      <c r="AE154" s="1010"/>
      <c r="AF154" s="1010"/>
      <c r="AG154" s="1010"/>
      <c r="AH154" s="1010"/>
      <c r="AI154" s="1010"/>
      <c r="AJ154" s="1010"/>
      <c r="AK154" s="1010"/>
      <c r="AL154" s="1010"/>
      <c r="AM154" s="1010"/>
      <c r="AN154" s="1010"/>
      <c r="AO154" s="1010"/>
      <c r="AP154" s="1010"/>
      <c r="AQ154" s="1010"/>
      <c r="AR154" s="1010"/>
      <c r="AS154" s="1010"/>
    </row>
    <row r="155" spans="1:73">
      <c r="A155" s="1010"/>
      <c r="B155" s="1012" t="s">
        <v>1160</v>
      </c>
      <c r="C155" s="1010">
        <v>1</v>
      </c>
      <c r="D155" s="1013" t="s">
        <v>1175</v>
      </c>
      <c r="E155" s="1026">
        <f ca="1">+K48+C155/10000000000</f>
        <v>4.8303421689568458</v>
      </c>
      <c r="F155" s="1014">
        <f ca="1">+RANK(E155,$E$155:$E$157)</f>
        <v>1</v>
      </c>
      <c r="G155" s="1019">
        <v>1</v>
      </c>
      <c r="H155" s="1014" t="str">
        <f ca="1">OFFSET($D$154,MATCH($G155,$F$155:$F$157,0),0)</f>
        <v>Cost of Hydrogen</v>
      </c>
      <c r="I155" s="1028">
        <f ca="1">OFFSET($E$154,MATCH($G155,$F$155:$F$157,0),0)-OFFSET($C$154,MATCH($G155,$F$155:$F$157,0),0)/10000000000</f>
        <v>4.8303421688568458</v>
      </c>
      <c r="J155" s="1010"/>
      <c r="K155" s="1014" t="str">
        <f ca="1">+H155</f>
        <v>Cost of Hydrogen</v>
      </c>
      <c r="L155" s="1026">
        <f ca="1">+I155</f>
        <v>4.8303421688568458</v>
      </c>
      <c r="M155" s="1014"/>
      <c r="N155" s="1014" t="str">
        <f ca="1">+IF(L155&gt;0,K155,"")</f>
        <v>Cost of Hydrogen</v>
      </c>
      <c r="O155" s="1010"/>
      <c r="P155" s="1010"/>
      <c r="Q155" s="1010"/>
      <c r="R155" s="1010"/>
      <c r="S155" s="1010"/>
      <c r="T155" s="1010"/>
      <c r="U155" s="1010"/>
      <c r="V155" s="1010"/>
      <c r="W155" s="1010"/>
      <c r="X155" s="1010"/>
      <c r="Y155" s="1010"/>
      <c r="Z155" s="1010"/>
      <c r="AA155" s="1010"/>
      <c r="AB155" s="1010"/>
      <c r="AC155" s="1010"/>
      <c r="AD155" s="1010"/>
      <c r="AE155" s="1010"/>
      <c r="AF155" s="1010"/>
      <c r="AG155" s="1010"/>
      <c r="AH155" s="1010"/>
      <c r="AI155" s="1010"/>
      <c r="AJ155" s="1010"/>
    </row>
    <row r="156" spans="1:73">
      <c r="A156" s="1010"/>
      <c r="B156" s="1012"/>
      <c r="C156" s="1010">
        <v>2</v>
      </c>
      <c r="D156" s="1014" t="str">
        <f>+F110</f>
        <v>Byproduct Sales</v>
      </c>
      <c r="E156" s="1026">
        <f ca="1">+L48+C156/10000000000</f>
        <v>2.0000000000000001E-10</v>
      </c>
      <c r="F156" s="1014">
        <f ca="1">+RANK(E156,$E$155:$E$157)</f>
        <v>3</v>
      </c>
      <c r="G156" s="1019">
        <v>2</v>
      </c>
      <c r="H156" s="1014" t="str">
        <f ca="1">OFFSET($D$154,MATCH($G156,$F$155:$F$157,0),0)</f>
        <v>Salvage Value</v>
      </c>
      <c r="I156" s="1028">
        <f ca="1">OFFSET($E$154,MATCH($G156,$F$155:$F$157,0),0)-OFFSET($C$154,MATCH($G156,$F$155:$F$157,0),0)/10000000000</f>
        <v>1.7348223459559334E-3</v>
      </c>
      <c r="J156" s="1010"/>
      <c r="K156" s="1014" t="str">
        <f t="shared" ref="K156:K170" ca="1" si="76">+H156</f>
        <v>Salvage Value</v>
      </c>
      <c r="L156" s="1026">
        <f t="shared" ref="L156:L157" ca="1" si="77">+I156</f>
        <v>1.7348223459559334E-3</v>
      </c>
      <c r="M156" s="1014"/>
      <c r="N156" s="1014" t="str">
        <f t="shared" ref="N156:N157" ca="1" si="78">+IF(L156&gt;0,K156,"")</f>
        <v>Salvage Value</v>
      </c>
      <c r="O156" s="1010"/>
      <c r="P156" s="1010"/>
      <c r="Q156" s="1010"/>
      <c r="R156" s="1010"/>
      <c r="S156" s="1010"/>
      <c r="T156" s="1010"/>
      <c r="U156" s="1010"/>
      <c r="V156" s="1010"/>
      <c r="W156" s="1010"/>
      <c r="X156" s="1010"/>
      <c r="Y156" s="1010"/>
      <c r="Z156" s="1010"/>
      <c r="AA156" s="1010"/>
      <c r="AB156" s="1010"/>
      <c r="AC156" s="1010"/>
      <c r="AD156" s="1010"/>
      <c r="AE156" s="1010"/>
      <c r="AF156" s="1010"/>
      <c r="AG156" s="1010"/>
      <c r="AH156" s="1010"/>
      <c r="AI156" s="1010"/>
      <c r="AJ156" s="1010"/>
    </row>
    <row r="157" spans="1:73">
      <c r="A157" s="1010"/>
      <c r="B157" s="1012"/>
      <c r="C157" s="1010">
        <v>3</v>
      </c>
      <c r="D157" s="1014" t="str">
        <f>+G110</f>
        <v>Salvage Value</v>
      </c>
      <c r="E157" s="1026">
        <f ca="1">+M48+C157/10000000000</f>
        <v>1.7348226459559335E-3</v>
      </c>
      <c r="F157" s="1014">
        <f ca="1">+RANK(E157,$E$155:$E$157)</f>
        <v>2</v>
      </c>
      <c r="G157" s="1019">
        <v>3</v>
      </c>
      <c r="H157" s="1014" t="str">
        <f ca="1">OFFSET($D$154,MATCH($G157,$F$155:$F$157,0),0)</f>
        <v>Byproduct Sales</v>
      </c>
      <c r="I157" s="1028">
        <f ca="1">OFFSET($E$154,MATCH($G157,$F$155:$F$157,0),0)-OFFSET($C$154,MATCH($G157,$F$155:$F$157,0),0)/10000000000</f>
        <v>0</v>
      </c>
      <c r="J157" s="1010"/>
      <c r="K157" s="1014" t="str">
        <f t="shared" ca="1" si="76"/>
        <v>Byproduct Sales</v>
      </c>
      <c r="L157" s="1026">
        <f t="shared" ca="1" si="77"/>
        <v>0</v>
      </c>
      <c r="M157" s="1014"/>
      <c r="N157" s="1014" t="str">
        <f t="shared" ca="1" si="78"/>
        <v/>
      </c>
      <c r="O157" s="1010"/>
      <c r="P157" s="1010"/>
      <c r="Q157" s="1010"/>
      <c r="R157" s="1010"/>
      <c r="S157" s="1010"/>
      <c r="T157" s="1010"/>
      <c r="U157" s="1010"/>
      <c r="V157" s="1010"/>
      <c r="W157" s="1010"/>
      <c r="X157" s="1010"/>
      <c r="Y157" s="1010"/>
      <c r="Z157" s="1010"/>
      <c r="AA157" s="1010"/>
      <c r="AB157" s="1010"/>
      <c r="AC157" s="1010"/>
      <c r="AD157" s="1010"/>
      <c r="AE157" s="1010"/>
      <c r="AF157" s="1010"/>
      <c r="AG157" s="1010"/>
      <c r="AH157" s="1010"/>
      <c r="AI157" s="1010"/>
      <c r="AJ157" s="1010"/>
    </row>
    <row r="158" spans="1:73">
      <c r="A158" s="1010"/>
      <c r="B158" s="1012"/>
      <c r="C158" s="1010"/>
      <c r="D158" s="1012"/>
      <c r="E158" s="1012"/>
      <c r="F158" s="1012"/>
      <c r="G158" s="1012"/>
      <c r="H158" s="1012"/>
      <c r="I158" s="1038"/>
      <c r="J158" s="1010"/>
      <c r="K158" s="1014"/>
      <c r="L158" s="1014"/>
      <c r="M158" s="1026"/>
      <c r="N158" s="1014" t="str">
        <f t="shared" ref="N158" si="79">+IF(L158&gt;0.01,K158,"")</f>
        <v/>
      </c>
      <c r="O158" s="1010"/>
      <c r="P158" s="1010"/>
      <c r="Q158" s="1010"/>
      <c r="R158" s="1010"/>
      <c r="S158" s="1010"/>
      <c r="T158" s="1010"/>
      <c r="U158" s="1010"/>
      <c r="V158" s="1010"/>
      <c r="W158" s="1010"/>
      <c r="X158" s="1010"/>
      <c r="Y158" s="1010"/>
      <c r="Z158" s="1010"/>
      <c r="AA158" s="1010"/>
      <c r="AB158" s="1010"/>
      <c r="AC158" s="1010"/>
      <c r="AD158" s="1010"/>
      <c r="AE158" s="1010"/>
      <c r="AF158" s="1010"/>
      <c r="AG158" s="1010"/>
      <c r="AH158" s="1010"/>
      <c r="AI158" s="1010"/>
      <c r="AJ158" s="1010"/>
    </row>
    <row r="159" spans="1:73">
      <c r="A159" s="1010"/>
      <c r="B159" s="1012" t="s">
        <v>1159</v>
      </c>
      <c r="C159" s="1010">
        <v>1</v>
      </c>
      <c r="D159" s="1014" t="str">
        <f>+H110</f>
        <v>Initial Equity Depreciable Capital</v>
      </c>
      <c r="E159" s="1026">
        <f ca="1">+N48+C159/10000000000</f>
        <v>0.15031658755447092</v>
      </c>
      <c r="F159" s="1014">
        <f t="shared" ref="F159:F170" ca="1" si="80">+RANK(E159,$E$159:$E$170)</f>
        <v>3</v>
      </c>
      <c r="G159" s="1019">
        <v>1</v>
      </c>
      <c r="H159" s="1014" t="str">
        <f t="shared" ref="H159:H170" ca="1" si="81">OFFSET($D$158,MATCH($G159,$F$159:$F$170,0),0)</f>
        <v>Other Variable Operating Costs</v>
      </c>
      <c r="I159" s="1028">
        <f t="shared" ref="I159:I170" ca="1" si="82">OFFSET($E$158,MATCH($G159,$F$159:$F$170,0),0)-OFFSET($C$158,MATCH($G159,$F$159:$F$170,0),0)/10000000000</f>
        <v>4.1792908461197591</v>
      </c>
      <c r="J159" s="1010"/>
      <c r="K159" s="1014" t="str">
        <f t="shared" ca="1" si="76"/>
        <v>Other Variable Operating Costs</v>
      </c>
      <c r="L159" s="1014"/>
      <c r="M159" s="1026">
        <f ca="1">+I159</f>
        <v>4.1792908461197591</v>
      </c>
      <c r="N159" s="1014" t="str">
        <f ca="1">+IF(M159&gt;0,K159,"")</f>
        <v>Other Variable Operating Costs</v>
      </c>
      <c r="O159" s="1010"/>
      <c r="P159" s="1010"/>
      <c r="Q159" s="1010"/>
      <c r="R159" s="1010"/>
      <c r="S159" s="1010"/>
      <c r="T159" s="1010"/>
      <c r="U159" s="1010"/>
      <c r="V159" s="1010"/>
      <c r="W159" s="1010"/>
      <c r="X159" s="1010"/>
      <c r="Y159" s="1010"/>
      <c r="Z159" s="1010"/>
      <c r="AA159" s="1010"/>
      <c r="AB159" s="1010"/>
      <c r="AC159" s="1010"/>
      <c r="AD159" s="1010"/>
      <c r="AE159" s="1010"/>
      <c r="AF159" s="1010"/>
      <c r="AG159" s="1010"/>
      <c r="AH159" s="1010"/>
      <c r="AI159" s="1010"/>
      <c r="AJ159" s="1010"/>
    </row>
    <row r="160" spans="1:73">
      <c r="A160" s="1010"/>
      <c r="B160" s="1010"/>
      <c r="C160" s="1010">
        <f>+C159+1</f>
        <v>2</v>
      </c>
      <c r="D160" s="1014" t="str">
        <f>+I110</f>
        <v>Yearly Replacement Costs</v>
      </c>
      <c r="E160" s="1026">
        <f ca="1">+O48+C160/10000000000</f>
        <v>7.0414650035320131E-2</v>
      </c>
      <c r="F160" s="1014">
        <f t="shared" ca="1" si="80"/>
        <v>5</v>
      </c>
      <c r="G160" s="1019">
        <v>2</v>
      </c>
      <c r="H160" s="1014" t="str">
        <f t="shared" ca="1" si="81"/>
        <v>Fixed Operating Cost</v>
      </c>
      <c r="I160" s="1028">
        <f t="shared" ca="1" si="82"/>
        <v>0.2446214243091962</v>
      </c>
      <c r="J160" s="1010"/>
      <c r="K160" s="1014" t="str">
        <f t="shared" ca="1" si="76"/>
        <v>Fixed Operating Cost</v>
      </c>
      <c r="L160" s="1014"/>
      <c r="M160" s="1026">
        <f t="shared" ref="M160:M170" ca="1" si="83">+I160</f>
        <v>0.2446214243091962</v>
      </c>
      <c r="N160" s="1014" t="str">
        <f t="shared" ref="N160:N170" ca="1" si="84">+IF(M160&gt;0,K160,"")</f>
        <v>Fixed Operating Cost</v>
      </c>
      <c r="O160" s="1010"/>
      <c r="P160" s="1010"/>
      <c r="Q160" s="1010"/>
      <c r="R160" s="1010"/>
      <c r="S160" s="1010"/>
      <c r="T160" s="1010"/>
      <c r="U160" s="1010"/>
      <c r="V160" s="1010"/>
      <c r="W160" s="1010"/>
      <c r="X160" s="1010"/>
      <c r="Y160" s="1010"/>
      <c r="Z160" s="1010"/>
      <c r="AA160" s="1010"/>
      <c r="AB160" s="1010"/>
      <c r="AC160" s="1010"/>
      <c r="AD160" s="1010"/>
      <c r="AE160" s="1010"/>
      <c r="AF160" s="1010"/>
      <c r="AG160" s="1010"/>
      <c r="AH160" s="1010"/>
      <c r="AI160" s="1010"/>
      <c r="AJ160" s="1010"/>
    </row>
    <row r="161" spans="1:36">
      <c r="A161" s="1010"/>
      <c r="B161" s="1010"/>
      <c r="C161" s="1010">
        <f t="shared" ref="C161:C170" si="85">+C160+1</f>
        <v>3</v>
      </c>
      <c r="D161" s="1014" t="str">
        <f>+J110</f>
        <v>Cash for Working Capital Reserve</v>
      </c>
      <c r="E161" s="1026">
        <f ca="1">+P48+C161/10000000000</f>
        <v>6.0353425428152523E-2</v>
      </c>
      <c r="F161" s="1014">
        <f t="shared" ca="1" si="80"/>
        <v>6</v>
      </c>
      <c r="G161" s="1019">
        <v>3</v>
      </c>
      <c r="H161" s="1014" t="str">
        <f t="shared" ca="1" si="81"/>
        <v>Initial Equity Depreciable Capital</v>
      </c>
      <c r="I161" s="1028">
        <f t="shared" ca="1" si="82"/>
        <v>0.15031658745447091</v>
      </c>
      <c r="J161" s="1010"/>
      <c r="K161" s="1014" t="str">
        <f t="shared" ca="1" si="76"/>
        <v>Initial Equity Depreciable Capital</v>
      </c>
      <c r="L161" s="1014"/>
      <c r="M161" s="1026">
        <f t="shared" ca="1" si="83"/>
        <v>0.15031658745447091</v>
      </c>
      <c r="N161" s="1014" t="str">
        <f t="shared" ca="1" si="84"/>
        <v>Initial Equity Depreciable Capital</v>
      </c>
      <c r="O161" s="1010"/>
      <c r="P161" s="1010"/>
      <c r="Q161" s="1010"/>
      <c r="R161" s="1010"/>
      <c r="S161" s="1010"/>
      <c r="T161" s="1010"/>
      <c r="U161" s="1010"/>
      <c r="V161" s="1010"/>
      <c r="W161" s="1010"/>
      <c r="X161" s="1010"/>
      <c r="Y161" s="1010"/>
      <c r="Z161" s="1010"/>
      <c r="AA161" s="1010"/>
      <c r="AB161" s="1010"/>
      <c r="AC161" s="1010"/>
      <c r="AD161" s="1010"/>
      <c r="AE161" s="1010"/>
      <c r="AF161" s="1010"/>
      <c r="AG161" s="1010"/>
      <c r="AH161" s="1010"/>
      <c r="AI161" s="1010"/>
      <c r="AJ161" s="1010"/>
    </row>
    <row r="162" spans="1:36">
      <c r="A162" s="1010"/>
      <c r="B162" s="1010"/>
      <c r="C162" s="1010">
        <f t="shared" si="85"/>
        <v>4</v>
      </c>
      <c r="D162" s="1014" t="str">
        <f>+K110</f>
        <v>Other Non-Depreciable Capital Costs</v>
      </c>
      <c r="E162" s="1026">
        <f ca="1">+Q48+C162/10000000000</f>
        <v>1.0903852423065671E-3</v>
      </c>
      <c r="F162" s="1014">
        <f t="shared" ca="1" si="80"/>
        <v>10</v>
      </c>
      <c r="G162" s="1019">
        <v>4</v>
      </c>
      <c r="H162" s="1014" t="str">
        <f t="shared" ca="1" si="81"/>
        <v>Debt Interest</v>
      </c>
      <c r="I162" s="1028">
        <f t="shared" ca="1" si="82"/>
        <v>8.9537298367945398E-2</v>
      </c>
      <c r="J162" s="1010"/>
      <c r="K162" s="1014" t="str">
        <f t="shared" ca="1" si="76"/>
        <v>Debt Interest</v>
      </c>
      <c r="L162" s="1014"/>
      <c r="M162" s="1026">
        <f t="shared" ca="1" si="83"/>
        <v>8.9537298367945398E-2</v>
      </c>
      <c r="N162" s="1014" t="str">
        <f t="shared" ca="1" si="84"/>
        <v>Debt Interest</v>
      </c>
      <c r="O162" s="1010"/>
      <c r="P162" s="1010"/>
      <c r="Q162" s="1010"/>
      <c r="R162" s="1010"/>
      <c r="S162" s="1010"/>
      <c r="T162" s="1010"/>
      <c r="U162" s="1010"/>
      <c r="V162" s="1010"/>
      <c r="W162" s="1010"/>
      <c r="X162" s="1010"/>
      <c r="Y162" s="1010"/>
      <c r="Z162" s="1010"/>
      <c r="AA162" s="1010"/>
      <c r="AB162" s="1010"/>
      <c r="AC162" s="1010"/>
      <c r="AD162" s="1010"/>
      <c r="AE162" s="1010"/>
      <c r="AF162" s="1010"/>
      <c r="AG162" s="1010"/>
      <c r="AH162" s="1010"/>
      <c r="AI162" s="1010"/>
      <c r="AJ162" s="1010"/>
    </row>
    <row r="163" spans="1:36">
      <c r="A163" s="1010"/>
      <c r="B163" s="1010"/>
      <c r="C163" s="1010">
        <f t="shared" si="85"/>
        <v>5</v>
      </c>
      <c r="D163" s="1014" t="str">
        <f>+L110</f>
        <v>Decommissioning Costs</v>
      </c>
      <c r="E163" s="1026">
        <f ca="1">+R48+C163/10000000000</f>
        <v>1.7298037027611462E-3</v>
      </c>
      <c r="F163" s="1014">
        <f t="shared" ca="1" si="80"/>
        <v>9</v>
      </c>
      <c r="G163" s="1019">
        <v>5</v>
      </c>
      <c r="H163" s="1014" t="str">
        <f t="shared" ca="1" si="81"/>
        <v>Yearly Replacement Costs</v>
      </c>
      <c r="I163" s="1028">
        <f t="shared" ca="1" si="82"/>
        <v>7.0414649835320128E-2</v>
      </c>
      <c r="J163" s="1010"/>
      <c r="K163" s="1014" t="str">
        <f t="shared" ca="1" si="76"/>
        <v>Yearly Replacement Costs</v>
      </c>
      <c r="L163" s="1014"/>
      <c r="M163" s="1026">
        <f t="shared" ca="1" si="83"/>
        <v>7.0414649835320128E-2</v>
      </c>
      <c r="N163" s="1014" t="str">
        <f t="shared" ca="1" si="84"/>
        <v>Yearly Replacement Costs</v>
      </c>
      <c r="O163" s="1010"/>
      <c r="P163" s="1010"/>
      <c r="Q163" s="1010"/>
      <c r="R163" s="1010"/>
      <c r="S163" s="1010"/>
      <c r="T163" s="1010"/>
      <c r="U163" s="1010"/>
      <c r="V163" s="1010"/>
      <c r="W163" s="1010"/>
      <c r="X163" s="1010"/>
      <c r="Y163" s="1010"/>
      <c r="Z163" s="1010"/>
      <c r="AA163" s="1010"/>
      <c r="AB163" s="1010"/>
      <c r="AC163" s="1010"/>
      <c r="AD163" s="1010"/>
      <c r="AE163" s="1010"/>
      <c r="AF163" s="1010"/>
      <c r="AG163" s="1010"/>
      <c r="AH163" s="1010"/>
      <c r="AI163" s="1010"/>
      <c r="AJ163" s="1010"/>
    </row>
    <row r="164" spans="1:36">
      <c r="A164" s="1010"/>
      <c r="B164" s="1010"/>
      <c r="C164" s="1010">
        <f t="shared" si="85"/>
        <v>6</v>
      </c>
      <c r="D164" s="1014" t="str">
        <f>+M110</f>
        <v>Fixed Operating Cost</v>
      </c>
      <c r="E164" s="1026">
        <f ca="1">+S48+C164/10000000000</f>
        <v>0.24462142490919619</v>
      </c>
      <c r="F164" s="1014">
        <f t="shared" ca="1" si="80"/>
        <v>2</v>
      </c>
      <c r="G164" s="1019">
        <v>6</v>
      </c>
      <c r="H164" s="1014" t="str">
        <f t="shared" ca="1" si="81"/>
        <v>Cash for Working Capital Reserve</v>
      </c>
      <c r="I164" s="1028">
        <f t="shared" ca="1" si="82"/>
        <v>6.0353425128152526E-2</v>
      </c>
      <c r="J164" s="1010"/>
      <c r="K164" s="1014" t="str">
        <f t="shared" ca="1" si="76"/>
        <v>Cash for Working Capital Reserve</v>
      </c>
      <c r="L164" s="1014"/>
      <c r="M164" s="1026">
        <f t="shared" ca="1" si="83"/>
        <v>6.0353425128152526E-2</v>
      </c>
      <c r="N164" s="1014" t="str">
        <f t="shared" ca="1" si="84"/>
        <v>Cash for Working Capital Reserve</v>
      </c>
      <c r="O164" s="1010"/>
      <c r="P164" s="1010"/>
      <c r="Q164" s="1010"/>
      <c r="R164" s="1010"/>
      <c r="S164" s="1010"/>
      <c r="T164" s="1010"/>
      <c r="U164" s="1010"/>
      <c r="V164" s="1010"/>
      <c r="W164" s="1010"/>
      <c r="X164" s="1010"/>
      <c r="Y164" s="1010"/>
      <c r="Z164" s="1010"/>
      <c r="AA164" s="1010"/>
      <c r="AB164" s="1010"/>
      <c r="AC164" s="1010"/>
      <c r="AD164" s="1010"/>
      <c r="AE164" s="1010"/>
      <c r="AF164" s="1010"/>
      <c r="AG164" s="1010"/>
      <c r="AH164" s="1010"/>
      <c r="AI164" s="1010"/>
      <c r="AJ164" s="1010"/>
    </row>
    <row r="165" spans="1:36">
      <c r="A165" s="1010"/>
      <c r="B165" s="1010"/>
      <c r="C165" s="1010">
        <f t="shared" si="85"/>
        <v>7</v>
      </c>
      <c r="D165" s="1014" t="str">
        <f>+N110</f>
        <v>Feedstock Cost</v>
      </c>
      <c r="E165" s="1026">
        <f ca="1">+T48+C165/10000000000</f>
        <v>6.9999999999999996E-10</v>
      </c>
      <c r="F165" s="1014">
        <f t="shared" ca="1" si="80"/>
        <v>12</v>
      </c>
      <c r="G165" s="1019">
        <v>7</v>
      </c>
      <c r="H165" s="1014" t="str">
        <f t="shared" ca="1" si="81"/>
        <v>Taxes</v>
      </c>
      <c r="I165" s="1028">
        <f t="shared" ca="1" si="82"/>
        <v>2.983401602765693E-2</v>
      </c>
      <c r="J165" s="1010"/>
      <c r="K165" s="1014" t="str">
        <f t="shared" ca="1" si="76"/>
        <v>Taxes</v>
      </c>
      <c r="L165" s="1014"/>
      <c r="M165" s="1026">
        <f t="shared" ca="1" si="83"/>
        <v>2.983401602765693E-2</v>
      </c>
      <c r="N165" s="1014" t="str">
        <f t="shared" ca="1" si="84"/>
        <v>Taxes</v>
      </c>
      <c r="O165" s="1010"/>
      <c r="P165" s="1010"/>
      <c r="Q165" s="1010"/>
      <c r="R165" s="1010"/>
      <c r="S165" s="1010"/>
      <c r="T165" s="1010"/>
      <c r="U165" s="1010"/>
      <c r="V165" s="1010"/>
      <c r="W165" s="1010"/>
      <c r="X165" s="1010"/>
      <c r="Y165" s="1010"/>
      <c r="Z165" s="1010"/>
      <c r="AA165" s="1010"/>
      <c r="AB165" s="1010"/>
      <c r="AC165" s="1010"/>
      <c r="AD165" s="1010"/>
      <c r="AE165" s="1010"/>
      <c r="AF165" s="1010"/>
      <c r="AG165" s="1010"/>
      <c r="AH165" s="1010"/>
      <c r="AI165" s="1010"/>
      <c r="AJ165" s="1010"/>
    </row>
    <row r="166" spans="1:36">
      <c r="A166" s="1010"/>
      <c r="B166" s="1010"/>
      <c r="C166" s="1010">
        <f t="shared" si="85"/>
        <v>8</v>
      </c>
      <c r="D166" s="1014" t="str">
        <f>+O110</f>
        <v>Other Raw Material Cost</v>
      </c>
      <c r="E166" s="1026">
        <f ca="1">+U48+C166/10000000000</f>
        <v>8.0000000000000003E-10</v>
      </c>
      <c r="F166" s="1014">
        <f t="shared" ca="1" si="80"/>
        <v>11</v>
      </c>
      <c r="G166" s="1019">
        <v>8</v>
      </c>
      <c r="H166" s="1014" t="str">
        <f t="shared" ca="1" si="81"/>
        <v>Principal Payment</v>
      </c>
      <c r="I166" s="1028">
        <f t="shared" ca="1" si="82"/>
        <v>4.8885559152300768E-3</v>
      </c>
      <c r="J166" s="1010"/>
      <c r="K166" s="1014" t="str">
        <f t="shared" ca="1" si="76"/>
        <v>Principal Payment</v>
      </c>
      <c r="L166" s="1014"/>
      <c r="M166" s="1026">
        <f t="shared" ca="1" si="83"/>
        <v>4.8885559152300768E-3</v>
      </c>
      <c r="N166" s="1014" t="str">
        <f t="shared" ca="1" si="84"/>
        <v>Principal Payment</v>
      </c>
      <c r="O166" s="1010"/>
      <c r="P166" s="1010"/>
      <c r="Q166" s="1010"/>
      <c r="R166" s="1010"/>
      <c r="S166" s="1010"/>
      <c r="T166" s="1010"/>
      <c r="U166" s="1010"/>
      <c r="V166" s="1010"/>
      <c r="W166" s="1010"/>
      <c r="X166" s="1010"/>
      <c r="Y166" s="1010"/>
      <c r="Z166" s="1010"/>
      <c r="AA166" s="1010"/>
      <c r="AB166" s="1010"/>
      <c r="AC166" s="1010"/>
      <c r="AD166" s="1010"/>
      <c r="AE166" s="1010"/>
      <c r="AF166" s="1010"/>
      <c r="AG166" s="1010"/>
      <c r="AH166" s="1010"/>
      <c r="AI166" s="1010"/>
      <c r="AJ166" s="1010"/>
    </row>
    <row r="167" spans="1:36">
      <c r="A167" s="1010"/>
      <c r="B167" s="1010"/>
      <c r="C167" s="1010">
        <f t="shared" si="85"/>
        <v>9</v>
      </c>
      <c r="D167" s="1014" t="str">
        <f>+P110</f>
        <v>Other Variable Operating Costs</v>
      </c>
      <c r="E167" s="1026">
        <f ca="1">+V48+C167/10000000000</f>
        <v>4.1792908470197592</v>
      </c>
      <c r="F167" s="1014">
        <f t="shared" ca="1" si="80"/>
        <v>1</v>
      </c>
      <c r="G167" s="1019">
        <v>9</v>
      </c>
      <c r="H167" s="1014" t="str">
        <f t="shared" ca="1" si="81"/>
        <v>Decommissioning Costs</v>
      </c>
      <c r="I167" s="1028">
        <f t="shared" ca="1" si="82"/>
        <v>1.7298032027611462E-3</v>
      </c>
      <c r="J167" s="1010"/>
      <c r="K167" s="1014" t="str">
        <f t="shared" ca="1" si="76"/>
        <v>Decommissioning Costs</v>
      </c>
      <c r="L167" s="1014"/>
      <c r="M167" s="1026">
        <f t="shared" ca="1" si="83"/>
        <v>1.7298032027611462E-3</v>
      </c>
      <c r="N167" s="1014" t="str">
        <f t="shared" ca="1" si="84"/>
        <v>Decommissioning Costs</v>
      </c>
      <c r="O167" s="1010"/>
      <c r="P167" s="1010"/>
      <c r="Q167" s="1010"/>
      <c r="R167" s="1010"/>
      <c r="S167" s="1010"/>
      <c r="T167" s="1010"/>
      <c r="U167" s="1010"/>
      <c r="V167" s="1010"/>
      <c r="W167" s="1010"/>
      <c r="X167" s="1010"/>
      <c r="Y167" s="1010"/>
      <c r="Z167" s="1010"/>
      <c r="AA167" s="1010"/>
      <c r="AB167" s="1010"/>
      <c r="AC167" s="1010"/>
      <c r="AD167" s="1010"/>
      <c r="AE167" s="1010"/>
      <c r="AF167" s="1010"/>
      <c r="AG167" s="1010"/>
      <c r="AH167" s="1010"/>
      <c r="AI167" s="1010"/>
      <c r="AJ167" s="1010"/>
    </row>
    <row r="168" spans="1:36">
      <c r="A168" s="1010"/>
      <c r="B168" s="1010"/>
      <c r="C168" s="1010">
        <f t="shared" si="85"/>
        <v>10</v>
      </c>
      <c r="D168" s="1014" t="str">
        <f>+Q110</f>
        <v>Debt Interest</v>
      </c>
      <c r="E168" s="1026">
        <f ca="1">+W48+C168/10000000000</f>
        <v>8.9537299367945397E-2</v>
      </c>
      <c r="F168" s="1014">
        <f t="shared" ca="1" si="80"/>
        <v>4</v>
      </c>
      <c r="G168" s="1019">
        <v>10</v>
      </c>
      <c r="H168" s="1014" t="str">
        <f t="shared" ca="1" si="81"/>
        <v>Other Non-Depreciable Capital Costs</v>
      </c>
      <c r="I168" s="1028">
        <f t="shared" ca="1" si="82"/>
        <v>1.0903848423065672E-3</v>
      </c>
      <c r="J168" s="1010"/>
      <c r="K168" s="1014" t="str">
        <f t="shared" ca="1" si="76"/>
        <v>Other Non-Depreciable Capital Costs</v>
      </c>
      <c r="L168" s="1014"/>
      <c r="M168" s="1026">
        <f t="shared" ca="1" si="83"/>
        <v>1.0903848423065672E-3</v>
      </c>
      <c r="N168" s="1014" t="str">
        <f t="shared" ca="1" si="84"/>
        <v>Other Non-Depreciable Capital Costs</v>
      </c>
      <c r="O168" s="1010"/>
      <c r="P168" s="1010"/>
      <c r="Q168" s="1010"/>
      <c r="R168" s="1010"/>
      <c r="S168" s="1010"/>
      <c r="T168" s="1010"/>
      <c r="U168" s="1010"/>
      <c r="V168" s="1010"/>
      <c r="W168" s="1010"/>
      <c r="X168" s="1010"/>
      <c r="Y168" s="1010"/>
      <c r="Z168" s="1010"/>
      <c r="AA168" s="1010"/>
      <c r="AB168" s="1010"/>
      <c r="AC168" s="1010"/>
      <c r="AD168" s="1010"/>
      <c r="AE168" s="1010"/>
      <c r="AF168" s="1010"/>
      <c r="AG168" s="1010"/>
      <c r="AH168" s="1010"/>
      <c r="AI168" s="1010"/>
      <c r="AJ168" s="1010"/>
    </row>
    <row r="169" spans="1:36">
      <c r="A169" s="1010"/>
      <c r="B169" s="1010"/>
      <c r="C169" s="1010">
        <f t="shared" si="85"/>
        <v>11</v>
      </c>
      <c r="D169" s="1014" t="str">
        <f>+R110</f>
        <v>Taxes</v>
      </c>
      <c r="E169" s="1026">
        <f ca="1">+X48+C169/10000000000</f>
        <v>2.9834017127656931E-2</v>
      </c>
      <c r="F169" s="1014">
        <f t="shared" ca="1" si="80"/>
        <v>7</v>
      </c>
      <c r="G169" s="1019">
        <v>11</v>
      </c>
      <c r="H169" s="1014" t="str">
        <f t="shared" ca="1" si="81"/>
        <v>Other Raw Material Cost</v>
      </c>
      <c r="I169" s="1028">
        <f t="shared" ca="1" si="82"/>
        <v>0</v>
      </c>
      <c r="J169" s="1010"/>
      <c r="K169" s="1014" t="str">
        <f t="shared" ca="1" si="76"/>
        <v>Other Raw Material Cost</v>
      </c>
      <c r="L169" s="1014"/>
      <c r="M169" s="1026">
        <f t="shared" ca="1" si="83"/>
        <v>0</v>
      </c>
      <c r="N169" s="1014" t="str">
        <f t="shared" ca="1" si="84"/>
        <v/>
      </c>
      <c r="O169" s="1010"/>
      <c r="P169" s="1010"/>
      <c r="Q169" s="1010"/>
      <c r="R169" s="1010"/>
      <c r="S169" s="1010"/>
      <c r="T169" s="1010"/>
      <c r="U169" s="1010"/>
      <c r="V169" s="1010"/>
      <c r="W169" s="1010"/>
      <c r="X169" s="1010"/>
      <c r="Y169" s="1010"/>
      <c r="Z169" s="1010"/>
      <c r="AA169" s="1010"/>
      <c r="AB169" s="1010"/>
      <c r="AC169" s="1010"/>
      <c r="AD169" s="1010"/>
      <c r="AE169" s="1010"/>
      <c r="AF169" s="1010"/>
      <c r="AG169" s="1010"/>
      <c r="AH169" s="1010"/>
      <c r="AI169" s="1010"/>
      <c r="AJ169" s="1010"/>
    </row>
    <row r="170" spans="1:36">
      <c r="A170" s="1010"/>
      <c r="B170" s="1010"/>
      <c r="C170" s="1010">
        <f t="shared" si="85"/>
        <v>12</v>
      </c>
      <c r="D170" s="1014" t="str">
        <f>+S110</f>
        <v>Principal Payment</v>
      </c>
      <c r="E170" s="1026">
        <f ca="1">+Y48+C170/10000000000</f>
        <v>4.8885571152300772E-3</v>
      </c>
      <c r="F170" s="1014">
        <f t="shared" ca="1" si="80"/>
        <v>8</v>
      </c>
      <c r="G170" s="1019">
        <v>12</v>
      </c>
      <c r="H170" s="1014" t="str">
        <f t="shared" ca="1" si="81"/>
        <v>Feedstock Cost</v>
      </c>
      <c r="I170" s="1028">
        <f t="shared" ca="1" si="82"/>
        <v>0</v>
      </c>
      <c r="J170" s="1010"/>
      <c r="K170" s="1014" t="str">
        <f t="shared" ca="1" si="76"/>
        <v>Feedstock Cost</v>
      </c>
      <c r="L170" s="1014"/>
      <c r="M170" s="1026">
        <f t="shared" ca="1" si="83"/>
        <v>0</v>
      </c>
      <c r="N170" s="1014" t="str">
        <f t="shared" ca="1" si="84"/>
        <v/>
      </c>
      <c r="O170" s="1010"/>
      <c r="P170" s="1010"/>
      <c r="Q170" s="1010"/>
      <c r="R170" s="1010"/>
      <c r="S170" s="1010"/>
      <c r="T170" s="1010"/>
      <c r="U170" s="1010"/>
      <c r="V170" s="1010"/>
      <c r="W170" s="1010"/>
      <c r="X170" s="1010"/>
      <c r="Y170" s="1010"/>
      <c r="Z170" s="1010"/>
      <c r="AA170" s="1010"/>
      <c r="AB170" s="1010"/>
      <c r="AC170" s="1010"/>
      <c r="AD170" s="1010"/>
      <c r="AE170" s="1010"/>
      <c r="AF170" s="1010"/>
      <c r="AG170" s="1010"/>
      <c r="AH170" s="1010"/>
      <c r="AI170" s="1010"/>
      <c r="AJ170" s="1010"/>
    </row>
    <row r="171" spans="1:36">
      <c r="A171" s="1010"/>
      <c r="B171" s="1010"/>
      <c r="C171" s="1010"/>
      <c r="D171" s="1010"/>
      <c r="E171" s="1010"/>
      <c r="F171" s="1010"/>
      <c r="G171" s="1010"/>
      <c r="H171" s="1012"/>
      <c r="I171" s="1010"/>
      <c r="J171" s="1010"/>
      <c r="K171" s="1013" t="s">
        <v>58</v>
      </c>
      <c r="L171" s="1026">
        <f ca="1">+SUM(L155:L170)</f>
        <v>4.8320769912028014</v>
      </c>
      <c r="M171" s="1026">
        <f ca="1">+SUM(M155:M170)</f>
        <v>4.8320769912027997</v>
      </c>
      <c r="N171" s="1014" t="str">
        <f t="shared" ref="N171" ca="1" si="86">+IF(M171&lt;0.01,K171,"")</f>
        <v/>
      </c>
      <c r="O171" s="1010"/>
      <c r="P171" s="1010"/>
      <c r="Q171" s="1010"/>
      <c r="R171" s="1010"/>
      <c r="S171" s="1010"/>
      <c r="T171" s="1010"/>
      <c r="U171" s="1010"/>
      <c r="V171" s="1010"/>
      <c r="W171" s="1010"/>
      <c r="X171" s="1010"/>
      <c r="Y171" s="1010"/>
      <c r="Z171" s="1010"/>
      <c r="AA171" s="1010"/>
      <c r="AB171" s="1010"/>
      <c r="AC171" s="1010"/>
      <c r="AD171" s="1010"/>
      <c r="AE171" s="1010"/>
      <c r="AF171" s="1010"/>
      <c r="AG171" s="1010"/>
      <c r="AH171" s="1010"/>
      <c r="AI171" s="1010"/>
      <c r="AJ171" s="1010"/>
    </row>
    <row r="172" spans="1:36">
      <c r="A172" s="1010"/>
      <c r="B172" s="1010"/>
      <c r="C172" s="1010"/>
      <c r="E172" s="1010"/>
      <c r="F172" s="1010"/>
      <c r="G172" s="1010"/>
      <c r="H172" s="1010"/>
      <c r="I172" s="1010"/>
      <c r="J172" s="1010"/>
      <c r="K172" s="1010"/>
      <c r="L172" s="1010"/>
      <c r="M172" s="1010"/>
      <c r="N172" s="1010"/>
      <c r="O172" s="1010"/>
      <c r="P172" s="1010"/>
      <c r="Q172" s="1010"/>
      <c r="R172" s="1010"/>
      <c r="S172" s="1010"/>
      <c r="T172" s="1010"/>
      <c r="U172" s="1010"/>
      <c r="V172" s="1010"/>
      <c r="W172" s="1010"/>
      <c r="X172" s="1010"/>
      <c r="Y172" s="1010"/>
      <c r="Z172" s="1010"/>
      <c r="AA172" s="1010"/>
      <c r="AB172" s="1010"/>
      <c r="AC172" s="1010"/>
      <c r="AD172" s="1010"/>
      <c r="AE172" s="1010"/>
      <c r="AF172" s="1010"/>
      <c r="AG172" s="1010"/>
      <c r="AH172" s="1010"/>
      <c r="AI172" s="1010"/>
      <c r="AJ172" s="1010"/>
    </row>
    <row r="173" spans="1:36">
      <c r="A173" s="1010"/>
      <c r="B173" s="1010"/>
      <c r="C173" s="1010"/>
      <c r="D173" s="1010"/>
      <c r="E173" s="1010"/>
      <c r="F173" s="1010"/>
      <c r="G173" s="1010"/>
      <c r="H173" s="1010"/>
      <c r="I173" s="1010"/>
      <c r="J173" s="1010"/>
      <c r="K173" s="1010"/>
      <c r="L173" s="1010"/>
      <c r="M173" s="1010"/>
      <c r="N173" s="1010"/>
      <c r="O173" s="1010"/>
      <c r="P173" s="1010"/>
      <c r="Q173" s="1010"/>
      <c r="R173" s="1010"/>
      <c r="S173" s="1010"/>
      <c r="T173" s="1010"/>
      <c r="U173" s="1010"/>
      <c r="V173" s="1010"/>
      <c r="W173" s="1010"/>
      <c r="X173" s="1010"/>
      <c r="Y173" s="1010"/>
      <c r="Z173" s="1010"/>
      <c r="AA173" s="1010"/>
      <c r="AB173" s="1010"/>
      <c r="AC173" s="1010"/>
      <c r="AD173" s="1010"/>
      <c r="AE173" s="1010"/>
      <c r="AF173" s="1010"/>
      <c r="AG173" s="1010"/>
      <c r="AH173" s="1010"/>
      <c r="AI173" s="1010"/>
      <c r="AJ173" s="1010"/>
    </row>
    <row r="174" spans="1:36">
      <c r="A174" s="1010"/>
      <c r="B174" s="1012" t="s">
        <v>1180</v>
      </c>
      <c r="C174" s="1010"/>
      <c r="D174" s="1011" t="s">
        <v>1192</v>
      </c>
      <c r="E174" s="1011" t="s">
        <v>1190</v>
      </c>
      <c r="F174" s="1011" t="s">
        <v>1193</v>
      </c>
      <c r="G174" s="1011" t="s">
        <v>1191</v>
      </c>
      <c r="H174" s="1010"/>
      <c r="I174" s="1010"/>
      <c r="J174" s="1010"/>
      <c r="K174" s="1010"/>
      <c r="L174" s="1010"/>
      <c r="M174" s="1011"/>
      <c r="N174" s="1011"/>
      <c r="O174" s="1010"/>
      <c r="P174" s="1010"/>
      <c r="Q174" s="1010"/>
      <c r="R174" s="1010"/>
      <c r="S174" s="1010"/>
      <c r="T174" s="1010"/>
      <c r="U174" s="1010"/>
      <c r="V174" s="1010"/>
      <c r="W174" s="1010"/>
      <c r="X174" s="1010"/>
      <c r="Y174" s="1010"/>
      <c r="Z174" s="1010"/>
      <c r="AA174" s="1010"/>
      <c r="AB174" s="1010"/>
      <c r="AC174" s="1010"/>
      <c r="AD174" s="1010"/>
      <c r="AE174" s="1010"/>
      <c r="AF174" s="1010"/>
      <c r="AG174" s="1010"/>
      <c r="AH174" s="1010"/>
      <c r="AI174" s="1010"/>
      <c r="AJ174" s="1010"/>
    </row>
    <row r="175" spans="1:36">
      <c r="A175" s="1010"/>
      <c r="B175">
        <v>0</v>
      </c>
      <c r="C175" s="1013" t="s">
        <v>1181</v>
      </c>
      <c r="D175" s="1026">
        <f>+K51</f>
        <v>2.4111382454761561</v>
      </c>
      <c r="E175" s="1026">
        <f>+D175</f>
        <v>2.4111382454761561</v>
      </c>
      <c r="F175" s="1026"/>
      <c r="G175" s="1026"/>
      <c r="H175" s="1010"/>
      <c r="I175" s="1010"/>
      <c r="J175" s="1010"/>
      <c r="K175" s="1010"/>
      <c r="L175" s="1010"/>
      <c r="M175" s="1141"/>
      <c r="N175" s="1141"/>
      <c r="O175" s="1010"/>
      <c r="P175" s="1010"/>
      <c r="Q175" s="1010"/>
      <c r="R175" s="1010"/>
      <c r="S175" s="1010"/>
      <c r="T175" s="1010"/>
      <c r="U175" s="1010"/>
      <c r="V175" s="1010"/>
      <c r="W175" s="1010"/>
      <c r="X175" s="1010"/>
      <c r="Y175" s="1010"/>
      <c r="Z175" s="1010"/>
      <c r="AA175" s="1010"/>
      <c r="AB175" s="1010"/>
      <c r="AC175" s="1010"/>
      <c r="AD175" s="1010"/>
      <c r="AE175" s="1010"/>
      <c r="AF175" s="1010"/>
      <c r="AG175" s="1010"/>
      <c r="AH175" s="1010"/>
      <c r="AI175" s="1010"/>
      <c r="AJ175" s="1010"/>
    </row>
    <row r="176" spans="1:36">
      <c r="A176" s="1010"/>
      <c r="B176" s="1010">
        <v>1</v>
      </c>
      <c r="C176" s="1014" t="str">
        <f ca="1">OFFSET($B$50,0,MATCH($B176,$C$72:$I$72,0))&amp;
IF(OFFSET($F$2,MATCH($B176,$C$72:$I$72,0),0)&lt;1,
"
= "&amp;OFFSET($F$2,MATCH($B176,$C$72:$I$72,0),0)*100-100,
"
= +"&amp;OFFSET($F$2,MATCH($B176,$C$72:$I$72,0),0)*100-100)
&amp;"%"</f>
        <v>Feedstock consumption (% of most likely value)
= -5%</v>
      </c>
      <c r="D176" s="1026">
        <f>+K66</f>
        <v>2.3412960583840761</v>
      </c>
      <c r="E176" s="1026">
        <f t="shared" ref="E176:E181" si="87">+E175+G175-F176</f>
        <v>2.3412960583840761</v>
      </c>
      <c r="F176" s="1026">
        <f>+MAX(D175-D176,0)</f>
        <v>6.984218709208001E-2</v>
      </c>
      <c r="G176" s="1026">
        <f>+MAX(D176-D175,0)</f>
        <v>0</v>
      </c>
      <c r="H176" s="1010"/>
      <c r="I176" s="1010"/>
      <c r="J176" s="1010"/>
      <c r="K176" s="1010"/>
      <c r="L176" s="1010"/>
      <c r="M176" s="1141"/>
      <c r="N176" s="1141"/>
      <c r="O176" s="1010"/>
      <c r="P176" s="1010"/>
      <c r="Q176" s="1010"/>
      <c r="R176" s="1010"/>
      <c r="S176" s="1010"/>
      <c r="T176" s="1010"/>
      <c r="U176" s="1010"/>
      <c r="V176" s="1010"/>
      <c r="W176" s="1010"/>
      <c r="X176" s="1010"/>
      <c r="Y176" s="1010"/>
      <c r="Z176" s="1010"/>
      <c r="AA176" s="1010"/>
      <c r="AB176" s="1010"/>
      <c r="AC176" s="1010"/>
      <c r="AD176" s="1010"/>
      <c r="AE176" s="1010"/>
      <c r="AF176" s="1010"/>
      <c r="AG176" s="1010"/>
      <c r="AH176" s="1010"/>
      <c r="AI176" s="1010"/>
      <c r="AJ176" s="1010"/>
    </row>
    <row r="177" spans="1:36">
      <c r="A177" s="1010"/>
      <c r="B177" s="1010">
        <v>2</v>
      </c>
      <c r="C177" s="1014" t="str">
        <f ca="1">OFFSET($B$50,0,MATCH($B177,$C$72:$I$72,0))&amp;
IF(OFFSET($F$2,MATCH($B177,$C$72:$I$72,0),0)&lt;1,
"
= "&amp;OFFSET($F$2,MATCH($B177,$C$72:$I$72,0),0)*100-100,
"
= +"&amp;OFFSET($F$2,MATCH($B177,$C$72:$I$72,0),0)*100-100)
&amp;"%"</f>
        <v>Operating capacity factor
= +5%</v>
      </c>
      <c r="D177" s="1026">
        <f>+K67</f>
        <v>2.3018773378992341</v>
      </c>
      <c r="E177" s="1026">
        <f t="shared" si="87"/>
        <v>2.3018773378992341</v>
      </c>
      <c r="F177" s="1026">
        <f>+MAX(D176-D177,0)</f>
        <v>3.9418720484841963E-2</v>
      </c>
      <c r="G177" s="1026">
        <f>+MAX(D177-D176,0)</f>
        <v>0</v>
      </c>
      <c r="H177" s="1010"/>
      <c r="I177" s="1010"/>
      <c r="J177" s="1010"/>
      <c r="K177" s="1010"/>
      <c r="L177" s="1010"/>
      <c r="M177" s="1141"/>
      <c r="N177" s="1141"/>
      <c r="O177" s="1010"/>
      <c r="P177" s="1010"/>
      <c r="Q177" s="1010"/>
      <c r="R177" s="1010"/>
      <c r="S177" s="1010"/>
      <c r="T177" s="1010"/>
      <c r="U177" s="1010"/>
      <c r="V177" s="1010"/>
      <c r="W177" s="1010"/>
      <c r="X177" s="1010"/>
      <c r="Y177" s="1010"/>
      <c r="Z177" s="1010"/>
      <c r="AA177" s="1010"/>
      <c r="AB177" s="1010"/>
      <c r="AC177" s="1010"/>
      <c r="AD177" s="1010"/>
      <c r="AE177" s="1010"/>
      <c r="AF177" s="1010"/>
      <c r="AG177" s="1010"/>
      <c r="AH177" s="1010"/>
      <c r="AI177" s="1010"/>
      <c r="AJ177" s="1010"/>
    </row>
    <row r="178" spans="1:36">
      <c r="A178" s="1010"/>
      <c r="B178" s="1010">
        <v>3</v>
      </c>
      <c r="C178" s="1014" t="str">
        <f ca="1">OFFSET($B$50,0,MATCH($B178,$C$72:$I$72,0))&amp;
IF(OFFSET($F$2,MATCH($B178,$C$72:$I$72,0),0)&lt;1,
"
= "&amp;OFFSET($F$2,MATCH($B178,$C$72:$I$72,0),0)*100-100,
"
= +"&amp;OFFSET($F$2,MATCH($B178,$C$72:$I$72,0),0)*100-100)
&amp;"%"</f>
        <v>Total capital investment ($)
= -5%</v>
      </c>
      <c r="D178" s="1026">
        <f>+K68</f>
        <v>2.2855428569558001</v>
      </c>
      <c r="E178" s="1026">
        <f t="shared" si="87"/>
        <v>2.2855428569558001</v>
      </c>
      <c r="F178" s="1026">
        <f>+MAX(D177-D178,0)</f>
        <v>1.6334480943434038E-2</v>
      </c>
      <c r="G178" s="1026">
        <f>+MAX(D178-D177,0)</f>
        <v>0</v>
      </c>
      <c r="H178" s="1010"/>
      <c r="I178" s="1010"/>
      <c r="J178" s="1010"/>
      <c r="K178" s="1010"/>
      <c r="L178" s="1010"/>
      <c r="M178" s="1141"/>
      <c r="N178" s="1141"/>
      <c r="O178" s="1010"/>
      <c r="P178" s="1010"/>
      <c r="Q178" s="1010"/>
      <c r="R178" s="1010"/>
      <c r="S178" s="1010"/>
      <c r="T178" s="1010"/>
      <c r="U178" s="1010"/>
      <c r="V178" s="1010"/>
      <c r="W178" s="1010"/>
      <c r="X178" s="1010"/>
      <c r="Y178" s="1010"/>
      <c r="Z178" s="1010"/>
      <c r="AA178" s="1010"/>
      <c r="AB178" s="1010"/>
      <c r="AC178" s="1010"/>
      <c r="AD178" s="1010"/>
      <c r="AE178" s="1010"/>
      <c r="AF178" s="1010"/>
      <c r="AG178" s="1010"/>
      <c r="AH178" s="1010"/>
      <c r="AI178" s="1010"/>
      <c r="AJ178" s="1010"/>
    </row>
    <row r="179" spans="1:36">
      <c r="A179" s="1010"/>
      <c r="B179" s="1010">
        <v>4</v>
      </c>
      <c r="C179" s="1014" t="str">
        <f ca="1">OFFSET($B$50,0,MATCH($B179,$C$72:$I$72,0))&amp;
IF(OFFSET($F$2,MATCH($B179,$C$72:$I$72,0),0)&lt;1,
"
= "&amp;OFFSET($F$2,MATCH($B179,$C$72:$I$72,0),0)*100-100,
"
= +"&amp;OFFSET($F$2,MATCH($B179,$C$72:$I$72,0),0)*100-100)
&amp;"%"</f>
        <v>Total fixed operating cost ($/year)
= -5%</v>
      </c>
      <c r="D179" s="1026">
        <f>+K69</f>
        <v>2.2732075260076887</v>
      </c>
      <c r="E179" s="1026">
        <f t="shared" si="87"/>
        <v>2.2732075260076887</v>
      </c>
      <c r="F179" s="1026">
        <f>+MAX(D178-D179,0)</f>
        <v>1.2335330948111345E-2</v>
      </c>
      <c r="G179" s="1026">
        <f>+MAX(D179-D178,0)</f>
        <v>0</v>
      </c>
      <c r="H179" s="1010"/>
      <c r="I179" s="1010"/>
      <c r="J179" s="1010"/>
      <c r="K179" s="1010"/>
      <c r="L179" s="1010"/>
      <c r="M179" s="1141"/>
      <c r="N179" s="1141"/>
      <c r="O179" s="1010"/>
      <c r="P179" s="1010"/>
      <c r="Q179" s="1010"/>
      <c r="R179" s="1010"/>
      <c r="S179" s="1010"/>
      <c r="T179" s="1010"/>
      <c r="U179" s="1010"/>
      <c r="V179" s="1010"/>
      <c r="W179" s="1010"/>
      <c r="X179" s="1010"/>
      <c r="Y179" s="1010"/>
      <c r="Z179" s="1010"/>
      <c r="AA179" s="1010"/>
      <c r="AB179" s="1010"/>
      <c r="AC179" s="1010"/>
      <c r="AD179" s="1010"/>
      <c r="AE179" s="1010"/>
      <c r="AF179" s="1010"/>
      <c r="AG179" s="1010"/>
      <c r="AH179" s="1010"/>
      <c r="AI179" s="1010"/>
      <c r="AJ179" s="1010"/>
    </row>
    <row r="180" spans="1:36">
      <c r="A180" s="1010"/>
      <c r="B180" s="1010">
        <v>5</v>
      </c>
      <c r="C180" s="1014" t="str">
        <f ca="1">OFFSET($B$50,0,MATCH($B180,$C$72:$I$72,0))&amp;
IF(OFFSET($F$2,MATCH($B180,$C$72:$I$72,0),0)&lt;1,
"
= "&amp;OFFSET($F$2,MATCH($B180,$C$72:$I$72,0),0)*100-100,
"
= +"&amp;OFFSET($F$2,MATCH($B180,$C$72:$I$72,0),0)*100-100)
&amp;"%"</f>
        <v>Utilities consumption (% of most likely value)
= -5%</v>
      </c>
      <c r="D180" s="1026">
        <f>+K70</f>
        <v>2.264512131780974</v>
      </c>
      <c r="E180" s="1026">
        <f t="shared" si="87"/>
        <v>2.264512131780974</v>
      </c>
      <c r="F180" s="1026">
        <f>+MAX(D179-D180,0)</f>
        <v>8.6953942267147255E-3</v>
      </c>
      <c r="G180" s="1026">
        <f>+MAX(D180-D179,0)</f>
        <v>0</v>
      </c>
      <c r="H180" s="1010"/>
      <c r="I180" s="1010"/>
      <c r="J180" s="1010"/>
      <c r="K180" s="1010"/>
      <c r="L180" s="1010"/>
      <c r="M180" s="1141"/>
      <c r="N180" s="1141"/>
      <c r="O180" s="1010"/>
      <c r="P180" s="1010"/>
      <c r="Q180" s="1010"/>
      <c r="R180" s="1010"/>
      <c r="S180" s="1010"/>
      <c r="T180" s="1010"/>
      <c r="U180" s="1010"/>
      <c r="V180" s="1010"/>
      <c r="W180" s="1010"/>
      <c r="X180" s="1010"/>
      <c r="Y180" s="1010"/>
      <c r="Z180" s="1010"/>
      <c r="AA180" s="1010"/>
      <c r="AB180" s="1010"/>
      <c r="AC180" s="1010"/>
      <c r="AD180" s="1010"/>
      <c r="AE180" s="1010"/>
      <c r="AF180" s="1010"/>
      <c r="AG180" s="1010"/>
      <c r="AH180" s="1010"/>
      <c r="AI180" s="1010"/>
      <c r="AJ180" s="1010"/>
    </row>
    <row r="181" spans="1:36">
      <c r="A181" s="1010"/>
      <c r="B181" s="1010">
        <v>6</v>
      </c>
      <c r="C181" s="1013" t="s">
        <v>1188</v>
      </c>
      <c r="D181" s="1026">
        <f>+K70</f>
        <v>2.264512131780974</v>
      </c>
      <c r="E181" s="1026">
        <f t="shared" si="87"/>
        <v>2.264512131780974</v>
      </c>
      <c r="F181" s="1026"/>
      <c r="G181" s="1026"/>
      <c r="H181" s="1010"/>
      <c r="I181" s="1010"/>
      <c r="J181" s="1010"/>
      <c r="K181" s="1010"/>
      <c r="L181" s="1010"/>
      <c r="M181" s="1141"/>
      <c r="N181" s="1141"/>
      <c r="O181" s="1010"/>
      <c r="P181" s="1010"/>
      <c r="Q181" s="1010"/>
      <c r="R181" s="1010"/>
      <c r="S181" s="1010"/>
      <c r="T181" s="1010"/>
      <c r="U181" s="1010"/>
      <c r="V181" s="1010"/>
      <c r="W181" s="1010"/>
      <c r="X181" s="1010"/>
      <c r="Y181" s="1010"/>
      <c r="Z181" s="1010"/>
      <c r="AA181" s="1010"/>
      <c r="AB181" s="1010"/>
      <c r="AC181" s="1010"/>
      <c r="AD181" s="1010"/>
      <c r="AE181" s="1010"/>
      <c r="AF181" s="1010"/>
      <c r="AG181" s="1010"/>
      <c r="AH181" s="1010"/>
      <c r="AI181" s="1010"/>
      <c r="AJ181" s="1010"/>
    </row>
    <row r="182" spans="1:36">
      <c r="A182" s="1010"/>
      <c r="B182" s="1010"/>
      <c r="C182" s="1010"/>
      <c r="D182" s="1010"/>
      <c r="E182" s="1010"/>
      <c r="F182" s="1010"/>
      <c r="G182" s="1010"/>
      <c r="H182" s="1010"/>
      <c r="I182" s="1010"/>
      <c r="J182" s="1010"/>
      <c r="K182" s="1010"/>
      <c r="L182" s="1010"/>
      <c r="M182" s="1010"/>
      <c r="N182" s="1010"/>
      <c r="O182" s="1010"/>
      <c r="P182" s="1010"/>
      <c r="Q182" s="1010"/>
      <c r="R182" s="1010"/>
      <c r="S182" s="1010"/>
      <c r="T182" s="1010"/>
      <c r="U182" s="1010"/>
      <c r="V182" s="1010"/>
      <c r="W182" s="1010"/>
      <c r="X182" s="1010"/>
      <c r="Y182" s="1010"/>
      <c r="Z182" s="1010"/>
      <c r="AA182" s="1010"/>
      <c r="AB182" s="1010"/>
      <c r="AC182" s="1010"/>
      <c r="AD182" s="1010"/>
      <c r="AE182" s="1010"/>
      <c r="AF182" s="1010"/>
      <c r="AG182" s="1010"/>
      <c r="AH182" s="1010"/>
      <c r="AI182" s="1010"/>
      <c r="AJ182" s="1010"/>
    </row>
    <row r="183" spans="1:36">
      <c r="A183" s="1010"/>
      <c r="B183" s="1010"/>
      <c r="C183" s="1010"/>
      <c r="D183" s="1010"/>
      <c r="E183" s="1010"/>
      <c r="F183" s="1010"/>
      <c r="G183" s="1010"/>
      <c r="H183" s="1010"/>
      <c r="I183" s="1010"/>
      <c r="J183" s="1010"/>
      <c r="K183" s="1010"/>
      <c r="L183" s="1010"/>
      <c r="M183" s="1010"/>
      <c r="N183" s="1010"/>
      <c r="O183" s="1010"/>
      <c r="P183" s="1010"/>
      <c r="Q183" s="1010"/>
      <c r="R183" s="1010"/>
      <c r="S183" s="1010"/>
      <c r="T183" s="1010"/>
      <c r="U183" s="1010"/>
      <c r="V183" s="1010"/>
      <c r="W183" s="1010"/>
      <c r="X183" s="1010"/>
      <c r="Y183" s="1010"/>
      <c r="Z183" s="1010"/>
      <c r="AA183" s="1010"/>
      <c r="AB183" s="1010"/>
      <c r="AC183" s="1010"/>
      <c r="AD183" s="1010"/>
      <c r="AE183" s="1010"/>
      <c r="AF183" s="1010"/>
      <c r="AG183" s="1010"/>
      <c r="AH183" s="1010"/>
      <c r="AI183" s="1010"/>
      <c r="AJ183" s="1010"/>
    </row>
    <row r="184" spans="1:36">
      <c r="A184" s="1010"/>
      <c r="B184" s="1010"/>
      <c r="C184" s="1010"/>
      <c r="D184" s="1010"/>
      <c r="E184" s="1010"/>
      <c r="F184" s="1010"/>
      <c r="G184" s="1010"/>
      <c r="H184" s="1010"/>
      <c r="I184" s="1010"/>
      <c r="J184" s="1010"/>
      <c r="K184" s="1010"/>
      <c r="L184" s="1010"/>
      <c r="M184" s="1010"/>
      <c r="N184" s="1010"/>
      <c r="O184" s="1010"/>
      <c r="P184" s="1010"/>
      <c r="Q184" s="1010"/>
      <c r="R184" s="1010"/>
      <c r="S184" s="1010"/>
      <c r="T184" s="1010"/>
      <c r="U184" s="1010"/>
      <c r="V184" s="1010"/>
      <c r="W184" s="1010"/>
      <c r="X184" s="1010"/>
      <c r="Y184" s="1010"/>
      <c r="Z184" s="1010"/>
      <c r="AA184" s="1010"/>
      <c r="AB184" s="1010"/>
      <c r="AC184" s="1010"/>
      <c r="AD184" s="1010"/>
      <c r="AE184" s="1010"/>
      <c r="AF184" s="1010"/>
      <c r="AG184" s="1010"/>
      <c r="AH184" s="1010"/>
      <c r="AI184" s="1010"/>
      <c r="AJ184" s="1010"/>
    </row>
    <row r="185" spans="1:36">
      <c r="A185" s="1010"/>
      <c r="B185" s="1010"/>
      <c r="C185" s="1010"/>
      <c r="D185" s="1010"/>
      <c r="E185" s="1010"/>
      <c r="F185" s="1010"/>
      <c r="G185" s="1010"/>
      <c r="H185" s="1010"/>
      <c r="I185" s="1010"/>
      <c r="J185" s="1010"/>
      <c r="K185" s="1010"/>
      <c r="L185" s="1010"/>
      <c r="M185" s="1010"/>
      <c r="N185" s="1010"/>
      <c r="O185" s="1010"/>
      <c r="P185" s="1010"/>
      <c r="Q185" s="1010"/>
      <c r="R185" s="1010"/>
      <c r="S185" s="1010"/>
      <c r="T185" s="1010"/>
      <c r="U185" s="1010"/>
      <c r="V185" s="1010"/>
      <c r="W185" s="1010"/>
      <c r="X185" s="1010"/>
      <c r="Y185" s="1010"/>
      <c r="Z185" s="1010"/>
      <c r="AA185" s="1010"/>
      <c r="AB185" s="1010"/>
      <c r="AC185" s="1010"/>
      <c r="AD185" s="1010"/>
      <c r="AE185" s="1010"/>
      <c r="AF185" s="1010"/>
      <c r="AG185" s="1010"/>
      <c r="AH185" s="1010"/>
      <c r="AI185" s="1010"/>
      <c r="AJ185" s="1010"/>
    </row>
    <row r="186" spans="1:36">
      <c r="A186" s="1010"/>
      <c r="B186" s="1010"/>
      <c r="C186" s="1010"/>
      <c r="D186" s="1010"/>
      <c r="E186" s="1010"/>
      <c r="F186" s="1010"/>
      <c r="G186" s="1010"/>
      <c r="H186" s="1010"/>
      <c r="I186" s="1010"/>
      <c r="J186" s="1010"/>
      <c r="K186" s="1010"/>
      <c r="L186" s="1010"/>
      <c r="M186" s="1010"/>
      <c r="N186" s="1010"/>
      <c r="O186" s="1010"/>
      <c r="P186" s="1010"/>
      <c r="Q186" s="1010"/>
      <c r="R186" s="1010"/>
      <c r="S186" s="1010"/>
      <c r="T186" s="1010"/>
      <c r="U186" s="1010"/>
      <c r="V186" s="1010"/>
      <c r="W186" s="1010"/>
      <c r="X186" s="1010"/>
      <c r="Y186" s="1010"/>
      <c r="Z186" s="1010"/>
      <c r="AA186" s="1010"/>
      <c r="AB186" s="1010"/>
      <c r="AC186" s="1010"/>
      <c r="AD186" s="1010"/>
      <c r="AE186" s="1010"/>
      <c r="AF186" s="1010"/>
      <c r="AG186" s="1010"/>
      <c r="AH186" s="1010"/>
      <c r="AI186" s="1010"/>
      <c r="AJ186" s="1010"/>
    </row>
    <row r="187" spans="1:36">
      <c r="A187" s="1010"/>
      <c r="B187" s="1010"/>
      <c r="C187" s="1010"/>
      <c r="D187" s="1010"/>
      <c r="E187" s="1010"/>
      <c r="F187" s="1010"/>
      <c r="G187" s="1010"/>
      <c r="H187" s="1010"/>
      <c r="I187" s="1010"/>
      <c r="J187" s="1010"/>
      <c r="K187" s="1010"/>
      <c r="L187" s="1010"/>
      <c r="M187" s="1010"/>
      <c r="N187" s="1010"/>
      <c r="O187" s="1010"/>
      <c r="P187" s="1010"/>
      <c r="Q187" s="1010"/>
      <c r="R187" s="1010"/>
      <c r="S187" s="1010"/>
      <c r="T187" s="1010"/>
      <c r="U187" s="1010"/>
      <c r="V187" s="1010"/>
      <c r="W187" s="1010"/>
      <c r="X187" s="1010"/>
      <c r="Y187" s="1010"/>
      <c r="Z187" s="1010"/>
      <c r="AA187" s="1010"/>
      <c r="AB187" s="1010"/>
      <c r="AC187" s="1010"/>
      <c r="AD187" s="1010"/>
      <c r="AE187" s="1010"/>
      <c r="AF187" s="1010"/>
      <c r="AG187" s="1010"/>
      <c r="AH187" s="1010"/>
      <c r="AI187" s="1010"/>
      <c r="AJ187" s="1010"/>
    </row>
    <row r="188" spans="1:36">
      <c r="A188" s="1010"/>
      <c r="B188" s="1010"/>
      <c r="C188" s="1010"/>
      <c r="D188" s="1010"/>
      <c r="E188" s="1010"/>
      <c r="F188" s="1010"/>
      <c r="G188" s="1010"/>
      <c r="H188" s="1010"/>
      <c r="I188" s="1010"/>
      <c r="J188" s="1010"/>
      <c r="K188" s="1010"/>
      <c r="L188" s="1010"/>
      <c r="M188" s="1010"/>
      <c r="N188" s="1010"/>
      <c r="O188" s="1010"/>
      <c r="P188" s="1010"/>
      <c r="Q188" s="1010"/>
      <c r="R188" s="1010"/>
      <c r="S188" s="1010"/>
      <c r="T188" s="1010"/>
      <c r="U188" s="1010"/>
      <c r="V188" s="1010"/>
      <c r="W188" s="1010"/>
      <c r="X188" s="1010"/>
      <c r="Y188" s="1010"/>
      <c r="Z188" s="1010"/>
      <c r="AA188" s="1010"/>
      <c r="AB188" s="1010"/>
      <c r="AC188" s="1010"/>
      <c r="AD188" s="1010"/>
      <c r="AE188" s="1010"/>
      <c r="AF188" s="1010"/>
      <c r="AG188" s="1010"/>
      <c r="AH188" s="1010"/>
      <c r="AI188" s="1010"/>
      <c r="AJ188" s="1010"/>
    </row>
    <row r="189" spans="1:36">
      <c r="A189" s="1010"/>
      <c r="B189" s="1347" t="s">
        <v>1298</v>
      </c>
      <c r="C189" s="1348">
        <f>+MIN(F3:G3)</f>
        <v>0.95</v>
      </c>
      <c r="D189" s="1348">
        <f>+MIN(F4:G4)</f>
        <v>0.95</v>
      </c>
      <c r="E189" s="1348">
        <f>+MIN(F5:G5)</f>
        <v>0.95</v>
      </c>
      <c r="F189" s="1348">
        <f>+MIN(F6:G6)</f>
        <v>0.95</v>
      </c>
      <c r="G189" s="1348">
        <f>+MIN(F7:G7)</f>
        <v>0.95</v>
      </c>
      <c r="H189" s="1348">
        <f>+MIN(F8:G8)</f>
        <v>0.95</v>
      </c>
      <c r="I189" s="1348">
        <f>+MIN(F9:G9)</f>
        <v>0.95</v>
      </c>
      <c r="J189" s="1010"/>
      <c r="K189" s="1010"/>
      <c r="L189" s="1010"/>
      <c r="M189" s="1010"/>
      <c r="N189" s="1010"/>
      <c r="O189" s="1010"/>
      <c r="P189" s="1010"/>
      <c r="Q189" s="1010"/>
      <c r="R189" s="1010"/>
      <c r="S189" s="1010"/>
      <c r="T189" s="1010"/>
      <c r="U189" s="1010"/>
      <c r="V189" s="1010"/>
      <c r="W189" s="1010"/>
      <c r="X189" s="1010"/>
      <c r="Y189" s="1010"/>
      <c r="Z189" s="1010"/>
      <c r="AA189" s="1010"/>
      <c r="AB189" s="1010"/>
      <c r="AC189" s="1010"/>
      <c r="AD189" s="1010"/>
      <c r="AE189" s="1010"/>
      <c r="AF189" s="1010"/>
      <c r="AG189" s="1010"/>
      <c r="AH189" s="1010"/>
      <c r="AI189" s="1010"/>
      <c r="AJ189" s="1010"/>
    </row>
    <row r="190" spans="1:36">
      <c r="A190" s="1010"/>
      <c r="B190" s="1347" t="s">
        <v>1300</v>
      </c>
      <c r="C190" s="1349">
        <v>1</v>
      </c>
      <c r="D190" s="1349">
        <v>1</v>
      </c>
      <c r="E190" s="1349">
        <v>1</v>
      </c>
      <c r="F190" s="1349">
        <v>1</v>
      </c>
      <c r="G190" s="1349">
        <v>1</v>
      </c>
      <c r="H190" s="1349">
        <v>1</v>
      </c>
      <c r="I190" s="1349">
        <v>1</v>
      </c>
      <c r="J190" s="1010"/>
      <c r="K190" s="1010"/>
      <c r="L190" s="1010"/>
      <c r="M190" s="1010"/>
      <c r="N190" s="1010"/>
      <c r="O190" s="1010"/>
      <c r="P190" s="1010"/>
      <c r="Q190" s="1010"/>
      <c r="R190" s="1010"/>
      <c r="S190" s="1010"/>
      <c r="T190" s="1010"/>
      <c r="U190" s="1010"/>
      <c r="V190" s="1010"/>
      <c r="W190" s="1010"/>
      <c r="X190" s="1010"/>
      <c r="Y190" s="1010"/>
      <c r="Z190" s="1010"/>
      <c r="AA190" s="1010"/>
      <c r="AB190" s="1010"/>
      <c r="AC190" s="1010"/>
      <c r="AD190" s="1010"/>
      <c r="AE190" s="1010"/>
      <c r="AF190" s="1010"/>
      <c r="AG190" s="1010"/>
      <c r="AH190" s="1010"/>
      <c r="AI190" s="1010"/>
      <c r="AJ190" s="1010"/>
    </row>
    <row r="191" spans="1:36">
      <c r="A191" s="1010"/>
      <c r="B191" s="1347" t="s">
        <v>1299</v>
      </c>
      <c r="C191" s="1348">
        <f>+MAX(F3:G3)</f>
        <v>1.05</v>
      </c>
      <c r="D191" s="1348">
        <f>+MAX(F4:G4)</f>
        <v>1.05</v>
      </c>
      <c r="E191" s="1348">
        <f>+MAX(F5:G5)</f>
        <v>1.05</v>
      </c>
      <c r="F191" s="1348">
        <f>+MAX(F6:G6)</f>
        <v>1.05</v>
      </c>
      <c r="G191" s="1348">
        <f>+MAX(F7:G7)</f>
        <v>1.05</v>
      </c>
      <c r="H191" s="1348">
        <f>+MAX(F8:G8)</f>
        <v>1.05</v>
      </c>
      <c r="I191" s="1348">
        <f>+MAX(F9:G9)</f>
        <v>1.05</v>
      </c>
      <c r="J191" s="1010"/>
      <c r="K191" s="1010"/>
      <c r="L191" s="1010"/>
      <c r="M191" s="1010"/>
      <c r="N191" s="1010"/>
      <c r="O191" s="1010"/>
      <c r="P191" s="1010"/>
      <c r="Q191" s="1010"/>
      <c r="R191" s="1010"/>
      <c r="S191" s="1010"/>
      <c r="T191" s="1010"/>
      <c r="U191" s="1010"/>
      <c r="V191" s="1010"/>
      <c r="W191" s="1010"/>
      <c r="X191" s="1010"/>
      <c r="Y191" s="1010"/>
      <c r="Z191" s="1010"/>
      <c r="AA191" s="1010"/>
      <c r="AB191" s="1010"/>
      <c r="AC191" s="1010"/>
      <c r="AD191" s="1010"/>
      <c r="AE191" s="1010"/>
      <c r="AF191" s="1010"/>
      <c r="AG191" s="1010"/>
      <c r="AH191" s="1010"/>
      <c r="AI191" s="1010"/>
      <c r="AJ191" s="1010"/>
    </row>
    <row r="192" spans="1:36">
      <c r="A192" s="1010"/>
      <c r="B192" s="1010"/>
      <c r="C192" s="1010"/>
      <c r="D192" s="1010"/>
      <c r="E192" s="1010"/>
      <c r="F192" s="1010"/>
      <c r="G192" s="1010"/>
      <c r="H192" s="1010"/>
      <c r="I192" s="1010"/>
      <c r="J192" s="1010"/>
      <c r="K192" s="1010"/>
      <c r="L192" s="1010"/>
      <c r="M192" s="1010"/>
      <c r="N192" s="1010"/>
      <c r="O192" s="1010"/>
      <c r="P192" s="1010"/>
      <c r="Q192" s="1010"/>
      <c r="R192" s="1010"/>
      <c r="S192" s="1010"/>
      <c r="T192" s="1010"/>
      <c r="U192" s="1010"/>
      <c r="V192" s="1010"/>
      <c r="W192" s="1010"/>
      <c r="X192" s="1010"/>
      <c r="Y192" s="1010"/>
      <c r="Z192" s="1010"/>
      <c r="AA192" s="1010"/>
      <c r="AB192" s="1010"/>
      <c r="AC192" s="1010"/>
      <c r="AD192" s="1010"/>
      <c r="AE192" s="1010"/>
      <c r="AF192" s="1010"/>
      <c r="AG192" s="1010"/>
      <c r="AH192" s="1010"/>
      <c r="AI192" s="1010"/>
      <c r="AJ192" s="1010"/>
    </row>
    <row r="193" spans="1:36">
      <c r="A193" s="1010"/>
      <c r="B193" s="1010"/>
      <c r="C193" s="1010"/>
      <c r="D193" s="1010"/>
      <c r="E193" s="1010"/>
      <c r="F193" s="1010"/>
      <c r="G193" s="1010"/>
      <c r="H193" s="1010"/>
      <c r="I193" s="1010"/>
      <c r="J193" s="1010"/>
      <c r="K193" s="1010"/>
      <c r="L193" s="1010"/>
      <c r="M193" s="1010"/>
      <c r="N193" s="1010"/>
      <c r="O193" s="1010"/>
      <c r="P193" s="1010"/>
      <c r="Q193" s="1010"/>
      <c r="R193" s="1010"/>
      <c r="S193" s="1010"/>
      <c r="T193" s="1010"/>
      <c r="U193" s="1010"/>
      <c r="V193" s="1010"/>
      <c r="W193" s="1010"/>
      <c r="X193" s="1010"/>
      <c r="Y193" s="1010"/>
      <c r="Z193" s="1010"/>
      <c r="AA193" s="1010"/>
      <c r="AB193" s="1010"/>
      <c r="AC193" s="1010"/>
      <c r="AD193" s="1010"/>
      <c r="AE193" s="1010"/>
      <c r="AF193" s="1010"/>
      <c r="AG193" s="1010"/>
      <c r="AH193" s="1010"/>
      <c r="AI193" s="1010"/>
      <c r="AJ193" s="1010"/>
    </row>
    <row r="194" spans="1:36">
      <c r="A194" s="1010"/>
      <c r="B194" s="1011" t="s">
        <v>1306</v>
      </c>
      <c r="C194" s="1010">
        <f>+MATCH(R12,C50:Y50,0)</f>
        <v>9</v>
      </c>
      <c r="D194" s="1010"/>
      <c r="E194" s="1010"/>
      <c r="F194" s="1010"/>
      <c r="G194" s="1010"/>
      <c r="H194" s="1010"/>
      <c r="I194" s="1010"/>
      <c r="J194" s="1010"/>
      <c r="K194" s="1010"/>
      <c r="L194" s="1010"/>
      <c r="M194" s="1010"/>
      <c r="N194" s="1010"/>
      <c r="O194" s="1010"/>
      <c r="P194" s="1010"/>
      <c r="Q194" s="1010"/>
      <c r="R194" s="1010"/>
      <c r="S194" s="1010"/>
      <c r="T194" s="1010"/>
      <c r="U194" s="1010"/>
      <c r="V194" s="1010"/>
      <c r="W194" s="1010"/>
      <c r="X194" s="1010"/>
      <c r="Y194" s="1010"/>
      <c r="Z194" s="1010"/>
      <c r="AA194" s="1010"/>
      <c r="AB194" s="1010"/>
      <c r="AC194" s="1010"/>
      <c r="AD194" s="1010"/>
      <c r="AE194" s="1010"/>
      <c r="AF194" s="1010"/>
      <c r="AG194" s="1010"/>
      <c r="AH194" s="1010"/>
      <c r="AI194" s="1010"/>
      <c r="AJ194" s="1010"/>
    </row>
    <row r="195" spans="1:36">
      <c r="A195" s="1010"/>
      <c r="B195" s="1011" t="s">
        <v>1302</v>
      </c>
      <c r="C195" s="1010">
        <f ca="1">+MIN(OFFSET($B$251:$B$2250,0,C194))</f>
        <v>2.2951276327014232</v>
      </c>
      <c r="D195" s="1010"/>
      <c r="E195" s="1010"/>
      <c r="F195" s="1010"/>
      <c r="G195" s="1010"/>
      <c r="H195" s="1010"/>
      <c r="I195" s="1010"/>
      <c r="J195" s="1010"/>
      <c r="K195" s="1010"/>
      <c r="L195" s="1010"/>
      <c r="M195" s="1010"/>
      <c r="N195" s="1010"/>
      <c r="O195" s="1010"/>
      <c r="P195" s="1010"/>
      <c r="Q195" s="1010"/>
      <c r="R195" s="1010"/>
      <c r="S195" s="1010"/>
      <c r="T195" s="1010"/>
      <c r="U195" s="1010"/>
      <c r="V195" s="1010"/>
      <c r="W195" s="1010"/>
      <c r="X195" s="1010"/>
      <c r="Y195" s="1010"/>
      <c r="Z195" s="1010"/>
      <c r="AA195" s="1010"/>
      <c r="AB195" s="1010"/>
      <c r="AC195" s="1010"/>
      <c r="AD195" s="1010"/>
      <c r="AE195" s="1010"/>
      <c r="AF195" s="1010"/>
      <c r="AG195" s="1010"/>
      <c r="AH195" s="1010"/>
      <c r="AI195" s="1010"/>
      <c r="AJ195" s="1010"/>
    </row>
    <row r="196" spans="1:36">
      <c r="A196" s="1010"/>
      <c r="B196" s="1011" t="s">
        <v>1307</v>
      </c>
      <c r="C196" s="1010">
        <f ca="1">+MAX(OFFSET($B$251:$B$2250,0,C194))</f>
        <v>2.5255465534862158</v>
      </c>
      <c r="D196" s="1010"/>
      <c r="E196" s="1010"/>
      <c r="F196" s="1010"/>
      <c r="G196" s="1010"/>
      <c r="H196" s="1010"/>
      <c r="I196" s="1010"/>
      <c r="J196" s="1010"/>
      <c r="K196" s="1010"/>
      <c r="L196" s="1010"/>
      <c r="M196" s="1010"/>
      <c r="N196" s="1010"/>
      <c r="O196" s="1010"/>
      <c r="P196" s="1010"/>
      <c r="Q196" s="1010"/>
      <c r="R196" s="1010"/>
      <c r="S196" s="1010"/>
      <c r="T196" s="1010"/>
      <c r="U196" s="1010"/>
      <c r="V196" s="1010"/>
      <c r="W196" s="1010"/>
      <c r="X196" s="1010"/>
      <c r="Y196" s="1010"/>
      <c r="Z196" s="1010"/>
      <c r="AA196" s="1010"/>
      <c r="AB196" s="1010"/>
      <c r="AC196" s="1010"/>
      <c r="AD196" s="1010"/>
      <c r="AE196" s="1010"/>
      <c r="AF196" s="1010"/>
      <c r="AG196" s="1010"/>
      <c r="AH196" s="1010"/>
      <c r="AI196" s="1010"/>
      <c r="AJ196" s="1010"/>
    </row>
    <row r="197" spans="1:36">
      <c r="A197" s="1010"/>
      <c r="B197" s="1011" t="s">
        <v>1309</v>
      </c>
      <c r="C197" s="1010">
        <f ca="1">+C196-C195</f>
        <v>0.23041892078479265</v>
      </c>
      <c r="D197" s="1010"/>
      <c r="E197" s="1010"/>
      <c r="F197" s="1010"/>
      <c r="G197" s="1010"/>
      <c r="H197" s="1010"/>
      <c r="I197" s="1010"/>
      <c r="J197" s="1010"/>
      <c r="K197" s="1010"/>
      <c r="L197" s="1010"/>
      <c r="M197" s="1010"/>
      <c r="N197" s="1010"/>
      <c r="O197" s="1010"/>
      <c r="P197" s="1010"/>
      <c r="Q197" s="1010"/>
      <c r="R197" s="1010"/>
      <c r="S197" s="1010"/>
      <c r="T197" s="1010"/>
      <c r="U197" s="1010"/>
      <c r="V197" s="1010"/>
      <c r="W197" s="1010"/>
      <c r="X197" s="1010"/>
      <c r="Y197" s="1010"/>
      <c r="Z197" s="1010"/>
      <c r="AA197" s="1010"/>
      <c r="AB197" s="1010"/>
      <c r="AC197" s="1010"/>
      <c r="AD197" s="1010"/>
      <c r="AE197" s="1010"/>
      <c r="AF197" s="1010"/>
      <c r="AG197" s="1010"/>
      <c r="AH197" s="1010"/>
      <c r="AI197" s="1010"/>
      <c r="AJ197" s="1010"/>
    </row>
    <row r="198" spans="1:36">
      <c r="A198" s="1010"/>
      <c r="B198" s="1011" t="s">
        <v>1308</v>
      </c>
      <c r="C198" s="1010">
        <f ca="1">+OFFSET(B199,0,C194)</f>
        <v>1</v>
      </c>
      <c r="D198" s="1010"/>
      <c r="E198" s="1010"/>
      <c r="F198" s="1010"/>
      <c r="G198" s="1010"/>
      <c r="H198" s="1010"/>
      <c r="I198" s="1010"/>
      <c r="J198" s="1010"/>
      <c r="K198" s="1010"/>
      <c r="L198" s="1010"/>
      <c r="M198" s="1010"/>
      <c r="N198" s="1010"/>
      <c r="O198" s="1010"/>
      <c r="P198" s="1010"/>
      <c r="Q198" s="1010"/>
      <c r="R198" s="1010"/>
      <c r="S198" s="1010"/>
      <c r="T198" s="1010"/>
      <c r="U198" s="1010"/>
      <c r="V198" s="1010"/>
      <c r="W198" s="1010"/>
      <c r="X198" s="1010"/>
      <c r="Y198" s="1010"/>
      <c r="Z198" s="1010"/>
      <c r="AA198" s="1010"/>
      <c r="AB198" s="1010"/>
      <c r="AC198" s="1010"/>
      <c r="AD198" s="1010"/>
      <c r="AE198" s="1010"/>
      <c r="AF198" s="1010"/>
      <c r="AG198" s="1010"/>
      <c r="AH198" s="1010"/>
      <c r="AI198" s="1010"/>
      <c r="AJ198" s="1010"/>
    </row>
    <row r="199" spans="1:36">
      <c r="A199" s="1010"/>
      <c r="B199" s="1011" t="s">
        <v>1308</v>
      </c>
      <c r="C199" s="1345">
        <f>+C3</f>
        <v>0.97</v>
      </c>
      <c r="D199" s="1352">
        <f ca="1">+C4</f>
        <v>56499.999999999993</v>
      </c>
      <c r="E199" s="1345">
        <f ca="1">+C5</f>
        <v>0.08</v>
      </c>
      <c r="F199" s="1345">
        <f>+C6</f>
        <v>1</v>
      </c>
      <c r="G199" s="1345">
        <f>+C7</f>
        <v>1</v>
      </c>
      <c r="H199" s="1352">
        <f ca="1">+C8</f>
        <v>86410283.520000011</v>
      </c>
      <c r="I199" s="1352">
        <f ca="1">+C9</f>
        <v>4796493.3504000008</v>
      </c>
      <c r="J199" s="1010"/>
      <c r="K199" s="1010">
        <v>1</v>
      </c>
      <c r="L199" s="1010">
        <v>1</v>
      </c>
      <c r="M199" s="1010">
        <v>1</v>
      </c>
      <c r="N199" s="1010">
        <v>1</v>
      </c>
      <c r="O199" s="1010">
        <v>1</v>
      </c>
      <c r="P199" s="1010">
        <v>1</v>
      </c>
      <c r="Q199" s="1010">
        <v>1</v>
      </c>
      <c r="R199" s="1010">
        <v>1</v>
      </c>
      <c r="S199" s="1010">
        <v>1</v>
      </c>
      <c r="T199" s="1010">
        <v>1</v>
      </c>
      <c r="U199" s="1010">
        <v>1</v>
      </c>
      <c r="V199" s="1010">
        <v>1</v>
      </c>
      <c r="W199" s="1010">
        <v>1</v>
      </c>
      <c r="X199" s="1010">
        <v>1</v>
      </c>
      <c r="Y199" s="1010"/>
      <c r="Z199" s="1010"/>
      <c r="AA199" s="1010"/>
      <c r="AB199" s="1010"/>
      <c r="AC199" s="1010"/>
      <c r="AD199" s="1010"/>
      <c r="AE199" s="1010"/>
      <c r="AF199" s="1010"/>
      <c r="AG199" s="1010"/>
      <c r="AH199" s="1010"/>
      <c r="AI199" s="1010"/>
      <c r="AJ199" s="1010"/>
    </row>
    <row r="200" spans="1:36">
      <c r="A200" s="1010"/>
      <c r="B200" s="1011" t="s">
        <v>1305</v>
      </c>
      <c r="C200" s="1010"/>
      <c r="D200" s="1010"/>
      <c r="E200" s="1010"/>
      <c r="F200" s="1010"/>
      <c r="G200" s="1010"/>
      <c r="H200" s="1010"/>
      <c r="I200" s="1010"/>
      <c r="J200" s="1010"/>
      <c r="K200" s="1010"/>
      <c r="L200" s="1010"/>
      <c r="M200" s="1010"/>
      <c r="N200" s="1010"/>
      <c r="O200" s="1010"/>
      <c r="P200" s="1010"/>
      <c r="Q200" s="1010"/>
      <c r="R200" s="1010"/>
      <c r="S200" s="1010"/>
      <c r="T200" s="1010"/>
      <c r="U200" s="1010"/>
      <c r="V200" s="1010"/>
      <c r="W200" s="1010"/>
      <c r="X200" s="1010"/>
      <c r="Y200" s="1010"/>
      <c r="Z200" s="1010"/>
      <c r="AA200" s="1010"/>
      <c r="AB200" s="1010"/>
      <c r="AC200" s="1010"/>
      <c r="AD200" s="1010"/>
      <c r="AE200" s="1010"/>
      <c r="AF200" s="1010"/>
      <c r="AG200" s="1010"/>
      <c r="AH200" s="1010"/>
      <c r="AI200" s="1010"/>
      <c r="AJ200" s="1010"/>
    </row>
    <row r="201" spans="1:36">
      <c r="A201" s="1010"/>
      <c r="B201" s="1011" t="s">
        <v>1302</v>
      </c>
      <c r="C201" s="1011" t="s">
        <v>1303</v>
      </c>
      <c r="D201" s="1010"/>
      <c r="E201" s="1011" t="s">
        <v>1310</v>
      </c>
      <c r="F201" s="1011" t="s">
        <v>1311</v>
      </c>
      <c r="G201" s="1011" t="s">
        <v>1312</v>
      </c>
      <c r="H201" s="1011" t="s">
        <v>1313</v>
      </c>
      <c r="I201" s="1011" t="s">
        <v>1314</v>
      </c>
      <c r="J201" s="1010"/>
      <c r="K201" s="1010"/>
      <c r="L201" s="1010"/>
      <c r="M201" s="1010"/>
      <c r="N201" s="1010"/>
      <c r="O201" s="1010"/>
      <c r="P201" s="1010"/>
      <c r="Q201" s="1010"/>
      <c r="R201" s="1010"/>
      <c r="S201" s="1010"/>
      <c r="T201" s="1010"/>
      <c r="U201" s="1010"/>
      <c r="V201" s="1010"/>
      <c r="W201" s="1010"/>
      <c r="X201" s="1010"/>
      <c r="Y201" s="1010"/>
      <c r="Z201" s="1010"/>
      <c r="AA201" s="1010"/>
      <c r="AB201" s="1010"/>
      <c r="AC201" s="1010"/>
      <c r="AD201" s="1010"/>
      <c r="AE201" s="1010"/>
      <c r="AF201" s="1010"/>
      <c r="AG201" s="1010"/>
      <c r="AH201" s="1010"/>
      <c r="AI201" s="1010"/>
      <c r="AJ201" s="1010"/>
    </row>
    <row r="202" spans="1:36">
      <c r="A202" s="1010"/>
      <c r="B202" s="1015">
        <f ca="1">+C195</f>
        <v>2.2951276327014232</v>
      </c>
      <c r="C202" s="1350">
        <f ca="1">+B202+($C$197/20)</f>
        <v>2.306648578740663</v>
      </c>
      <c r="D202" s="1010">
        <f t="shared" ref="D202:D221" ca="1" si="88">+COUNTIFS(OFFSET(B$251:B$2250,0,$C$194),"&gt;="&amp;$B202,
OFFSET(B$251:B$2250,0,$C$194),"&lt;="&amp;$C202)</f>
        <v>1</v>
      </c>
      <c r="E202" s="1353">
        <f ca="1">+B202*$C$198</f>
        <v>2.2951276327014232</v>
      </c>
      <c r="F202" s="1353">
        <f ca="1">+C202*$C$198</f>
        <v>2.306648578740663</v>
      </c>
      <c r="G202" s="1352">
        <f ca="1">+AVERAGE(E202:F202)</f>
        <v>2.3008881057210431</v>
      </c>
      <c r="H202" s="1010">
        <f ca="1">+D202/$D$223</f>
        <v>5.0000000000000001E-4</v>
      </c>
      <c r="I202" s="1010">
        <f ca="1">+H202</f>
        <v>5.0000000000000001E-4</v>
      </c>
      <c r="J202" s="1010"/>
      <c r="K202" s="1010"/>
      <c r="L202" s="1010"/>
      <c r="M202" s="1010"/>
      <c r="N202" s="1010"/>
      <c r="O202" s="1010"/>
      <c r="P202" s="1010"/>
      <c r="Q202" s="1010"/>
      <c r="R202" s="1010"/>
      <c r="S202" s="1010"/>
      <c r="T202" s="1010"/>
      <c r="U202" s="1010"/>
      <c r="V202" s="1010"/>
      <c r="W202" s="1010"/>
      <c r="X202" s="1010"/>
      <c r="Y202" s="1010"/>
      <c r="Z202" s="1010"/>
      <c r="AA202" s="1010"/>
      <c r="AB202" s="1010"/>
      <c r="AC202" s="1010"/>
      <c r="AD202" s="1010"/>
      <c r="AE202" s="1010"/>
      <c r="AF202" s="1010"/>
      <c r="AG202" s="1010"/>
      <c r="AH202" s="1010"/>
      <c r="AI202" s="1010"/>
      <c r="AJ202" s="1010"/>
    </row>
    <row r="203" spans="1:36">
      <c r="A203" s="1010"/>
      <c r="B203" s="1015">
        <f ca="1">+C202</f>
        <v>2.306648578740663</v>
      </c>
      <c r="C203" s="1350">
        <f t="shared" ref="C203:C220" ca="1" si="89">+B203+($C$197/20)</f>
        <v>2.3181695247799028</v>
      </c>
      <c r="D203" s="1010">
        <f t="shared" ca="1" si="88"/>
        <v>3</v>
      </c>
      <c r="E203" s="1353">
        <f t="shared" ref="E203:E221" ca="1" si="90">+B203*$C$198</f>
        <v>2.306648578740663</v>
      </c>
      <c r="F203" s="1353">
        <f t="shared" ref="F203:F222" ca="1" si="91">+C203*$C$198</f>
        <v>2.3181695247799028</v>
      </c>
      <c r="G203" s="1352">
        <f t="shared" ref="G203:G222" ca="1" si="92">+AVERAGE(E203:F203)</f>
        <v>2.3124090517602829</v>
      </c>
      <c r="H203" s="1010">
        <f t="shared" ref="H203:H221" ca="1" si="93">+D203/$D$223</f>
        <v>1.5E-3</v>
      </c>
      <c r="I203" s="1010">
        <f ca="1">+I202+H203</f>
        <v>2E-3</v>
      </c>
      <c r="J203" s="1010"/>
      <c r="K203" s="1010"/>
      <c r="L203" s="1010"/>
      <c r="M203" s="1010"/>
      <c r="N203" s="1010"/>
      <c r="O203" s="1010"/>
      <c r="P203" s="1010"/>
      <c r="Q203" s="1010"/>
      <c r="R203" s="1010"/>
      <c r="S203" s="1010"/>
      <c r="T203" s="1010"/>
      <c r="U203" s="1010"/>
      <c r="V203" s="1010"/>
      <c r="W203" s="1010"/>
      <c r="X203" s="1010"/>
      <c r="Y203" s="1010"/>
      <c r="Z203" s="1010"/>
      <c r="AA203" s="1010"/>
      <c r="AB203" s="1010"/>
      <c r="AC203" s="1010"/>
      <c r="AD203" s="1010"/>
      <c r="AE203" s="1010"/>
      <c r="AF203" s="1010"/>
      <c r="AG203" s="1010"/>
      <c r="AH203" s="1010"/>
      <c r="AI203" s="1010"/>
      <c r="AJ203" s="1010"/>
    </row>
    <row r="204" spans="1:36">
      <c r="A204" s="1010"/>
      <c r="B204" s="1015">
        <f t="shared" ref="B204:B221" ca="1" si="94">+C203</f>
        <v>2.3181695247799028</v>
      </c>
      <c r="C204" s="1350">
        <f t="shared" ca="1" si="89"/>
        <v>2.3296904708191426</v>
      </c>
      <c r="D204" s="1010">
        <f t="shared" ca="1" si="88"/>
        <v>10</v>
      </c>
      <c r="E204" s="1353">
        <f t="shared" ca="1" si="90"/>
        <v>2.3181695247799028</v>
      </c>
      <c r="F204" s="1353">
        <f t="shared" ca="1" si="91"/>
        <v>2.3296904708191426</v>
      </c>
      <c r="G204" s="1352">
        <f t="shared" ca="1" si="92"/>
        <v>2.3239299977995227</v>
      </c>
      <c r="H204" s="1010">
        <f t="shared" ca="1" si="93"/>
        <v>5.0000000000000001E-3</v>
      </c>
      <c r="I204" s="1010">
        <f t="shared" ref="I204:I221" ca="1" si="95">+I203+H204</f>
        <v>7.0000000000000001E-3</v>
      </c>
      <c r="J204" s="1010"/>
      <c r="K204" s="1010"/>
      <c r="L204" s="1010"/>
      <c r="M204" s="1010"/>
      <c r="N204" s="1010"/>
      <c r="O204" s="1010"/>
      <c r="P204" s="1010"/>
      <c r="Q204" s="1010"/>
      <c r="R204" s="1010"/>
      <c r="S204" s="1010"/>
      <c r="T204" s="1010"/>
      <c r="U204" s="1010"/>
      <c r="V204" s="1010"/>
      <c r="W204" s="1010"/>
      <c r="X204" s="1010"/>
      <c r="Y204" s="1010"/>
      <c r="Z204" s="1010"/>
      <c r="AA204" s="1010"/>
      <c r="AB204" s="1010"/>
      <c r="AC204" s="1010"/>
      <c r="AD204" s="1010"/>
      <c r="AE204" s="1010"/>
      <c r="AF204" s="1010"/>
      <c r="AG204" s="1010"/>
      <c r="AH204" s="1010"/>
      <c r="AI204" s="1010"/>
      <c r="AJ204" s="1010"/>
    </row>
    <row r="205" spans="1:36">
      <c r="A205" s="1010"/>
      <c r="B205" s="1015">
        <f t="shared" ca="1" si="94"/>
        <v>2.3296904708191426</v>
      </c>
      <c r="C205" s="1350">
        <f t="shared" ca="1" si="89"/>
        <v>2.3412114168583824</v>
      </c>
      <c r="D205" s="1010">
        <f t="shared" ca="1" si="88"/>
        <v>28</v>
      </c>
      <c r="E205" s="1353">
        <f t="shared" ca="1" si="90"/>
        <v>2.3296904708191426</v>
      </c>
      <c r="F205" s="1353">
        <f t="shared" ca="1" si="91"/>
        <v>2.3412114168583824</v>
      </c>
      <c r="G205" s="1352">
        <f t="shared" ca="1" si="92"/>
        <v>2.3354509438387625</v>
      </c>
      <c r="H205" s="1010">
        <f t="shared" ca="1" si="93"/>
        <v>1.4E-2</v>
      </c>
      <c r="I205" s="1010">
        <f t="shared" ca="1" si="95"/>
        <v>2.1000000000000001E-2</v>
      </c>
      <c r="J205" s="1010"/>
      <c r="K205" s="1010"/>
      <c r="L205" s="1010"/>
      <c r="M205" s="1010"/>
      <c r="N205" s="1010"/>
      <c r="O205" s="1010"/>
      <c r="P205" s="1010"/>
      <c r="Q205" s="1010"/>
      <c r="R205" s="1010"/>
      <c r="S205" s="1010"/>
      <c r="T205" s="1010"/>
      <c r="U205" s="1010"/>
      <c r="V205" s="1010"/>
      <c r="W205" s="1010"/>
      <c r="X205" s="1010"/>
      <c r="Y205" s="1010"/>
      <c r="Z205" s="1010"/>
      <c r="AA205" s="1010"/>
      <c r="AB205" s="1010"/>
      <c r="AC205" s="1010"/>
      <c r="AD205" s="1010"/>
      <c r="AE205" s="1010"/>
      <c r="AF205" s="1010"/>
      <c r="AG205" s="1010"/>
      <c r="AH205" s="1010"/>
      <c r="AI205" s="1010"/>
      <c r="AJ205" s="1010"/>
    </row>
    <row r="206" spans="1:36">
      <c r="A206" s="1010"/>
      <c r="B206" s="1015">
        <f t="shared" ca="1" si="94"/>
        <v>2.3412114168583824</v>
      </c>
      <c r="C206" s="1350">
        <f t="shared" ca="1" si="89"/>
        <v>2.3527323628976222</v>
      </c>
      <c r="D206" s="1010">
        <f t="shared" ca="1" si="88"/>
        <v>49</v>
      </c>
      <c r="E206" s="1353">
        <f t="shared" ca="1" si="90"/>
        <v>2.3412114168583824</v>
      </c>
      <c r="F206" s="1353">
        <f t="shared" ca="1" si="91"/>
        <v>2.3527323628976222</v>
      </c>
      <c r="G206" s="1352">
        <f t="shared" ca="1" si="92"/>
        <v>2.3469718898780023</v>
      </c>
      <c r="H206" s="1010">
        <f t="shared" ca="1" si="93"/>
        <v>2.4500000000000001E-2</v>
      </c>
      <c r="I206" s="1010">
        <f t="shared" ca="1" si="95"/>
        <v>4.5499999999999999E-2</v>
      </c>
      <c r="J206" s="1010"/>
      <c r="K206" s="1010"/>
      <c r="L206" s="1010"/>
      <c r="M206" s="1010"/>
      <c r="N206" s="1010"/>
      <c r="O206" s="1010"/>
      <c r="P206" s="1010"/>
      <c r="Q206" s="1010"/>
      <c r="R206" s="1010"/>
      <c r="S206" s="1010"/>
      <c r="T206" s="1010"/>
      <c r="U206" s="1010"/>
      <c r="V206" s="1010"/>
      <c r="W206" s="1010"/>
      <c r="X206" s="1010"/>
      <c r="Y206" s="1010"/>
      <c r="Z206" s="1010"/>
      <c r="AA206" s="1010"/>
      <c r="AB206" s="1010"/>
      <c r="AC206" s="1010"/>
      <c r="AD206" s="1010"/>
      <c r="AE206" s="1010"/>
      <c r="AF206" s="1010"/>
      <c r="AG206" s="1010"/>
      <c r="AH206" s="1010"/>
      <c r="AI206" s="1010"/>
      <c r="AJ206" s="1010"/>
    </row>
    <row r="207" spans="1:36">
      <c r="A207" s="1010"/>
      <c r="B207" s="1015">
        <f t="shared" ca="1" si="94"/>
        <v>2.3527323628976222</v>
      </c>
      <c r="C207" s="1350">
        <f t="shared" ca="1" si="89"/>
        <v>2.364253308936862</v>
      </c>
      <c r="D207" s="1010">
        <f t="shared" ca="1" si="88"/>
        <v>81</v>
      </c>
      <c r="E207" s="1353">
        <f t="shared" ca="1" si="90"/>
        <v>2.3527323628976222</v>
      </c>
      <c r="F207" s="1353">
        <f t="shared" ca="1" si="91"/>
        <v>2.364253308936862</v>
      </c>
      <c r="G207" s="1352">
        <f t="shared" ca="1" si="92"/>
        <v>2.3584928359172421</v>
      </c>
      <c r="H207" s="1010">
        <f t="shared" ca="1" si="93"/>
        <v>4.0500000000000001E-2</v>
      </c>
      <c r="I207" s="1010">
        <f t="shared" ca="1" si="95"/>
        <v>8.5999999999999993E-2</v>
      </c>
      <c r="J207" s="1010"/>
      <c r="K207" s="1010"/>
      <c r="L207" s="1010"/>
      <c r="M207" s="1010"/>
      <c r="N207" s="1010"/>
      <c r="O207" s="1010"/>
      <c r="P207" s="1010"/>
      <c r="Q207" s="1010"/>
      <c r="R207" s="1010"/>
      <c r="S207" s="1010"/>
      <c r="T207" s="1010"/>
      <c r="U207" s="1010"/>
      <c r="V207" s="1010"/>
      <c r="W207" s="1010"/>
      <c r="X207" s="1010"/>
      <c r="Y207" s="1010"/>
      <c r="Z207" s="1010"/>
      <c r="AA207" s="1010"/>
      <c r="AB207" s="1010"/>
      <c r="AC207" s="1010"/>
      <c r="AD207" s="1010"/>
      <c r="AE207" s="1010"/>
      <c r="AF207" s="1010"/>
      <c r="AG207" s="1010"/>
      <c r="AH207" s="1010"/>
      <c r="AI207" s="1010"/>
      <c r="AJ207" s="1010"/>
    </row>
    <row r="208" spans="1:36">
      <c r="A208" s="1010"/>
      <c r="B208" s="1015">
        <f t="shared" ca="1" si="94"/>
        <v>2.364253308936862</v>
      </c>
      <c r="C208" s="1350">
        <f t="shared" ca="1" si="89"/>
        <v>2.3757742549761018</v>
      </c>
      <c r="D208" s="1010">
        <f t="shared" ca="1" si="88"/>
        <v>137</v>
      </c>
      <c r="E208" s="1353">
        <f t="shared" ca="1" si="90"/>
        <v>2.364253308936862</v>
      </c>
      <c r="F208" s="1353">
        <f t="shared" ca="1" si="91"/>
        <v>2.3757742549761018</v>
      </c>
      <c r="G208" s="1352">
        <f t="shared" ca="1" si="92"/>
        <v>2.3700137819564819</v>
      </c>
      <c r="H208" s="1010">
        <f t="shared" ca="1" si="93"/>
        <v>6.8500000000000005E-2</v>
      </c>
      <c r="I208" s="1010">
        <f t="shared" ca="1" si="95"/>
        <v>0.1545</v>
      </c>
      <c r="J208" s="1010"/>
      <c r="K208" s="1010"/>
      <c r="L208" s="1010"/>
      <c r="M208" s="1010"/>
      <c r="N208" s="1010"/>
      <c r="O208" s="1010"/>
      <c r="P208" s="1010"/>
      <c r="Q208" s="1010"/>
      <c r="R208" s="1010"/>
      <c r="S208" s="1010"/>
      <c r="T208" s="1010"/>
      <c r="U208" s="1010"/>
      <c r="V208" s="1010"/>
      <c r="W208" s="1010"/>
      <c r="X208" s="1010"/>
      <c r="Y208" s="1010"/>
      <c r="Z208" s="1010"/>
      <c r="AA208" s="1010"/>
      <c r="AB208" s="1010"/>
      <c r="AC208" s="1010"/>
      <c r="AD208" s="1010"/>
      <c r="AE208" s="1010"/>
      <c r="AF208" s="1010"/>
      <c r="AG208" s="1010"/>
      <c r="AH208" s="1010"/>
      <c r="AI208" s="1010"/>
      <c r="AJ208" s="1010"/>
    </row>
    <row r="209" spans="1:36">
      <c r="A209" s="1010"/>
      <c r="B209" s="1015">
        <f t="shared" ca="1" si="94"/>
        <v>2.3757742549761018</v>
      </c>
      <c r="C209" s="1350">
        <f t="shared" ca="1" si="89"/>
        <v>2.3872952010153417</v>
      </c>
      <c r="D209" s="1010">
        <f t="shared" ca="1" si="88"/>
        <v>157</v>
      </c>
      <c r="E209" s="1353">
        <f t="shared" ca="1" si="90"/>
        <v>2.3757742549761018</v>
      </c>
      <c r="F209" s="1353">
        <f t="shared" ca="1" si="91"/>
        <v>2.3872952010153417</v>
      </c>
      <c r="G209" s="1352">
        <f t="shared" ca="1" si="92"/>
        <v>2.3815347279957217</v>
      </c>
      <c r="H209" s="1010">
        <f t="shared" ca="1" si="93"/>
        <v>7.85E-2</v>
      </c>
      <c r="I209" s="1010">
        <f t="shared" ca="1" si="95"/>
        <v>0.23299999999999998</v>
      </c>
      <c r="J209" s="1010"/>
      <c r="K209" s="1010"/>
      <c r="L209" s="1010"/>
      <c r="M209" s="1010"/>
      <c r="N209" s="1010"/>
      <c r="O209" s="1010"/>
      <c r="P209" s="1010"/>
      <c r="Q209" s="1010"/>
      <c r="R209" s="1010"/>
      <c r="S209" s="1010"/>
      <c r="T209" s="1010"/>
      <c r="U209" s="1010"/>
      <c r="V209" s="1010"/>
      <c r="W209" s="1010"/>
      <c r="X209" s="1010"/>
      <c r="Y209" s="1010"/>
      <c r="Z209" s="1010"/>
      <c r="AA209" s="1010"/>
      <c r="AB209" s="1010"/>
      <c r="AC209" s="1010"/>
      <c r="AD209" s="1010"/>
      <c r="AE209" s="1010"/>
      <c r="AF209" s="1010"/>
      <c r="AG209" s="1010"/>
      <c r="AH209" s="1010"/>
      <c r="AI209" s="1010"/>
      <c r="AJ209" s="1010"/>
    </row>
    <row r="210" spans="1:36">
      <c r="A210" s="1010"/>
      <c r="B210" s="1015">
        <f t="shared" ca="1" si="94"/>
        <v>2.3872952010153417</v>
      </c>
      <c r="C210" s="1350">
        <f t="shared" ca="1" si="89"/>
        <v>2.3988161470545815</v>
      </c>
      <c r="D210" s="1010">
        <f t="shared" ca="1" si="88"/>
        <v>224</v>
      </c>
      <c r="E210" s="1353">
        <f t="shared" ca="1" si="90"/>
        <v>2.3872952010153417</v>
      </c>
      <c r="F210" s="1353">
        <f t="shared" ca="1" si="91"/>
        <v>2.3988161470545815</v>
      </c>
      <c r="G210" s="1352">
        <f t="shared" ca="1" si="92"/>
        <v>2.3930556740349616</v>
      </c>
      <c r="H210" s="1010">
        <f t="shared" ca="1" si="93"/>
        <v>0.112</v>
      </c>
      <c r="I210" s="1010">
        <f t="shared" ca="1" si="95"/>
        <v>0.34499999999999997</v>
      </c>
      <c r="J210" s="1010"/>
      <c r="K210" s="1010"/>
      <c r="L210" s="1010"/>
      <c r="M210" s="1010"/>
      <c r="N210" s="1010"/>
      <c r="O210" s="1010"/>
      <c r="P210" s="1010"/>
      <c r="Q210" s="1010"/>
      <c r="R210" s="1010"/>
      <c r="S210" s="1010"/>
      <c r="T210" s="1010"/>
      <c r="U210" s="1010"/>
      <c r="V210" s="1010"/>
      <c r="W210" s="1010"/>
      <c r="X210" s="1010"/>
      <c r="Y210" s="1010"/>
      <c r="Z210" s="1010"/>
      <c r="AA210" s="1010"/>
      <c r="AB210" s="1010"/>
      <c r="AC210" s="1010"/>
      <c r="AD210" s="1010"/>
      <c r="AE210" s="1010"/>
      <c r="AF210" s="1010"/>
      <c r="AG210" s="1010"/>
      <c r="AH210" s="1010"/>
      <c r="AI210" s="1010"/>
      <c r="AJ210" s="1010"/>
    </row>
    <row r="211" spans="1:36">
      <c r="A211" s="1010"/>
      <c r="B211" s="1015">
        <f t="shared" ca="1" si="94"/>
        <v>2.3988161470545815</v>
      </c>
      <c r="C211" s="1350">
        <f t="shared" ca="1" si="89"/>
        <v>2.4103370930938213</v>
      </c>
      <c r="D211" s="1010">
        <f t="shared" ca="1" si="88"/>
        <v>285</v>
      </c>
      <c r="E211" s="1353">
        <f t="shared" ca="1" si="90"/>
        <v>2.3988161470545815</v>
      </c>
      <c r="F211" s="1353">
        <f t="shared" ca="1" si="91"/>
        <v>2.4103370930938213</v>
      </c>
      <c r="G211" s="1352">
        <f t="shared" ca="1" si="92"/>
        <v>2.4045766200742014</v>
      </c>
      <c r="H211" s="1010">
        <f t="shared" ca="1" si="93"/>
        <v>0.14249999999999999</v>
      </c>
      <c r="I211" s="1010">
        <f t="shared" ca="1" si="95"/>
        <v>0.48749999999999993</v>
      </c>
      <c r="J211" s="1010"/>
      <c r="K211" s="1010"/>
      <c r="L211" s="1010"/>
      <c r="M211" s="1010"/>
      <c r="N211" s="1010"/>
      <c r="O211" s="1010"/>
      <c r="P211" s="1010"/>
      <c r="Q211" s="1010"/>
      <c r="R211" s="1010"/>
      <c r="S211" s="1010"/>
      <c r="T211" s="1010"/>
      <c r="U211" s="1010"/>
      <c r="V211" s="1010"/>
      <c r="W211" s="1010"/>
      <c r="X211" s="1010"/>
      <c r="Y211" s="1010"/>
      <c r="Z211" s="1010"/>
      <c r="AA211" s="1010"/>
      <c r="AB211" s="1010"/>
      <c r="AC211" s="1010"/>
      <c r="AD211" s="1010"/>
      <c r="AE211" s="1010"/>
      <c r="AF211" s="1010"/>
      <c r="AG211" s="1010"/>
      <c r="AH211" s="1010"/>
      <c r="AI211" s="1010"/>
      <c r="AJ211" s="1010"/>
    </row>
    <row r="212" spans="1:36">
      <c r="A212" s="1010"/>
      <c r="B212" s="1015">
        <f t="shared" ca="1" si="94"/>
        <v>2.4103370930938213</v>
      </c>
      <c r="C212" s="1350">
        <f t="shared" ca="1" si="89"/>
        <v>2.4218580391330611</v>
      </c>
      <c r="D212" s="1010">
        <f t="shared" ca="1" si="88"/>
        <v>239</v>
      </c>
      <c r="E212" s="1353">
        <f t="shared" ca="1" si="90"/>
        <v>2.4103370930938213</v>
      </c>
      <c r="F212" s="1353">
        <f t="shared" ca="1" si="91"/>
        <v>2.4218580391330611</v>
      </c>
      <c r="G212" s="1352">
        <f t="shared" ca="1" si="92"/>
        <v>2.4160975661134412</v>
      </c>
      <c r="H212" s="1010">
        <f t="shared" ca="1" si="93"/>
        <v>0.1195</v>
      </c>
      <c r="I212" s="1010">
        <f t="shared" ca="1" si="95"/>
        <v>0.60699999999999998</v>
      </c>
      <c r="J212" s="1010"/>
      <c r="K212" s="1010"/>
      <c r="L212" s="1010"/>
      <c r="M212" s="1010"/>
      <c r="N212" s="1010"/>
      <c r="O212" s="1010"/>
      <c r="P212" s="1010"/>
      <c r="Q212" s="1010"/>
      <c r="R212" s="1010"/>
      <c r="S212" s="1010"/>
      <c r="T212" s="1010"/>
      <c r="U212" s="1010"/>
      <c r="V212" s="1010"/>
      <c r="W212" s="1010"/>
      <c r="X212" s="1010"/>
      <c r="Y212" s="1010"/>
      <c r="Z212" s="1010"/>
      <c r="AA212" s="1010"/>
      <c r="AB212" s="1010"/>
      <c r="AC212" s="1010"/>
      <c r="AD212" s="1010"/>
      <c r="AE212" s="1010"/>
      <c r="AF212" s="1010"/>
      <c r="AG212" s="1010"/>
      <c r="AH212" s="1010"/>
      <c r="AI212" s="1010"/>
      <c r="AJ212" s="1010"/>
    </row>
    <row r="213" spans="1:36">
      <c r="A213" s="1010"/>
      <c r="B213" s="1015">
        <f t="shared" ca="1" si="94"/>
        <v>2.4218580391330611</v>
      </c>
      <c r="C213" s="1350">
        <f t="shared" ca="1" si="89"/>
        <v>2.4333789851723009</v>
      </c>
      <c r="D213" s="1010">
        <f t="shared" ca="1" si="88"/>
        <v>233</v>
      </c>
      <c r="E213" s="1353">
        <f t="shared" ca="1" si="90"/>
        <v>2.4218580391330611</v>
      </c>
      <c r="F213" s="1353">
        <f t="shared" ca="1" si="91"/>
        <v>2.4333789851723009</v>
      </c>
      <c r="G213" s="1352">
        <f t="shared" ca="1" si="92"/>
        <v>2.427618512152681</v>
      </c>
      <c r="H213" s="1010">
        <f t="shared" ca="1" si="93"/>
        <v>0.11650000000000001</v>
      </c>
      <c r="I213" s="1010">
        <f t="shared" ca="1" si="95"/>
        <v>0.72350000000000003</v>
      </c>
      <c r="J213" s="1010"/>
      <c r="K213" s="1010"/>
      <c r="L213" s="1010"/>
      <c r="M213" s="1010"/>
      <c r="N213" s="1010"/>
      <c r="O213" s="1010"/>
      <c r="P213" s="1010"/>
      <c r="Q213" s="1010"/>
      <c r="R213" s="1010"/>
      <c r="S213" s="1010"/>
      <c r="T213" s="1010"/>
      <c r="U213" s="1010"/>
      <c r="V213" s="1010"/>
      <c r="W213" s="1010"/>
      <c r="X213" s="1010"/>
      <c r="Y213" s="1010"/>
      <c r="Z213" s="1010"/>
      <c r="AA213" s="1010"/>
      <c r="AB213" s="1010"/>
      <c r="AC213" s="1010"/>
      <c r="AD213" s="1010"/>
      <c r="AE213" s="1010"/>
      <c r="AF213" s="1010"/>
      <c r="AG213" s="1010"/>
      <c r="AH213" s="1010"/>
      <c r="AI213" s="1010"/>
      <c r="AJ213" s="1010"/>
    </row>
    <row r="214" spans="1:36">
      <c r="A214" s="1010"/>
      <c r="B214" s="1015">
        <f t="shared" ca="1" si="94"/>
        <v>2.4333789851723009</v>
      </c>
      <c r="C214" s="1350">
        <f t="shared" ca="1" si="89"/>
        <v>2.4448999312115407</v>
      </c>
      <c r="D214" s="1010">
        <f t="shared" ca="1" si="88"/>
        <v>187</v>
      </c>
      <c r="E214" s="1353">
        <f t="shared" ca="1" si="90"/>
        <v>2.4333789851723009</v>
      </c>
      <c r="F214" s="1353">
        <f t="shared" ca="1" si="91"/>
        <v>2.4448999312115407</v>
      </c>
      <c r="G214" s="1352">
        <f t="shared" ca="1" si="92"/>
        <v>2.4391394581919208</v>
      </c>
      <c r="H214" s="1010">
        <f t="shared" ca="1" si="93"/>
        <v>9.35E-2</v>
      </c>
      <c r="I214" s="1010">
        <f t="shared" ca="1" si="95"/>
        <v>0.81700000000000006</v>
      </c>
      <c r="J214" s="1010"/>
      <c r="K214" s="1010"/>
      <c r="L214" s="1010"/>
      <c r="M214" s="1010"/>
      <c r="N214" s="1010"/>
      <c r="O214" s="1010"/>
      <c r="P214" s="1010"/>
      <c r="Q214" s="1010"/>
      <c r="R214" s="1010"/>
      <c r="S214" s="1010"/>
      <c r="T214" s="1010"/>
      <c r="U214" s="1010"/>
      <c r="V214" s="1010"/>
      <c r="W214" s="1010"/>
      <c r="X214" s="1010"/>
      <c r="Y214" s="1010"/>
      <c r="Z214" s="1010"/>
      <c r="AA214" s="1010"/>
      <c r="AB214" s="1010"/>
      <c r="AC214" s="1010"/>
      <c r="AD214" s="1010"/>
      <c r="AE214" s="1010"/>
      <c r="AF214" s="1010"/>
      <c r="AG214" s="1010"/>
      <c r="AH214" s="1010"/>
      <c r="AI214" s="1010"/>
      <c r="AJ214" s="1010"/>
    </row>
    <row r="215" spans="1:36">
      <c r="A215" s="1010"/>
      <c r="B215" s="1015">
        <f t="shared" ca="1" si="94"/>
        <v>2.4448999312115407</v>
      </c>
      <c r="C215" s="1350">
        <f t="shared" ca="1" si="89"/>
        <v>2.4564208772507805</v>
      </c>
      <c r="D215" s="1010">
        <f t="shared" ca="1" si="88"/>
        <v>168</v>
      </c>
      <c r="E215" s="1353">
        <f t="shared" ca="1" si="90"/>
        <v>2.4448999312115407</v>
      </c>
      <c r="F215" s="1353">
        <f t="shared" ca="1" si="91"/>
        <v>2.4564208772507805</v>
      </c>
      <c r="G215" s="1352">
        <f t="shared" ca="1" si="92"/>
        <v>2.4506604042311606</v>
      </c>
      <c r="H215" s="1010">
        <f t="shared" ca="1" si="93"/>
        <v>8.4000000000000005E-2</v>
      </c>
      <c r="I215" s="1010">
        <f t="shared" ca="1" si="95"/>
        <v>0.90100000000000002</v>
      </c>
      <c r="J215" s="1010"/>
      <c r="K215" s="1010"/>
      <c r="L215" s="1010"/>
      <c r="M215" s="1010"/>
      <c r="N215" s="1010"/>
      <c r="O215" s="1010"/>
      <c r="P215" s="1010"/>
      <c r="Q215" s="1010"/>
      <c r="R215" s="1010"/>
      <c r="S215" s="1010"/>
      <c r="T215" s="1010"/>
      <c r="U215" s="1010"/>
      <c r="V215" s="1010"/>
      <c r="W215" s="1010"/>
      <c r="X215" s="1010"/>
      <c r="Y215" s="1010"/>
      <c r="Z215" s="1010"/>
      <c r="AA215" s="1010"/>
      <c r="AB215" s="1010"/>
      <c r="AC215" s="1010"/>
      <c r="AD215" s="1010"/>
      <c r="AE215" s="1010"/>
      <c r="AF215" s="1010"/>
      <c r="AG215" s="1010"/>
      <c r="AH215" s="1010"/>
      <c r="AI215" s="1010"/>
      <c r="AJ215" s="1010"/>
    </row>
    <row r="216" spans="1:36">
      <c r="A216" s="1010"/>
      <c r="B216" s="1015">
        <f t="shared" ca="1" si="94"/>
        <v>2.4564208772507805</v>
      </c>
      <c r="C216" s="1350">
        <f t="shared" ca="1" si="89"/>
        <v>2.4679418232900203</v>
      </c>
      <c r="D216" s="1010">
        <f t="shared" ca="1" si="88"/>
        <v>97</v>
      </c>
      <c r="E216" s="1353">
        <f t="shared" ca="1" si="90"/>
        <v>2.4564208772507805</v>
      </c>
      <c r="F216" s="1353">
        <f t="shared" ca="1" si="91"/>
        <v>2.4679418232900203</v>
      </c>
      <c r="G216" s="1352">
        <f t="shared" ca="1" si="92"/>
        <v>2.4621813502704004</v>
      </c>
      <c r="H216" s="1010">
        <f t="shared" ca="1" si="93"/>
        <v>4.8500000000000001E-2</v>
      </c>
      <c r="I216" s="1010">
        <f t="shared" ca="1" si="95"/>
        <v>0.94950000000000001</v>
      </c>
      <c r="J216" s="1010"/>
      <c r="K216" s="1010"/>
      <c r="L216" s="1010"/>
      <c r="M216" s="1010"/>
      <c r="N216" s="1010"/>
      <c r="O216" s="1010"/>
      <c r="P216" s="1010"/>
      <c r="Q216" s="1010"/>
      <c r="R216" s="1010"/>
      <c r="S216" s="1010"/>
      <c r="T216" s="1010"/>
      <c r="U216" s="1010"/>
      <c r="V216" s="1010"/>
      <c r="W216" s="1010"/>
      <c r="X216" s="1010"/>
      <c r="Y216" s="1010"/>
      <c r="Z216" s="1010"/>
      <c r="AA216" s="1010"/>
      <c r="AB216" s="1010"/>
      <c r="AC216" s="1010"/>
      <c r="AD216" s="1010"/>
      <c r="AE216" s="1010"/>
      <c r="AF216" s="1010"/>
      <c r="AG216" s="1010"/>
      <c r="AH216" s="1010"/>
      <c r="AI216" s="1010"/>
      <c r="AJ216" s="1010"/>
    </row>
    <row r="217" spans="1:36">
      <c r="A217" s="1010"/>
      <c r="B217" s="1015">
        <f t="shared" ca="1" si="94"/>
        <v>2.4679418232900203</v>
      </c>
      <c r="C217" s="1350">
        <f t="shared" ca="1" si="89"/>
        <v>2.4794627693292601</v>
      </c>
      <c r="D217" s="1010">
        <f t="shared" ca="1" si="88"/>
        <v>52</v>
      </c>
      <c r="E217" s="1353">
        <f t="shared" ca="1" si="90"/>
        <v>2.4679418232900203</v>
      </c>
      <c r="F217" s="1353">
        <f t="shared" ca="1" si="91"/>
        <v>2.4794627693292601</v>
      </c>
      <c r="G217" s="1352">
        <f t="shared" ca="1" si="92"/>
        <v>2.4737022963096402</v>
      </c>
      <c r="H217" s="1010">
        <f t="shared" ca="1" si="93"/>
        <v>2.5999999999999999E-2</v>
      </c>
      <c r="I217" s="1010">
        <f t="shared" ca="1" si="95"/>
        <v>0.97550000000000003</v>
      </c>
      <c r="J217" s="1010"/>
      <c r="K217" s="1010"/>
      <c r="L217" s="1010"/>
      <c r="M217" s="1010"/>
      <c r="N217" s="1010"/>
      <c r="O217" s="1010"/>
      <c r="P217" s="1010"/>
      <c r="Q217" s="1010"/>
      <c r="R217" s="1010"/>
      <c r="S217" s="1010"/>
      <c r="T217" s="1010"/>
      <c r="U217" s="1010"/>
      <c r="V217" s="1010"/>
      <c r="W217" s="1010"/>
      <c r="X217" s="1010"/>
      <c r="Y217" s="1010"/>
      <c r="Z217" s="1010"/>
      <c r="AA217" s="1010"/>
      <c r="AB217" s="1010"/>
      <c r="AC217" s="1010"/>
      <c r="AD217" s="1010"/>
      <c r="AE217" s="1010"/>
      <c r="AF217" s="1010"/>
      <c r="AG217" s="1010"/>
      <c r="AH217" s="1010"/>
      <c r="AI217" s="1010"/>
      <c r="AJ217" s="1010"/>
    </row>
    <row r="218" spans="1:36">
      <c r="A218" s="1010"/>
      <c r="B218" s="1015">
        <f t="shared" ca="1" si="94"/>
        <v>2.4794627693292601</v>
      </c>
      <c r="C218" s="1350">
        <f t="shared" ca="1" si="89"/>
        <v>2.4909837153684999</v>
      </c>
      <c r="D218" s="1010">
        <f t="shared" ca="1" si="88"/>
        <v>29</v>
      </c>
      <c r="E218" s="1353">
        <f t="shared" ca="1" si="90"/>
        <v>2.4794627693292601</v>
      </c>
      <c r="F218" s="1353">
        <f t="shared" ca="1" si="91"/>
        <v>2.4909837153684999</v>
      </c>
      <c r="G218" s="1352">
        <f t="shared" ca="1" si="92"/>
        <v>2.48522324234888</v>
      </c>
      <c r="H218" s="1010">
        <f t="shared" ca="1" si="93"/>
        <v>1.4500000000000001E-2</v>
      </c>
      <c r="I218" s="1010">
        <f t="shared" ca="1" si="95"/>
        <v>0.99</v>
      </c>
      <c r="J218" s="1010"/>
      <c r="K218" s="1010"/>
      <c r="L218" s="1010"/>
      <c r="M218" s="1010"/>
      <c r="N218" s="1010"/>
      <c r="O218" s="1010"/>
      <c r="P218" s="1010"/>
      <c r="Q218" s="1010"/>
      <c r="R218" s="1010"/>
      <c r="S218" s="1010"/>
      <c r="T218" s="1010"/>
      <c r="U218" s="1010"/>
      <c r="V218" s="1010"/>
      <c r="W218" s="1010"/>
      <c r="X218" s="1010"/>
      <c r="Y218" s="1010"/>
      <c r="Z218" s="1010"/>
      <c r="AA218" s="1010"/>
      <c r="AB218" s="1010"/>
      <c r="AC218" s="1010"/>
      <c r="AD218" s="1010"/>
      <c r="AE218" s="1010"/>
      <c r="AF218" s="1010"/>
      <c r="AG218" s="1010"/>
      <c r="AH218" s="1010"/>
      <c r="AI218" s="1010"/>
      <c r="AJ218" s="1010"/>
    </row>
    <row r="219" spans="1:36">
      <c r="A219" s="1010"/>
      <c r="B219" s="1015">
        <f t="shared" ca="1" si="94"/>
        <v>2.4909837153684999</v>
      </c>
      <c r="C219" s="1350">
        <f t="shared" ca="1" si="89"/>
        <v>2.5025046614077397</v>
      </c>
      <c r="D219" s="1010">
        <f t="shared" ca="1" si="88"/>
        <v>10</v>
      </c>
      <c r="E219" s="1353">
        <f t="shared" ca="1" si="90"/>
        <v>2.4909837153684999</v>
      </c>
      <c r="F219" s="1353">
        <f t="shared" ca="1" si="91"/>
        <v>2.5025046614077397</v>
      </c>
      <c r="G219" s="1352">
        <f t="shared" ca="1" si="92"/>
        <v>2.4967441883881198</v>
      </c>
      <c r="H219" s="1010">
        <f t="shared" ca="1" si="93"/>
        <v>5.0000000000000001E-3</v>
      </c>
      <c r="I219" s="1010">
        <f t="shared" ca="1" si="95"/>
        <v>0.995</v>
      </c>
      <c r="J219" s="1010"/>
      <c r="K219" s="1010"/>
      <c r="L219" s="1010"/>
      <c r="M219" s="1010"/>
      <c r="N219" s="1010"/>
      <c r="O219" s="1010"/>
      <c r="P219" s="1010"/>
      <c r="Q219" s="1010"/>
      <c r="R219" s="1010"/>
      <c r="S219" s="1010"/>
      <c r="T219" s="1010"/>
      <c r="U219" s="1010"/>
      <c r="V219" s="1010"/>
      <c r="W219" s="1010"/>
      <c r="X219" s="1010"/>
      <c r="Y219" s="1010"/>
      <c r="Z219" s="1010"/>
      <c r="AA219" s="1010"/>
      <c r="AB219" s="1010"/>
      <c r="AC219" s="1010"/>
      <c r="AD219" s="1010"/>
      <c r="AE219" s="1010"/>
      <c r="AF219" s="1010"/>
      <c r="AG219" s="1010"/>
      <c r="AH219" s="1010"/>
      <c r="AI219" s="1010"/>
      <c r="AJ219" s="1010"/>
    </row>
    <row r="220" spans="1:36">
      <c r="A220" s="1010"/>
      <c r="B220" s="1015">
        <f t="shared" ca="1" si="94"/>
        <v>2.5025046614077397</v>
      </c>
      <c r="C220" s="1350">
        <f t="shared" ca="1" si="89"/>
        <v>2.5140256074469796</v>
      </c>
      <c r="D220" s="1010">
        <f t="shared" ca="1" si="88"/>
        <v>7</v>
      </c>
      <c r="E220" s="1353">
        <f t="shared" ca="1" si="90"/>
        <v>2.5025046614077397</v>
      </c>
      <c r="F220" s="1353">
        <f t="shared" ca="1" si="91"/>
        <v>2.5140256074469796</v>
      </c>
      <c r="G220" s="1352">
        <f t="shared" ca="1" si="92"/>
        <v>2.5082651344273597</v>
      </c>
      <c r="H220" s="1010">
        <f t="shared" ca="1" si="93"/>
        <v>3.5000000000000001E-3</v>
      </c>
      <c r="I220" s="1010">
        <f t="shared" ca="1" si="95"/>
        <v>0.99849999999999994</v>
      </c>
      <c r="J220" s="1010"/>
      <c r="K220" s="1010"/>
      <c r="L220" s="1010"/>
      <c r="M220" s="1010"/>
      <c r="N220" s="1010"/>
      <c r="O220" s="1010"/>
      <c r="P220" s="1010"/>
      <c r="Q220" s="1010"/>
      <c r="R220" s="1010"/>
      <c r="S220" s="1010"/>
      <c r="T220" s="1010"/>
      <c r="U220" s="1010"/>
      <c r="V220" s="1010"/>
      <c r="W220" s="1010"/>
      <c r="X220" s="1010"/>
      <c r="Y220" s="1010"/>
      <c r="Z220" s="1010"/>
      <c r="AA220" s="1010"/>
      <c r="AB220" s="1010"/>
      <c r="AC220" s="1010"/>
      <c r="AD220" s="1010"/>
      <c r="AE220" s="1010"/>
      <c r="AF220" s="1010"/>
      <c r="AG220" s="1010"/>
      <c r="AH220" s="1010"/>
      <c r="AI220" s="1010"/>
      <c r="AJ220" s="1010"/>
    </row>
    <row r="221" spans="1:36">
      <c r="A221" s="1010"/>
      <c r="B221" s="1015">
        <f t="shared" ca="1" si="94"/>
        <v>2.5140256074469796</v>
      </c>
      <c r="C221" s="1350">
        <f ca="1">+B221+($C$197/20)+0.000001</f>
        <v>2.5255475534862195</v>
      </c>
      <c r="D221" s="1010">
        <f t="shared" ca="1" si="88"/>
        <v>3</v>
      </c>
      <c r="E221" s="1353">
        <f t="shared" ca="1" si="90"/>
        <v>2.5140256074469796</v>
      </c>
      <c r="F221" s="1353">
        <f t="shared" ca="1" si="91"/>
        <v>2.5255475534862195</v>
      </c>
      <c r="G221" s="1352">
        <f t="shared" ca="1" si="92"/>
        <v>2.5197865804665995</v>
      </c>
      <c r="H221" s="1010">
        <f t="shared" ca="1" si="93"/>
        <v>1.5E-3</v>
      </c>
      <c r="I221" s="1010">
        <f t="shared" ca="1" si="95"/>
        <v>0.99999999999999989</v>
      </c>
      <c r="J221" s="1010"/>
      <c r="K221" s="1010"/>
      <c r="L221" s="1010"/>
      <c r="M221" s="1010"/>
      <c r="N221" s="1010"/>
      <c r="O221" s="1010"/>
      <c r="P221" s="1010"/>
      <c r="Q221" s="1010"/>
      <c r="R221" s="1010"/>
      <c r="S221" s="1010"/>
      <c r="T221" s="1010"/>
      <c r="U221" s="1010"/>
      <c r="V221" s="1010"/>
      <c r="W221" s="1010"/>
      <c r="X221" s="1010"/>
      <c r="Y221" s="1010"/>
      <c r="Z221" s="1010"/>
      <c r="AA221" s="1010"/>
      <c r="AB221" s="1010"/>
      <c r="AC221" s="1010"/>
      <c r="AD221" s="1010"/>
      <c r="AE221" s="1010"/>
      <c r="AF221" s="1010"/>
      <c r="AG221" s="1010"/>
      <c r="AH221" s="1010"/>
      <c r="AI221" s="1010"/>
      <c r="AJ221" s="1010"/>
    </row>
    <row r="222" spans="1:36">
      <c r="A222" s="1010"/>
      <c r="B222" s="1011"/>
      <c r="C222" s="1354"/>
      <c r="D222" s="1010"/>
      <c r="E222" s="1010"/>
      <c r="F222" s="1010">
        <f t="shared" ca="1" si="91"/>
        <v>0</v>
      </c>
      <c r="G222" s="1352">
        <f t="shared" ca="1" si="92"/>
        <v>0</v>
      </c>
      <c r="H222" s="1010"/>
      <c r="I222" s="1010"/>
      <c r="J222" s="1010"/>
      <c r="K222" s="1010"/>
      <c r="L222" s="1010"/>
      <c r="M222" s="1010"/>
      <c r="N222" s="1010"/>
      <c r="O222" s="1010"/>
      <c r="P222" s="1010"/>
      <c r="Q222" s="1010"/>
      <c r="R222" s="1010"/>
      <c r="S222" s="1010"/>
      <c r="T222" s="1010"/>
      <c r="U222" s="1010"/>
      <c r="V222" s="1010"/>
      <c r="W222" s="1010"/>
      <c r="X222" s="1010"/>
      <c r="Y222" s="1010"/>
      <c r="Z222" s="1010"/>
      <c r="AA222" s="1010"/>
      <c r="AB222" s="1010"/>
      <c r="AC222" s="1010"/>
      <c r="AD222" s="1010"/>
      <c r="AE222" s="1010"/>
      <c r="AF222" s="1010"/>
      <c r="AG222" s="1010"/>
      <c r="AH222" s="1010"/>
      <c r="AI222" s="1010"/>
      <c r="AJ222" s="1010"/>
    </row>
    <row r="223" spans="1:36">
      <c r="A223" s="1010"/>
      <c r="B223" s="1011" t="s">
        <v>1304</v>
      </c>
      <c r="C223" s="1010"/>
      <c r="D223" s="1010">
        <f ca="1">+SUM(D202:D221)</f>
        <v>2000</v>
      </c>
      <c r="E223" s="1010"/>
      <c r="F223" s="1010"/>
      <c r="G223" s="1010"/>
      <c r="H223" s="1010"/>
      <c r="I223" s="1010"/>
      <c r="J223" s="1010"/>
      <c r="K223" s="1010"/>
      <c r="L223" s="1010"/>
      <c r="M223" s="1010"/>
      <c r="N223" s="1010"/>
      <c r="O223" s="1010"/>
      <c r="P223" s="1010"/>
      <c r="Q223" s="1010"/>
      <c r="R223" s="1010"/>
      <c r="S223" s="1010"/>
      <c r="T223" s="1010"/>
      <c r="U223" s="1010"/>
      <c r="V223" s="1010"/>
      <c r="W223" s="1010"/>
      <c r="X223" s="1010"/>
      <c r="Y223" s="1010"/>
      <c r="Z223" s="1010"/>
      <c r="AA223" s="1010"/>
      <c r="AB223" s="1010"/>
      <c r="AC223" s="1010"/>
      <c r="AD223" s="1010"/>
      <c r="AE223" s="1010"/>
      <c r="AF223" s="1010"/>
      <c r="AG223" s="1010"/>
      <c r="AH223" s="1010"/>
      <c r="AI223" s="1010"/>
      <c r="AJ223" s="1010"/>
    </row>
    <row r="224" spans="1:36">
      <c r="A224" s="1010"/>
      <c r="B224" s="1010" t="str">
        <f t="array" ref="B224:B238">+TRANSPOSE(Sensitivity_output)</f>
        <v>Cost of hydrogen ($/kg)</v>
      </c>
      <c r="C224" s="1010"/>
      <c r="D224" s="1010"/>
      <c r="E224" s="1010"/>
      <c r="F224" s="1010"/>
      <c r="G224" s="1010"/>
      <c r="H224" s="1010"/>
      <c r="I224" s="1010"/>
      <c r="J224" s="1010"/>
      <c r="K224" s="1010"/>
      <c r="L224" s="1010"/>
      <c r="M224" s="1010"/>
      <c r="N224" s="1010"/>
      <c r="O224" s="1010"/>
      <c r="P224" s="1010"/>
      <c r="Q224" s="1010"/>
      <c r="R224" s="1010"/>
      <c r="S224" s="1010"/>
      <c r="T224" s="1010"/>
      <c r="U224" s="1010"/>
      <c r="V224" s="1010"/>
      <c r="W224" s="1010"/>
      <c r="X224" s="1010"/>
      <c r="Y224" s="1010"/>
      <c r="Z224" s="1010"/>
      <c r="AA224" s="1010"/>
      <c r="AB224" s="1010"/>
      <c r="AC224" s="1010"/>
      <c r="AD224" s="1010"/>
      <c r="AE224" s="1010"/>
      <c r="AF224" s="1010"/>
      <c r="AG224" s="1010"/>
      <c r="AH224" s="1010"/>
      <c r="AI224" s="1010"/>
      <c r="AJ224" s="1010"/>
    </row>
    <row r="225" spans="1:36">
      <c r="A225" s="1010"/>
      <c r="B225" s="1010" t="str">
        <v>Revenue from byproduct sales ($/kg)</v>
      </c>
      <c r="C225" s="1010"/>
      <c r="D225" s="1010"/>
      <c r="E225" s="1010"/>
      <c r="F225" s="1010"/>
      <c r="G225" s="1010"/>
      <c r="H225" s="1010"/>
      <c r="I225" s="1010"/>
      <c r="J225" s="1010"/>
      <c r="K225" s="1010"/>
      <c r="L225" s="1010"/>
      <c r="M225" s="1010"/>
      <c r="N225" s="1010"/>
      <c r="O225" s="1010"/>
      <c r="P225" s="1010"/>
      <c r="Q225" s="1010"/>
      <c r="R225" s="1010"/>
      <c r="S225" s="1010"/>
      <c r="T225" s="1010"/>
      <c r="U225" s="1010"/>
      <c r="V225" s="1010"/>
      <c r="W225" s="1010"/>
      <c r="X225" s="1010"/>
      <c r="Y225" s="1010"/>
      <c r="Z225" s="1010"/>
      <c r="AA225" s="1010"/>
      <c r="AB225" s="1010"/>
      <c r="AC225" s="1010"/>
      <c r="AD225" s="1010"/>
      <c r="AE225" s="1010"/>
      <c r="AF225" s="1010"/>
      <c r="AG225" s="1010"/>
      <c r="AH225" s="1010"/>
      <c r="AI225" s="1010"/>
      <c r="AJ225" s="1010"/>
    </row>
    <row r="226" spans="1:36">
      <c r="A226" s="1010"/>
      <c r="B226" s="1010" t="str">
        <v>Salvage value ($/kg)</v>
      </c>
      <c r="C226" s="1010"/>
      <c r="D226" s="1010"/>
      <c r="E226" s="1010"/>
      <c r="F226" s="1010"/>
      <c r="G226" s="1010"/>
      <c r="H226" s="1010"/>
      <c r="I226" s="1010"/>
      <c r="J226" s="1010"/>
      <c r="K226" s="1010"/>
      <c r="L226" s="1010"/>
      <c r="M226" s="1010"/>
      <c r="N226" s="1010"/>
      <c r="O226" s="1010"/>
      <c r="P226" s="1010"/>
      <c r="Q226" s="1010"/>
      <c r="R226" s="1010"/>
      <c r="S226" s="1010"/>
      <c r="T226" s="1010"/>
      <c r="U226" s="1010"/>
      <c r="V226" s="1010"/>
      <c r="W226" s="1010"/>
      <c r="X226" s="1010"/>
      <c r="Y226" s="1010"/>
      <c r="Z226" s="1010"/>
      <c r="AA226" s="1010"/>
      <c r="AB226" s="1010"/>
      <c r="AC226" s="1010"/>
      <c r="AD226" s="1010"/>
      <c r="AE226" s="1010"/>
      <c r="AF226" s="1010"/>
      <c r="AG226" s="1010"/>
      <c r="AH226" s="1010"/>
      <c r="AI226" s="1010"/>
      <c r="AJ226" s="1010"/>
    </row>
    <row r="227" spans="1:36">
      <c r="A227" s="1010"/>
      <c r="B227" s="1010" t="str">
        <v>Initial equity depreciable capital ($/kg)</v>
      </c>
      <c r="C227" s="1010"/>
      <c r="D227" s="1010"/>
      <c r="E227" s="1010"/>
      <c r="F227" s="1010"/>
      <c r="G227" s="1010"/>
      <c r="H227" s="1010"/>
      <c r="I227" s="1010"/>
      <c r="J227" s="1010"/>
      <c r="K227" s="1010"/>
      <c r="L227" s="1010"/>
      <c r="M227" s="1010"/>
      <c r="N227" s="1010"/>
      <c r="O227" s="1010"/>
      <c r="P227" s="1010"/>
      <c r="Q227" s="1010"/>
      <c r="R227" s="1010"/>
      <c r="S227" s="1010"/>
      <c r="T227" s="1010"/>
      <c r="U227" s="1010"/>
      <c r="V227" s="1010"/>
      <c r="W227" s="1010"/>
      <c r="X227" s="1010"/>
      <c r="Y227" s="1010"/>
      <c r="Z227" s="1010"/>
      <c r="AA227" s="1010"/>
      <c r="AB227" s="1010"/>
      <c r="AC227" s="1010"/>
      <c r="AD227" s="1010"/>
      <c r="AE227" s="1010"/>
      <c r="AF227" s="1010"/>
      <c r="AG227" s="1010"/>
      <c r="AH227" s="1010"/>
      <c r="AI227" s="1010"/>
      <c r="AJ227" s="1010"/>
    </row>
    <row r="228" spans="1:36">
      <c r="A228" s="1010"/>
      <c r="B228" s="1010" t="str">
        <v>Yearly replacement costs ($/kg)</v>
      </c>
      <c r="C228" s="1010"/>
      <c r="D228" s="1010"/>
      <c r="E228" s="1010"/>
      <c r="F228" s="1010"/>
      <c r="G228" s="1010"/>
      <c r="H228" s="1010"/>
      <c r="I228" s="1010"/>
      <c r="J228" s="1010"/>
      <c r="K228" s="1010"/>
      <c r="L228" s="1010"/>
      <c r="M228" s="1010"/>
      <c r="N228" s="1010"/>
      <c r="O228" s="1010"/>
      <c r="P228" s="1010"/>
      <c r="Q228" s="1010"/>
      <c r="R228" s="1010"/>
      <c r="S228" s="1010"/>
      <c r="T228" s="1010"/>
      <c r="U228" s="1010"/>
      <c r="V228" s="1010"/>
      <c r="W228" s="1010"/>
      <c r="X228" s="1010"/>
      <c r="Y228" s="1010"/>
      <c r="Z228" s="1010"/>
      <c r="AA228" s="1010"/>
      <c r="AB228" s="1010"/>
      <c r="AC228" s="1010"/>
      <c r="AD228" s="1010"/>
      <c r="AE228" s="1010"/>
      <c r="AF228" s="1010"/>
      <c r="AG228" s="1010"/>
      <c r="AH228" s="1010"/>
      <c r="AI228" s="1010"/>
      <c r="AJ228" s="1010"/>
    </row>
    <row r="229" spans="1:36">
      <c r="A229" s="1010"/>
      <c r="B229" s="1010" t="str">
        <v>Cash from working capital reserve ($/kg)</v>
      </c>
      <c r="C229" s="1010"/>
      <c r="D229" s="1010"/>
      <c r="E229" s="1010"/>
      <c r="F229" s="1010"/>
      <c r="G229" s="1010"/>
      <c r="H229" s="1010"/>
      <c r="I229" s="1010"/>
      <c r="J229" s="1010"/>
      <c r="K229" s="1010"/>
      <c r="L229" s="1010"/>
      <c r="M229" s="1010"/>
      <c r="N229" s="1010"/>
      <c r="O229" s="1010"/>
      <c r="P229" s="1010"/>
      <c r="Q229" s="1010"/>
      <c r="R229" s="1010"/>
      <c r="S229" s="1010"/>
      <c r="T229" s="1010"/>
      <c r="U229" s="1010"/>
      <c r="V229" s="1010"/>
      <c r="W229" s="1010"/>
      <c r="X229" s="1010"/>
      <c r="Y229" s="1010"/>
      <c r="Z229" s="1010"/>
      <c r="AA229" s="1010"/>
      <c r="AB229" s="1010"/>
      <c r="AC229" s="1010"/>
      <c r="AD229" s="1010"/>
      <c r="AE229" s="1010"/>
      <c r="AF229" s="1010"/>
      <c r="AG229" s="1010"/>
      <c r="AH229" s="1010"/>
      <c r="AI229" s="1010"/>
      <c r="AJ229" s="1010"/>
    </row>
    <row r="230" spans="1:36">
      <c r="A230" s="1010"/>
      <c r="B230" s="1010" t="str">
        <v>Other non-depreciable capital costs ($/kg)</v>
      </c>
      <c r="C230" s="1010"/>
      <c r="D230" s="1010"/>
      <c r="E230" s="1010"/>
      <c r="F230" s="1010"/>
      <c r="G230" s="1010"/>
      <c r="H230" s="1010"/>
      <c r="I230" s="1010"/>
      <c r="J230" s="1010"/>
      <c r="K230" s="1010"/>
      <c r="L230" s="1010"/>
      <c r="M230" s="1010"/>
      <c r="N230" s="1010"/>
      <c r="O230" s="1010"/>
      <c r="P230" s="1010"/>
      <c r="Q230" s="1010"/>
      <c r="R230" s="1010"/>
      <c r="S230" s="1010"/>
      <c r="T230" s="1010"/>
      <c r="U230" s="1010"/>
      <c r="V230" s="1010"/>
      <c r="W230" s="1010"/>
      <c r="X230" s="1010"/>
      <c r="Y230" s="1010"/>
      <c r="Z230" s="1010"/>
      <c r="AA230" s="1010"/>
      <c r="AB230" s="1010"/>
      <c r="AC230" s="1010"/>
      <c r="AD230" s="1010"/>
      <c r="AE230" s="1010"/>
      <c r="AF230" s="1010"/>
      <c r="AG230" s="1010"/>
      <c r="AH230" s="1010"/>
      <c r="AI230" s="1010"/>
      <c r="AJ230" s="1010"/>
    </row>
    <row r="231" spans="1:36">
      <c r="A231" s="1010"/>
      <c r="B231" s="1010" t="str">
        <v>Decommissioning costs ($/kg)</v>
      </c>
      <c r="C231" s="1010"/>
      <c r="D231" s="1010"/>
      <c r="E231" s="1010"/>
      <c r="F231" s="1010"/>
      <c r="G231" s="1010"/>
      <c r="H231" s="1010"/>
      <c r="I231" s="1010"/>
      <c r="J231" s="1010"/>
      <c r="K231" s="1010"/>
      <c r="L231" s="1010"/>
      <c r="M231" s="1010"/>
      <c r="N231" s="1010"/>
      <c r="O231" s="1010"/>
      <c r="P231" s="1010"/>
      <c r="Q231" s="1010"/>
      <c r="R231" s="1010"/>
      <c r="S231" s="1010"/>
      <c r="T231" s="1010"/>
      <c r="U231" s="1010"/>
      <c r="V231" s="1010"/>
      <c r="W231" s="1010"/>
      <c r="X231" s="1010"/>
      <c r="Y231" s="1010"/>
      <c r="Z231" s="1010"/>
      <c r="AA231" s="1010"/>
      <c r="AB231" s="1010"/>
      <c r="AC231" s="1010"/>
      <c r="AD231" s="1010"/>
      <c r="AE231" s="1010"/>
      <c r="AF231" s="1010"/>
      <c r="AG231" s="1010"/>
      <c r="AH231" s="1010"/>
      <c r="AI231" s="1010"/>
      <c r="AJ231" s="1010"/>
    </row>
    <row r="232" spans="1:36">
      <c r="A232" s="1010"/>
      <c r="B232" s="1010" t="str">
        <v>Fixed operating cost ($/kg)</v>
      </c>
      <c r="C232" s="1010"/>
      <c r="D232" s="1010"/>
      <c r="E232" s="1010"/>
      <c r="F232" s="1010"/>
      <c r="G232" s="1010"/>
      <c r="H232" s="1010"/>
      <c r="I232" s="1010"/>
      <c r="J232" s="1010"/>
      <c r="K232" s="1010"/>
      <c r="L232" s="1010"/>
      <c r="M232" s="1010"/>
      <c r="N232" s="1010"/>
      <c r="O232" s="1010"/>
      <c r="P232" s="1010"/>
      <c r="Q232" s="1010"/>
      <c r="R232" s="1010"/>
      <c r="S232" s="1010"/>
      <c r="T232" s="1010"/>
      <c r="U232" s="1010"/>
      <c r="V232" s="1010"/>
      <c r="W232" s="1010"/>
      <c r="X232" s="1010"/>
      <c r="Y232" s="1010"/>
      <c r="Z232" s="1010"/>
      <c r="AA232" s="1010"/>
      <c r="AB232" s="1010"/>
      <c r="AC232" s="1010"/>
      <c r="AD232" s="1010"/>
      <c r="AE232" s="1010"/>
      <c r="AF232" s="1010"/>
      <c r="AG232" s="1010"/>
      <c r="AH232" s="1010"/>
      <c r="AI232" s="1010"/>
      <c r="AJ232" s="1010"/>
    </row>
    <row r="233" spans="1:36">
      <c r="A233" s="1010"/>
      <c r="B233" s="1010" t="str">
        <v>Feedstock cost ($/kg)</v>
      </c>
      <c r="C233" s="1010"/>
      <c r="D233" s="1010"/>
      <c r="E233" s="1010"/>
      <c r="F233" s="1010"/>
      <c r="G233" s="1010"/>
      <c r="H233" s="1010"/>
      <c r="I233" s="1010"/>
      <c r="J233" s="1010"/>
      <c r="K233" s="1010"/>
      <c r="L233" s="1010"/>
      <c r="M233" s="1010"/>
      <c r="N233" s="1010"/>
      <c r="O233" s="1010"/>
      <c r="P233" s="1010"/>
      <c r="Q233" s="1010"/>
      <c r="R233" s="1010"/>
      <c r="S233" s="1010"/>
      <c r="T233" s="1010"/>
      <c r="U233" s="1010"/>
      <c r="V233" s="1010"/>
      <c r="W233" s="1010"/>
      <c r="X233" s="1010"/>
      <c r="Y233" s="1010"/>
      <c r="Z233" s="1010"/>
      <c r="AA233" s="1010"/>
      <c r="AB233" s="1010"/>
      <c r="AC233" s="1010"/>
      <c r="AD233" s="1010"/>
      <c r="AE233" s="1010"/>
      <c r="AF233" s="1010"/>
      <c r="AG233" s="1010"/>
      <c r="AH233" s="1010"/>
      <c r="AI233" s="1010"/>
      <c r="AJ233" s="1010"/>
    </row>
    <row r="234" spans="1:36">
      <c r="A234" s="1010"/>
      <c r="B234" s="1010" t="str">
        <v>Other raw material cost ($/kg)</v>
      </c>
      <c r="C234" s="1010"/>
      <c r="D234" s="1010"/>
      <c r="E234" s="1010"/>
      <c r="F234" s="1010"/>
      <c r="G234" s="1010"/>
      <c r="H234" s="1010"/>
      <c r="I234" s="1010"/>
      <c r="J234" s="1010"/>
      <c r="K234" s="1010"/>
      <c r="L234" s="1010"/>
      <c r="M234" s="1010"/>
      <c r="N234" s="1010"/>
      <c r="O234" s="1010"/>
      <c r="P234" s="1010"/>
      <c r="Q234" s="1010"/>
      <c r="R234" s="1010"/>
      <c r="S234" s="1010"/>
      <c r="T234" s="1010"/>
      <c r="U234" s="1010"/>
      <c r="V234" s="1010"/>
      <c r="W234" s="1010"/>
      <c r="X234" s="1010"/>
      <c r="Y234" s="1010"/>
      <c r="Z234" s="1010"/>
      <c r="AA234" s="1010"/>
      <c r="AB234" s="1010"/>
      <c r="AC234" s="1010"/>
      <c r="AD234" s="1010"/>
      <c r="AE234" s="1010"/>
      <c r="AF234" s="1010"/>
      <c r="AG234" s="1010"/>
      <c r="AH234" s="1010"/>
      <c r="AI234" s="1010"/>
      <c r="AJ234" s="1010"/>
    </row>
    <row r="235" spans="1:36">
      <c r="A235" s="1010"/>
      <c r="B235" s="1010" t="str">
        <v>Other variable operating costs ($/kg)</v>
      </c>
      <c r="C235" s="1010"/>
      <c r="D235" s="1010"/>
      <c r="E235" s="1010"/>
      <c r="F235" s="1010"/>
      <c r="G235" s="1010"/>
      <c r="H235" s="1010"/>
      <c r="I235" s="1010"/>
      <c r="J235" s="1010"/>
      <c r="K235" s="1010"/>
      <c r="L235" s="1010"/>
      <c r="M235" s="1010"/>
      <c r="N235" s="1010"/>
      <c r="O235" s="1010"/>
      <c r="P235" s="1010"/>
      <c r="Q235" s="1010"/>
      <c r="R235" s="1010"/>
      <c r="S235" s="1010"/>
      <c r="T235" s="1010"/>
      <c r="U235" s="1010"/>
      <c r="V235" s="1010"/>
      <c r="W235" s="1010"/>
      <c r="X235" s="1010"/>
      <c r="Y235" s="1010"/>
      <c r="Z235" s="1010"/>
      <c r="AA235" s="1010"/>
      <c r="AB235" s="1010"/>
      <c r="AC235" s="1010"/>
      <c r="AD235" s="1010"/>
      <c r="AE235" s="1010"/>
      <c r="AF235" s="1010"/>
      <c r="AG235" s="1010"/>
      <c r="AH235" s="1010"/>
      <c r="AI235" s="1010"/>
      <c r="AJ235" s="1010"/>
    </row>
    <row r="236" spans="1:36">
      <c r="A236" s="1010"/>
      <c r="B236" s="1010" t="str">
        <v>Debt interest ($/kg)</v>
      </c>
      <c r="C236" s="1010"/>
      <c r="D236" s="1010"/>
      <c r="E236" s="1010"/>
      <c r="F236" s="1010"/>
      <c r="G236" s="1010"/>
      <c r="H236" s="1010"/>
      <c r="I236" s="1010"/>
      <c r="J236" s="1010"/>
      <c r="K236" s="1010"/>
      <c r="L236" s="1010"/>
      <c r="M236" s="1010"/>
      <c r="N236" s="1010"/>
      <c r="O236" s="1010"/>
      <c r="P236" s="1010"/>
      <c r="Q236" s="1010"/>
      <c r="R236" s="1010"/>
      <c r="S236" s="1010"/>
      <c r="T236" s="1010"/>
      <c r="U236" s="1010"/>
      <c r="V236" s="1010"/>
      <c r="W236" s="1010"/>
      <c r="X236" s="1010"/>
      <c r="Y236" s="1010"/>
      <c r="Z236" s="1010"/>
      <c r="AA236" s="1010"/>
      <c r="AB236" s="1010"/>
      <c r="AC236" s="1010"/>
      <c r="AD236" s="1010"/>
      <c r="AE236" s="1010"/>
      <c r="AF236" s="1010"/>
      <c r="AG236" s="1010"/>
      <c r="AH236" s="1010"/>
      <c r="AI236" s="1010"/>
      <c r="AJ236" s="1010"/>
    </row>
    <row r="237" spans="1:36">
      <c r="A237" s="1010"/>
      <c r="B237" s="1010" t="str">
        <v>Taxes ($/kg)</v>
      </c>
      <c r="C237" s="1010"/>
      <c r="D237" s="1010"/>
      <c r="E237" s="1010"/>
      <c r="F237" s="1010"/>
      <c r="G237" s="1010"/>
      <c r="H237" s="1010"/>
      <c r="I237" s="1010"/>
      <c r="J237" s="1010"/>
      <c r="K237" s="1010"/>
      <c r="L237" s="1010"/>
      <c r="M237" s="1010"/>
      <c r="N237" s="1010"/>
      <c r="O237" s="1010"/>
      <c r="P237" s="1010"/>
      <c r="Q237" s="1010"/>
      <c r="R237" s="1010"/>
      <c r="S237" s="1010"/>
      <c r="T237" s="1010"/>
      <c r="U237" s="1010"/>
      <c r="V237" s="1010"/>
      <c r="W237" s="1010"/>
      <c r="X237" s="1010"/>
      <c r="Y237" s="1010"/>
      <c r="Z237" s="1010"/>
      <c r="AA237" s="1010"/>
      <c r="AB237" s="1010"/>
      <c r="AC237" s="1010"/>
      <c r="AD237" s="1010"/>
      <c r="AE237" s="1010"/>
      <c r="AF237" s="1010"/>
      <c r="AG237" s="1010"/>
      <c r="AH237" s="1010"/>
      <c r="AI237" s="1010"/>
      <c r="AJ237" s="1010"/>
    </row>
    <row r="238" spans="1:36">
      <c r="A238" s="1010"/>
      <c r="B238" s="1010" t="str">
        <v>Principal payment ($/kg)</v>
      </c>
      <c r="C238" s="1010"/>
      <c r="D238" s="1010"/>
      <c r="E238" s="1010"/>
      <c r="F238" s="1010"/>
      <c r="G238" s="1010"/>
      <c r="H238" s="1010"/>
      <c r="I238" s="1010"/>
      <c r="J238" s="1010"/>
      <c r="K238" s="1010"/>
      <c r="L238" s="1010"/>
      <c r="M238" s="1010"/>
      <c r="N238" s="1010"/>
      <c r="O238" s="1010"/>
      <c r="P238" s="1010"/>
      <c r="Q238" s="1010"/>
      <c r="R238" s="1010"/>
      <c r="S238" s="1010"/>
      <c r="T238" s="1010"/>
      <c r="U238" s="1010"/>
      <c r="V238" s="1010"/>
      <c r="W238" s="1010"/>
      <c r="X238" s="1010"/>
      <c r="Y238" s="1010"/>
      <c r="Z238" s="1010"/>
      <c r="AA238" s="1010"/>
      <c r="AB238" s="1010"/>
      <c r="AC238" s="1010"/>
      <c r="AD238" s="1010"/>
      <c r="AE238" s="1010"/>
      <c r="AF238" s="1010"/>
      <c r="AG238" s="1010"/>
      <c r="AH238" s="1010"/>
      <c r="AI238" s="1010"/>
      <c r="AJ238" s="1010"/>
    </row>
    <row r="239" spans="1:36">
      <c r="A239" s="1010"/>
      <c r="B239" s="1010" t="str">
        <f t="array" ref="B239:B245">+TRANSPOSE(C50:I50)</f>
        <v>Operating capacity factor</v>
      </c>
      <c r="C239" s="1010"/>
      <c r="D239" s="1010"/>
      <c r="E239" s="1010"/>
      <c r="F239" s="1010"/>
      <c r="G239" s="1010"/>
      <c r="H239" s="1010"/>
      <c r="I239" s="1010"/>
      <c r="J239" s="1010"/>
      <c r="K239" s="1010"/>
      <c r="L239" s="1010"/>
      <c r="M239" s="1010"/>
      <c r="N239" s="1010"/>
      <c r="O239" s="1010"/>
      <c r="P239" s="1010"/>
      <c r="Q239" s="1010"/>
      <c r="R239" s="1010"/>
      <c r="S239" s="1010"/>
      <c r="T239" s="1010"/>
      <c r="U239" s="1010"/>
      <c r="V239" s="1010"/>
      <c r="W239" s="1010"/>
      <c r="X239" s="1010"/>
      <c r="Y239" s="1010"/>
      <c r="Z239" s="1010"/>
      <c r="AA239" s="1010"/>
      <c r="AB239" s="1010"/>
      <c r="AC239" s="1010"/>
      <c r="AD239" s="1010"/>
      <c r="AE239" s="1010"/>
      <c r="AF239" s="1010"/>
      <c r="AG239" s="1010"/>
      <c r="AH239" s="1010"/>
      <c r="AI239" s="1010"/>
      <c r="AJ239" s="1010"/>
    </row>
    <row r="240" spans="1:36">
      <c r="A240" s="1010"/>
      <c r="B240" s="1010" t="str">
        <v>Plant design capacity (kg of H2/day)</v>
      </c>
      <c r="C240" s="1010"/>
      <c r="D240" s="1010"/>
      <c r="E240" s="1010"/>
      <c r="F240" s="1010"/>
      <c r="G240" s="1010"/>
      <c r="H240" s="1010"/>
      <c r="I240" s="1010"/>
      <c r="J240" s="1010"/>
      <c r="K240" s="1010"/>
      <c r="L240" s="1010"/>
      <c r="M240" s="1010"/>
      <c r="N240" s="1010"/>
      <c r="O240" s="1010"/>
      <c r="P240" s="1010"/>
      <c r="Q240" s="1010"/>
      <c r="R240" s="1010"/>
      <c r="S240" s="1010"/>
      <c r="T240" s="1010"/>
      <c r="U240" s="1010"/>
      <c r="V240" s="1010"/>
      <c r="W240" s="1010"/>
      <c r="X240" s="1010"/>
      <c r="Y240" s="1010"/>
      <c r="Z240" s="1010"/>
      <c r="AA240" s="1010"/>
      <c r="AB240" s="1010"/>
      <c r="AC240" s="1010"/>
      <c r="AD240" s="1010"/>
      <c r="AE240" s="1010"/>
      <c r="AF240" s="1010"/>
      <c r="AG240" s="1010"/>
      <c r="AH240" s="1010"/>
      <c r="AI240" s="1010"/>
      <c r="AJ240" s="1010"/>
    </row>
    <row r="241" spans="1:36">
      <c r="A241" s="1010"/>
      <c r="B241" s="1010" t="str">
        <v>After-tax real IRR (%)</v>
      </c>
      <c r="C241" s="1010"/>
      <c r="D241" s="1010"/>
      <c r="E241" s="1010"/>
      <c r="F241" s="1010"/>
      <c r="G241" s="1010"/>
      <c r="H241" s="1010"/>
      <c r="I241" s="1010"/>
      <c r="J241" s="1010"/>
      <c r="K241" s="1010"/>
      <c r="L241" s="1010"/>
      <c r="M241" s="1010"/>
      <c r="N241" s="1010"/>
      <c r="O241" s="1010"/>
      <c r="P241" s="1010"/>
      <c r="Q241" s="1010"/>
      <c r="R241" s="1010"/>
      <c r="S241" s="1010"/>
      <c r="T241" s="1010"/>
      <c r="U241" s="1010"/>
      <c r="V241" s="1010"/>
      <c r="W241" s="1010"/>
      <c r="X241" s="1010"/>
      <c r="Y241" s="1010"/>
      <c r="Z241" s="1010"/>
      <c r="AA241" s="1010"/>
      <c r="AB241" s="1010"/>
      <c r="AC241" s="1010"/>
      <c r="AD241" s="1010"/>
      <c r="AE241" s="1010"/>
      <c r="AF241" s="1010"/>
      <c r="AG241" s="1010"/>
      <c r="AH241" s="1010"/>
      <c r="AI241" s="1010"/>
      <c r="AJ241" s="1010"/>
    </row>
    <row r="242" spans="1:36">
      <c r="A242" s="1010"/>
      <c r="B242" s="1010" t="str">
        <v>Feedstock consumption (% of most likely value)</v>
      </c>
      <c r="C242" s="1010"/>
      <c r="D242" s="1010"/>
      <c r="E242" s="1010"/>
      <c r="F242" s="1010"/>
      <c r="G242" s="1010"/>
      <c r="H242" s="1010"/>
      <c r="I242" s="1010"/>
      <c r="J242" s="1010"/>
      <c r="K242" s="1010"/>
      <c r="L242" s="1010"/>
      <c r="M242" s="1010"/>
      <c r="N242" s="1010"/>
      <c r="O242" s="1010"/>
      <c r="P242" s="1010"/>
      <c r="Q242" s="1010"/>
      <c r="R242" s="1010"/>
      <c r="S242" s="1010"/>
      <c r="T242" s="1010"/>
      <c r="U242" s="1010"/>
      <c r="V242" s="1010"/>
      <c r="W242" s="1010"/>
      <c r="X242" s="1010"/>
      <c r="Y242" s="1010"/>
      <c r="Z242" s="1010"/>
      <c r="AA242" s="1010"/>
      <c r="AB242" s="1010"/>
      <c r="AC242" s="1010"/>
      <c r="AD242" s="1010"/>
      <c r="AE242" s="1010"/>
      <c r="AF242" s="1010"/>
      <c r="AG242" s="1010"/>
      <c r="AH242" s="1010"/>
      <c r="AI242" s="1010"/>
      <c r="AJ242" s="1010"/>
    </row>
    <row r="243" spans="1:36">
      <c r="A243" s="1010"/>
      <c r="B243" s="1010" t="str">
        <v>Utilities consumption (% of most likely value)</v>
      </c>
      <c r="C243" s="1010"/>
      <c r="D243" s="1010"/>
      <c r="E243" s="1010"/>
      <c r="F243" s="1010"/>
      <c r="G243" s="1010"/>
      <c r="H243" s="1010"/>
      <c r="I243" s="1010"/>
      <c r="J243" s="1010"/>
      <c r="K243" s="1010"/>
      <c r="L243" s="1010"/>
      <c r="M243" s="1010"/>
      <c r="N243" s="1010"/>
      <c r="O243" s="1010"/>
      <c r="P243" s="1010"/>
      <c r="Q243" s="1010"/>
      <c r="R243" s="1010"/>
      <c r="S243" s="1010"/>
      <c r="T243" s="1010"/>
      <c r="U243" s="1010"/>
      <c r="V243" s="1010"/>
      <c r="W243" s="1010"/>
      <c r="X243" s="1010"/>
      <c r="Y243" s="1010"/>
      <c r="Z243" s="1010"/>
      <c r="AA243" s="1010"/>
      <c r="AB243" s="1010"/>
      <c r="AC243" s="1010"/>
      <c r="AD243" s="1010"/>
      <c r="AE243" s="1010"/>
      <c r="AF243" s="1010"/>
      <c r="AG243" s="1010"/>
      <c r="AH243" s="1010"/>
      <c r="AI243" s="1010"/>
      <c r="AJ243" s="1010"/>
    </row>
    <row r="244" spans="1:36">
      <c r="A244" s="1010"/>
      <c r="B244" s="1010" t="str">
        <v>Total capital investment ($)</v>
      </c>
      <c r="C244" s="1010"/>
      <c r="D244" s="1010"/>
      <c r="E244" s="1010"/>
      <c r="F244" s="1010"/>
      <c r="G244" s="1010"/>
      <c r="H244" s="1010"/>
      <c r="I244" s="1010"/>
      <c r="J244" s="1010"/>
      <c r="K244" s="1010"/>
      <c r="L244" s="1010"/>
      <c r="M244" s="1010"/>
      <c r="N244" s="1010"/>
      <c r="O244" s="1010"/>
      <c r="P244" s="1010"/>
      <c r="Q244" s="1010"/>
      <c r="R244" s="1010"/>
      <c r="S244" s="1010"/>
      <c r="T244" s="1010"/>
      <c r="U244" s="1010"/>
      <c r="V244" s="1010"/>
      <c r="W244" s="1010"/>
      <c r="X244" s="1010"/>
      <c r="Y244" s="1010"/>
      <c r="Z244" s="1010"/>
      <c r="AA244" s="1010"/>
      <c r="AB244" s="1010"/>
      <c r="AC244" s="1010"/>
      <c r="AD244" s="1010"/>
      <c r="AE244" s="1010"/>
      <c r="AF244" s="1010"/>
      <c r="AG244" s="1010"/>
      <c r="AH244" s="1010"/>
      <c r="AI244" s="1010"/>
      <c r="AJ244" s="1010"/>
    </row>
    <row r="245" spans="1:36">
      <c r="A245" s="1010"/>
      <c r="B245" s="1010" t="str">
        <v>Total fixed operating cost ($/year)</v>
      </c>
      <c r="C245" s="1010"/>
      <c r="D245" s="1010"/>
      <c r="E245" s="1010"/>
      <c r="F245" s="1010"/>
      <c r="G245" s="1010"/>
      <c r="H245" s="1010"/>
      <c r="I245" s="1010"/>
      <c r="J245" s="1010"/>
      <c r="K245" s="1010"/>
      <c r="L245" s="1010"/>
      <c r="M245" s="1010"/>
      <c r="N245" s="1010"/>
      <c r="O245" s="1010"/>
      <c r="P245" s="1010"/>
      <c r="Q245" s="1010"/>
      <c r="R245" s="1010"/>
      <c r="S245" s="1010"/>
      <c r="T245" s="1010"/>
      <c r="U245" s="1010"/>
      <c r="V245" s="1010"/>
      <c r="W245" s="1010"/>
      <c r="X245" s="1010"/>
      <c r="Y245" s="1010"/>
      <c r="Z245" s="1010"/>
      <c r="AA245" s="1010"/>
      <c r="AB245" s="1010"/>
      <c r="AC245" s="1010"/>
      <c r="AD245" s="1010"/>
      <c r="AE245" s="1010"/>
      <c r="AF245" s="1010"/>
      <c r="AG245" s="1010"/>
      <c r="AH245" s="1010"/>
      <c r="AI245" s="1010"/>
      <c r="AJ245" s="1010"/>
    </row>
    <row r="246" spans="1:36">
      <c r="A246" s="1010"/>
      <c r="B246" s="1010"/>
      <c r="C246" s="1010"/>
      <c r="D246" s="1010"/>
      <c r="E246" s="1010"/>
      <c r="F246" s="1010"/>
      <c r="G246" s="1010"/>
      <c r="H246" s="1010"/>
      <c r="I246" s="1010"/>
      <c r="J246" s="1010"/>
      <c r="K246" s="1010"/>
      <c r="L246" s="1010"/>
      <c r="M246" s="1010"/>
      <c r="N246" s="1010"/>
      <c r="O246" s="1010"/>
      <c r="P246" s="1010"/>
      <c r="Q246" s="1010"/>
      <c r="R246" s="1010"/>
      <c r="S246" s="1010"/>
      <c r="T246" s="1010"/>
      <c r="U246" s="1010"/>
      <c r="V246" s="1010"/>
      <c r="W246" s="1010"/>
      <c r="X246" s="1010"/>
      <c r="Y246" s="1010"/>
      <c r="Z246" s="1010"/>
      <c r="AA246" s="1010"/>
      <c r="AB246" s="1010"/>
      <c r="AC246" s="1010"/>
      <c r="AD246" s="1010"/>
      <c r="AE246" s="1010"/>
      <c r="AF246" s="1010"/>
      <c r="AG246" s="1010"/>
      <c r="AH246" s="1010"/>
      <c r="AI246" s="1010"/>
      <c r="AJ246" s="1010"/>
    </row>
    <row r="247" spans="1:36">
      <c r="A247" s="1010"/>
      <c r="B247" s="1010"/>
      <c r="C247" s="1010"/>
      <c r="D247" s="1010"/>
      <c r="E247" s="1010"/>
      <c r="F247" s="1010"/>
      <c r="G247" s="1010"/>
      <c r="H247" s="1010"/>
      <c r="I247" s="1010"/>
      <c r="J247" s="1010"/>
      <c r="K247" s="1010"/>
      <c r="L247" s="1010"/>
      <c r="M247" s="1010"/>
      <c r="N247" s="1010"/>
      <c r="O247" s="1010"/>
      <c r="P247" s="1010"/>
      <c r="Q247" s="1010"/>
      <c r="R247" s="1010"/>
      <c r="S247" s="1010"/>
      <c r="T247" s="1010"/>
      <c r="U247" s="1010"/>
      <c r="V247" s="1010"/>
      <c r="W247" s="1010"/>
      <c r="X247" s="1010"/>
      <c r="Y247" s="1010"/>
      <c r="Z247" s="1010"/>
      <c r="AA247" s="1010"/>
      <c r="AB247" s="1010"/>
      <c r="AC247" s="1010"/>
      <c r="AD247" s="1010"/>
      <c r="AE247" s="1010"/>
      <c r="AF247" s="1010"/>
      <c r="AG247" s="1010"/>
      <c r="AH247" s="1010"/>
      <c r="AI247" s="1010"/>
      <c r="AJ247" s="1010"/>
    </row>
    <row r="248" spans="1:36">
      <c r="A248" s="1010"/>
      <c r="B248" s="1011"/>
      <c r="C248">
        <f ca="1">+RAND()</f>
        <v>0.36492262110720142</v>
      </c>
      <c r="D248">
        <f t="shared" ref="D248:I248" ca="1" si="96">+RAND()</f>
        <v>0.3720075047662722</v>
      </c>
      <c r="E248">
        <f t="shared" ca="1" si="96"/>
        <v>0.59809554031569501</v>
      </c>
      <c r="F248">
        <f t="shared" ca="1" si="96"/>
        <v>0.15991299595983732</v>
      </c>
      <c r="G248">
        <f t="shared" ca="1" si="96"/>
        <v>0.54388738948246274</v>
      </c>
      <c r="H248">
        <f t="shared" ca="1" si="96"/>
        <v>0.70614980273382522</v>
      </c>
      <c r="I248">
        <f t="shared" ca="1" si="96"/>
        <v>0.77700579637079481</v>
      </c>
      <c r="J248" s="1010"/>
      <c r="K248" s="1010"/>
      <c r="L248" s="1010"/>
      <c r="M248" s="1010"/>
      <c r="N248" s="1010"/>
      <c r="O248" s="1010"/>
      <c r="P248" s="1010"/>
      <c r="Q248" s="1010"/>
      <c r="R248" s="1010"/>
      <c r="S248" s="1010"/>
      <c r="T248" s="1010"/>
      <c r="U248" s="1010"/>
      <c r="V248" s="1010"/>
      <c r="W248" s="1010"/>
      <c r="X248" s="1010"/>
      <c r="Y248" s="1010"/>
      <c r="Z248" s="1010"/>
      <c r="AA248" s="1010"/>
      <c r="AB248" s="1010"/>
      <c r="AC248" s="1010"/>
      <c r="AD248" s="1010"/>
      <c r="AE248" s="1010"/>
      <c r="AF248" s="1010"/>
      <c r="AG248" s="1010"/>
      <c r="AH248" s="1010"/>
      <c r="AI248" s="1010"/>
      <c r="AJ248" s="1010"/>
    </row>
    <row r="249" spans="1:36">
      <c r="A249" s="1010"/>
      <c r="B249" s="286"/>
      <c r="C249" s="1015">
        <f ca="1">IFERROR(IF(C$248&lt;=(C$190-C$189)/(C$191-C$189),C$189+SQRT(C$248*(C$191-C$189)*(C$190-C$189)),C$191-SQRT((1-C$248)*(C$191-C$189)*(C$191-C$190))),1)</f>
        <v>0.99271549022937711</v>
      </c>
      <c r="D249" s="1015">
        <f t="shared" ref="D249:I249" ca="1" si="97">IFERROR(IF(D$248&lt;=(D$190-D$189)/(D$191-D$189),D$189+SQRT(D$248*(D$191-D$189)*(D$190-D$189)),D$191-SQRT((1-D$248)*(D$191-D$189)*(D$191-D$190))),1)</f>
        <v>0.99312815233500462</v>
      </c>
      <c r="E249" s="1015">
        <f t="shared" ca="1" si="97"/>
        <v>1.0051723043373684</v>
      </c>
      <c r="F249" s="1015">
        <f t="shared" ca="1" si="97"/>
        <v>0.97827658005840146</v>
      </c>
      <c r="G249" s="1015">
        <f t="shared" ca="1" si="97"/>
        <v>1.0022447588992822</v>
      </c>
      <c r="H249" s="1015">
        <f t="shared" ca="1" si="97"/>
        <v>1.0116691901164236</v>
      </c>
      <c r="I249" s="1015">
        <f t="shared" ca="1" si="97"/>
        <v>1.0166088182577193</v>
      </c>
    </row>
    <row r="250" spans="1:36">
      <c r="A250" s="1010"/>
      <c r="B250" s="286"/>
    </row>
    <row r="251" spans="1:36">
      <c r="A251" s="1010"/>
      <c r="B251" s="1351">
        <v>1</v>
      </c>
      <c r="C251" s="1015">
        <v>1.038900395659643</v>
      </c>
      <c r="D251" s="1015">
        <v>0.98549186951732026</v>
      </c>
      <c r="E251" s="1015">
        <v>1.0055832969564074</v>
      </c>
      <c r="F251" s="1015">
        <v>1.0080103307286614</v>
      </c>
      <c r="G251" s="1015">
        <v>0.97028392303106314</v>
      </c>
      <c r="H251" s="1015">
        <v>1.0048671372619602</v>
      </c>
      <c r="I251" s="1015">
        <v>0.99352864609518921</v>
      </c>
      <c r="K251">
        <v>2.3903032077120665</v>
      </c>
      <c r="L251">
        <v>0</v>
      </c>
      <c r="M251">
        <v>1.5748044942598698E-3</v>
      </c>
      <c r="N251">
        <v>0.14576781304708708</v>
      </c>
      <c r="O251">
        <v>2.0268444929397621E-2</v>
      </c>
      <c r="P251">
        <v>2.84259777395484E-2</v>
      </c>
      <c r="Q251">
        <v>5.3336461290338505E-3</v>
      </c>
      <c r="R251">
        <v>1.5541181274907917E-3</v>
      </c>
      <c r="S251">
        <v>0.24958717385976883</v>
      </c>
      <c r="T251">
        <v>1.3827476709353856</v>
      </c>
      <c r="U251">
        <v>0.20405467083448622</v>
      </c>
      <c r="V251">
        <v>0.23810084295428638</v>
      </c>
      <c r="W251">
        <v>9.5442998382224628E-2</v>
      </c>
      <c r="X251">
        <v>1.636485803949209E-2</v>
      </c>
      <c r="Y251">
        <v>4.2297972281268963E-3</v>
      </c>
    </row>
    <row r="252" spans="1:36">
      <c r="A252" s="1010"/>
      <c r="B252" s="1351">
        <v>2</v>
      </c>
      <c r="C252" s="1015">
        <v>0.98767546646638393</v>
      </c>
      <c r="D252" s="1015">
        <v>0.99932407170168225</v>
      </c>
      <c r="E252" s="1015">
        <v>0.95516153454118613</v>
      </c>
      <c r="F252" s="1015">
        <v>1.0046673741651104</v>
      </c>
      <c r="G252" s="1015">
        <v>0.96674421939817401</v>
      </c>
      <c r="H252" s="1015">
        <v>1.0253729624964532</v>
      </c>
      <c r="I252" s="1015">
        <v>1.0139967637218728</v>
      </c>
      <c r="K252">
        <v>2.4228819872165235</v>
      </c>
      <c r="L252">
        <v>0</v>
      </c>
      <c r="M252">
        <v>1.8702930186900296E-3</v>
      </c>
      <c r="N252">
        <v>0.14866419823624505</v>
      </c>
      <c r="O252">
        <v>2.1220597270793697E-2</v>
      </c>
      <c r="P252">
        <v>2.7692326152904696E-2</v>
      </c>
      <c r="Q252">
        <v>5.305275427831338E-3</v>
      </c>
      <c r="R252">
        <v>1.8462164823349169E-3</v>
      </c>
      <c r="S252">
        <v>0.26744022718857802</v>
      </c>
      <c r="T252">
        <v>1.377070801010424</v>
      </c>
      <c r="U252">
        <v>0.2144638425864144</v>
      </c>
      <c r="V252">
        <v>0.24078715199708411</v>
      </c>
      <c r="W252">
        <v>0.10034794531286764</v>
      </c>
      <c r="X252">
        <v>1.4888905909916128E-2</v>
      </c>
      <c r="Y252">
        <v>5.0247926598158072E-3</v>
      </c>
    </row>
    <row r="253" spans="1:36">
      <c r="A253" s="1010"/>
      <c r="B253" s="1351">
        <v>3</v>
      </c>
      <c r="C253" s="1015">
        <v>0.99425098432501313</v>
      </c>
      <c r="D253" s="1015">
        <v>0.96750924874184341</v>
      </c>
      <c r="E253" s="1015">
        <v>0.99845573964146306</v>
      </c>
      <c r="F253" s="1015">
        <v>0.96705932042898413</v>
      </c>
      <c r="G253" s="1015">
        <v>1.0027492741359993</v>
      </c>
      <c r="H253" s="1015">
        <v>1.032736866003402</v>
      </c>
      <c r="I253" s="1015">
        <v>1.0326451388421181</v>
      </c>
      <c r="K253">
        <v>2.3967616589195173</v>
      </c>
      <c r="L253">
        <v>0</v>
      </c>
      <c r="M253">
        <v>1.7233283969378141E-3</v>
      </c>
      <c r="N253">
        <v>0.15617386162569466</v>
      </c>
      <c r="O253">
        <v>2.125983716958316E-2</v>
      </c>
      <c r="P253">
        <v>2.810530024674426E-2</v>
      </c>
      <c r="Q253">
        <v>5.5546370157166089E-3</v>
      </c>
      <c r="R253">
        <v>1.7013019431502963E-3</v>
      </c>
      <c r="S253">
        <v>0.27600643910756351</v>
      </c>
      <c r="T253">
        <v>1.3264235974887391</v>
      </c>
      <c r="U253">
        <v>0.21319376121368569</v>
      </c>
      <c r="V253">
        <v>0.24636693984384436</v>
      </c>
      <c r="W253">
        <v>0.10268987592778424</v>
      </c>
      <c r="X253">
        <v>1.6379052678729356E-2</v>
      </c>
      <c r="Y253">
        <v>4.6303830552202737E-3</v>
      </c>
    </row>
    <row r="254" spans="1:36">
      <c r="A254" s="1010"/>
      <c r="B254" s="1351">
        <v>4</v>
      </c>
      <c r="C254" s="1015">
        <v>0.98888430503767133</v>
      </c>
      <c r="D254" s="1015">
        <v>0.97628342285100567</v>
      </c>
      <c r="E254" s="1015">
        <v>0.99640154462633435</v>
      </c>
      <c r="F254" s="1015">
        <v>1.0300350706964849</v>
      </c>
      <c r="G254" s="1015">
        <v>1.0019298966063019</v>
      </c>
      <c r="H254" s="1015">
        <v>1.0078812899837688</v>
      </c>
      <c r="I254" s="1015">
        <v>0.99836596902898034</v>
      </c>
      <c r="K254">
        <v>2.4688281264044707</v>
      </c>
      <c r="L254">
        <v>0</v>
      </c>
      <c r="M254">
        <v>1.6948275727939755E-3</v>
      </c>
      <c r="N254">
        <v>0.15259184609908893</v>
      </c>
      <c r="O254">
        <v>2.1331416766267614E-2</v>
      </c>
      <c r="P254">
        <v>2.9104678151578411E-2</v>
      </c>
      <c r="Q254">
        <v>5.5618263746307298E-3</v>
      </c>
      <c r="R254">
        <v>1.672631182327626E-3</v>
      </c>
      <c r="S254">
        <v>0.2649176005680281</v>
      </c>
      <c r="T254">
        <v>1.4127557250006699</v>
      </c>
      <c r="U254">
        <v>0.2143436668761903</v>
      </c>
      <c r="V254">
        <v>0.24657494461110394</v>
      </c>
      <c r="W254">
        <v>0.10045739585881834</v>
      </c>
      <c r="X254">
        <v>1.6658871792985946E-2</v>
      </c>
      <c r="Y254">
        <v>4.5523506955747316E-3</v>
      </c>
    </row>
    <row r="255" spans="1:36">
      <c r="A255" s="1010"/>
      <c r="B255" s="1351">
        <v>5</v>
      </c>
      <c r="C255" s="1015">
        <v>0.98144310122821132</v>
      </c>
      <c r="D255" s="1015">
        <v>1.0202520386695919</v>
      </c>
      <c r="E255" s="1015">
        <v>0.98405132308918419</v>
      </c>
      <c r="F255" s="1015">
        <v>1.0018304888448726</v>
      </c>
      <c r="G255" s="1015">
        <v>0.99186589103232492</v>
      </c>
      <c r="H255" s="1015">
        <v>1.0478602871650615</v>
      </c>
      <c r="I255" s="1015">
        <v>1.020470407342307</v>
      </c>
      <c r="K255">
        <v>2.4417723275986134</v>
      </c>
      <c r="L255">
        <v>0</v>
      </c>
      <c r="M255">
        <v>1.8038472438664413E-3</v>
      </c>
      <c r="N255">
        <v>0.15653413568710109</v>
      </c>
      <c r="O255">
        <v>2.1277553919410431E-2</v>
      </c>
      <c r="P255">
        <v>2.8388290466135131E-2</v>
      </c>
      <c r="Q255">
        <v>5.4789673988873671E-3</v>
      </c>
      <c r="R255">
        <v>1.7811244047156365E-3</v>
      </c>
      <c r="S255">
        <v>0.27030297451121721</v>
      </c>
      <c r="T255">
        <v>1.3738043568781824</v>
      </c>
      <c r="U255">
        <v>0.21592585185022997</v>
      </c>
      <c r="V255">
        <v>0.24537846659046778</v>
      </c>
      <c r="W255">
        <v>0.10381789792106799</v>
      </c>
      <c r="X255">
        <v>1.6038921732927806E-2</v>
      </c>
      <c r="Y255">
        <v>4.8476334821337466E-3</v>
      </c>
    </row>
    <row r="256" spans="1:36">
      <c r="A256" s="1010"/>
      <c r="B256" s="1351">
        <v>6</v>
      </c>
      <c r="C256" s="1015">
        <v>1.0116634576343579</v>
      </c>
      <c r="D256" s="1015">
        <v>1.0451683793478956</v>
      </c>
      <c r="E256" s="1015">
        <v>1.0034424635890291</v>
      </c>
      <c r="F256" s="1015">
        <v>1.0124802937559072</v>
      </c>
      <c r="G256" s="1015">
        <v>0.99885721337725364</v>
      </c>
      <c r="H256" s="1015">
        <v>0.99816255650679109</v>
      </c>
      <c r="I256" s="1015">
        <v>0.9854183309008272</v>
      </c>
      <c r="K256">
        <v>2.4069999743910637</v>
      </c>
      <c r="L256">
        <v>0</v>
      </c>
      <c r="M256">
        <v>1.5928312037963952E-3</v>
      </c>
      <c r="N256">
        <v>0.14647309768560587</v>
      </c>
      <c r="O256">
        <v>2.0545255661784004E-2</v>
      </c>
      <c r="P256">
        <v>2.8583201462504485E-2</v>
      </c>
      <c r="Q256">
        <v>5.3948960525524448E-3</v>
      </c>
      <c r="R256">
        <v>1.5717675019388539E-3</v>
      </c>
      <c r="S256">
        <v>0.24630587242472407</v>
      </c>
      <c r="T256">
        <v>1.3888324620415773</v>
      </c>
      <c r="U256">
        <v>0.2095411805705</v>
      </c>
      <c r="V256">
        <v>0.2446042908026175</v>
      </c>
      <c r="W256">
        <v>9.602646288925748E-2</v>
      </c>
      <c r="X256">
        <v>1.6436485494536059E-2</v>
      </c>
      <c r="Y256">
        <v>4.277833007259796E-3</v>
      </c>
    </row>
    <row r="257" spans="1:25">
      <c r="A257" s="1010"/>
      <c r="B257" s="1351">
        <v>7</v>
      </c>
      <c r="C257" s="1015">
        <v>1.0247383059487749</v>
      </c>
      <c r="D257" s="1015">
        <v>1.0047478341742677</v>
      </c>
      <c r="E257" s="1015">
        <v>1.0183470953669285</v>
      </c>
      <c r="F257" s="1015">
        <v>1.0164645265209971</v>
      </c>
      <c r="G257" s="1015">
        <v>0.96892919424144508</v>
      </c>
      <c r="H257" s="1015">
        <v>0.95252228958079921</v>
      </c>
      <c r="I257" s="1015">
        <v>1.0222550398267551</v>
      </c>
      <c r="K257">
        <v>2.4021766054734712</v>
      </c>
      <c r="L257">
        <v>0</v>
      </c>
      <c r="M257">
        <v>1.4675254299949096E-3</v>
      </c>
      <c r="N257">
        <v>0.14107026318887267</v>
      </c>
      <c r="O257">
        <v>2.0469538305936372E-2</v>
      </c>
      <c r="P257">
        <v>2.896057710000104E-2</v>
      </c>
      <c r="Q257">
        <v>5.4556571786858387E-3</v>
      </c>
      <c r="R257">
        <v>1.4471889067788682E-3</v>
      </c>
      <c r="S257">
        <v>0.25350518704182567</v>
      </c>
      <c r="T257">
        <v>1.3946260638787389</v>
      </c>
      <c r="U257">
        <v>0.20691740234270095</v>
      </c>
      <c r="V257">
        <v>0.23865601689571758</v>
      </c>
      <c r="W257">
        <v>9.1675699282000284E-2</v>
      </c>
      <c r="X257">
        <v>1.6921765643648529E-2</v>
      </c>
      <c r="Y257">
        <v>3.9387711385571742E-3</v>
      </c>
    </row>
    <row r="258" spans="1:25">
      <c r="A258" s="1010"/>
      <c r="B258" s="1351">
        <v>8</v>
      </c>
      <c r="C258" s="1015">
        <v>0.99717286995289578</v>
      </c>
      <c r="D258" s="1015">
        <v>0.98004527935544183</v>
      </c>
      <c r="E258" s="1015">
        <v>0.98864963297486586</v>
      </c>
      <c r="F258" s="1015">
        <v>0.98828868887813259</v>
      </c>
      <c r="G258" s="1015">
        <v>0.9674867497312426</v>
      </c>
      <c r="H258" s="1015">
        <v>1.0108917178599213</v>
      </c>
      <c r="I258" s="1015">
        <v>1.0118197744460145</v>
      </c>
      <c r="K258">
        <v>2.3993413703745641</v>
      </c>
      <c r="L258">
        <v>0</v>
      </c>
      <c r="M258">
        <v>1.7116052078896087E-3</v>
      </c>
      <c r="N258">
        <v>0.15053924013359044</v>
      </c>
      <c r="O258">
        <v>2.1131041904819469E-2</v>
      </c>
      <c r="P258">
        <v>2.806195754438701E-2</v>
      </c>
      <c r="Q258">
        <v>5.4666408516113986E-3</v>
      </c>
      <c r="R258">
        <v>1.6892558433560312E-3</v>
      </c>
      <c r="S258">
        <v>0.26593726050416883</v>
      </c>
      <c r="T258">
        <v>1.3553325790514064</v>
      </c>
      <c r="U258">
        <v>0.21253548702657782</v>
      </c>
      <c r="V258">
        <v>0.24019479251384224</v>
      </c>
      <c r="W258">
        <v>9.9566466163494419E-2</v>
      </c>
      <c r="X258">
        <v>1.6000656502624017E-2</v>
      </c>
      <c r="Y258">
        <v>4.5975975425760164E-3</v>
      </c>
    </row>
    <row r="259" spans="1:25">
      <c r="A259" s="1010"/>
      <c r="B259" s="1351">
        <v>9</v>
      </c>
      <c r="C259" s="1015">
        <v>0.95955303515121593</v>
      </c>
      <c r="D259" s="1015">
        <v>0.98396665362007285</v>
      </c>
      <c r="E259" s="1015">
        <v>1.0232502840249298</v>
      </c>
      <c r="F259" s="1015">
        <v>0.96901337440572821</v>
      </c>
      <c r="G259" s="1015">
        <v>0.98473803378343228</v>
      </c>
      <c r="H259" s="1015">
        <v>1.0122005299385883</v>
      </c>
      <c r="I259" s="1015">
        <v>0.99969357498003331</v>
      </c>
      <c r="K259">
        <v>2.4140931088620148</v>
      </c>
      <c r="L259">
        <v>0</v>
      </c>
      <c r="M259">
        <v>1.6561007580767199E-3</v>
      </c>
      <c r="N259">
        <v>0.16170368421216913</v>
      </c>
      <c r="O259">
        <v>2.196425219043455E-2</v>
      </c>
      <c r="P259">
        <v>2.8721891668073235E-2</v>
      </c>
      <c r="Q259">
        <v>5.882629211449302E-3</v>
      </c>
      <c r="R259">
        <v>1.6345041068857951E-3</v>
      </c>
      <c r="S259">
        <v>0.27291950230689721</v>
      </c>
      <c r="T259">
        <v>1.3296245499215027</v>
      </c>
      <c r="U259">
        <v>0.220991434551227</v>
      </c>
      <c r="V259">
        <v>0.24547519678131605</v>
      </c>
      <c r="W259">
        <v>0.10478367413094807</v>
      </c>
      <c r="X259">
        <v>1.7599309174377683E-2</v>
      </c>
      <c r="Y259">
        <v>4.4485813648091092E-3</v>
      </c>
    </row>
    <row r="260" spans="1:25">
      <c r="A260" s="1010"/>
      <c r="B260" s="1351">
        <v>10</v>
      </c>
      <c r="C260" s="1015">
        <v>0.98055193123378204</v>
      </c>
      <c r="D260" s="1015">
        <v>1.0254565153995483</v>
      </c>
      <c r="E260" s="1015">
        <v>1.0028088514749858</v>
      </c>
      <c r="F260" s="1015">
        <v>0.99873668246752856</v>
      </c>
      <c r="G260" s="1015">
        <v>1.0281544783106045</v>
      </c>
      <c r="H260" s="1015">
        <v>0.99889051675219687</v>
      </c>
      <c r="I260" s="1015">
        <v>0.99260175659671446</v>
      </c>
      <c r="K260">
        <v>2.4241342081289239</v>
      </c>
      <c r="L260">
        <v>0</v>
      </c>
      <c r="M260">
        <v>1.6536442660906091E-3</v>
      </c>
      <c r="N260">
        <v>0.15177605917704731</v>
      </c>
      <c r="O260">
        <v>2.128567812737241E-2</v>
      </c>
      <c r="P260">
        <v>2.8664074310410737E-2</v>
      </c>
      <c r="Q260">
        <v>5.5857680864177719E-3</v>
      </c>
      <c r="R260">
        <v>1.6317923050439044E-3</v>
      </c>
      <c r="S260">
        <v>0.25846170571392196</v>
      </c>
      <c r="T260">
        <v>1.369966475458777</v>
      </c>
      <c r="U260">
        <v>0.21618741609646763</v>
      </c>
      <c r="V260">
        <v>0.25156622182811167</v>
      </c>
      <c r="W260">
        <v>9.9540423362732028E-2</v>
      </c>
      <c r="X260">
        <v>1.6681037194569256E-2</v>
      </c>
      <c r="Y260">
        <v>4.4412007341407189E-3</v>
      </c>
    </row>
    <row r="261" spans="1:25">
      <c r="A261" s="1010"/>
      <c r="B261" s="1351">
        <v>11</v>
      </c>
      <c r="C261" s="1015">
        <v>1.0156429268785243</v>
      </c>
      <c r="D261" s="1015">
        <v>0.96698785833178136</v>
      </c>
      <c r="E261" s="1015">
        <v>0.99085662309074896</v>
      </c>
      <c r="F261" s="1015">
        <v>1.0062156240225513</v>
      </c>
      <c r="G261" s="1015">
        <v>1.0099251030702676</v>
      </c>
      <c r="H261" s="1015">
        <v>1.0161876105392111</v>
      </c>
      <c r="I261" s="1015">
        <v>0.99257242305876625</v>
      </c>
      <c r="K261">
        <v>2.4164188502821018</v>
      </c>
      <c r="L261">
        <v>0</v>
      </c>
      <c r="M261">
        <v>1.6865482973406239E-3</v>
      </c>
      <c r="N261">
        <v>0.149338853563587</v>
      </c>
      <c r="O261">
        <v>2.0809522575130194E-2</v>
      </c>
      <c r="P261">
        <v>2.8369713414889357E-2</v>
      </c>
      <c r="Q261">
        <v>5.3954874002235679E-3</v>
      </c>
      <c r="R261">
        <v>1.6646408838569523E-3</v>
      </c>
      <c r="S261">
        <v>0.25833030545554625</v>
      </c>
      <c r="T261">
        <v>1.3799653892342012</v>
      </c>
      <c r="U261">
        <v>0.20867782140101607</v>
      </c>
      <c r="V261">
        <v>0.24629854511334806</v>
      </c>
      <c r="W261">
        <v>9.8642003503561435E-2</v>
      </c>
      <c r="X261">
        <v>1.6082512296941322E-2</v>
      </c>
      <c r="Y261">
        <v>4.5306037371387392E-3</v>
      </c>
    </row>
    <row r="262" spans="1:25">
      <c r="A262" s="1010"/>
      <c r="B262" s="1351">
        <v>12</v>
      </c>
      <c r="C262" s="1015">
        <v>1.0209265274336072</v>
      </c>
      <c r="D262" s="1015">
        <v>0.98862269834642402</v>
      </c>
      <c r="E262" s="1015">
        <v>1.0260158587884836</v>
      </c>
      <c r="F262" s="1015">
        <v>0.96117970106850803</v>
      </c>
      <c r="G262" s="1015">
        <v>1.0283829413843952</v>
      </c>
      <c r="H262" s="1015">
        <v>1.0345263326154785</v>
      </c>
      <c r="I262" s="1015">
        <v>0.9799601476376224</v>
      </c>
      <c r="K262">
        <v>2.3603404279716567</v>
      </c>
      <c r="L262">
        <v>0</v>
      </c>
      <c r="M262">
        <v>1.5800994667896601E-3</v>
      </c>
      <c r="N262">
        <v>0.15561933462496899</v>
      </c>
      <c r="O262">
        <v>2.0624240769170014E-2</v>
      </c>
      <c r="P262">
        <v>2.8214298115738501E-2</v>
      </c>
      <c r="Q262">
        <v>5.5389063840478644E-3</v>
      </c>
      <c r="R262">
        <v>1.5599386048626373E-3</v>
      </c>
      <c r="S262">
        <v>0.2527058985880189</v>
      </c>
      <c r="T262">
        <v>1.3189334025846491</v>
      </c>
      <c r="U262">
        <v>0.20771572174583453</v>
      </c>
      <c r="V262">
        <v>0.24900318021233833</v>
      </c>
      <c r="W262">
        <v>0.10067858974269885</v>
      </c>
      <c r="X262">
        <v>1.7081377417302594E-2</v>
      </c>
      <c r="Y262">
        <v>4.2456386488132101E-3</v>
      </c>
    </row>
    <row r="263" spans="1:25">
      <c r="A263" s="1010"/>
      <c r="B263" s="1351">
        <v>13</v>
      </c>
      <c r="C263" s="1015">
        <v>0.99635277284772239</v>
      </c>
      <c r="D263" s="1015">
        <v>1.0058933423038694</v>
      </c>
      <c r="E263" s="1015">
        <v>1.0395873780171918</v>
      </c>
      <c r="F263" s="1015">
        <v>0.97697876684575369</v>
      </c>
      <c r="G263" s="1015">
        <v>0.9770612570409718</v>
      </c>
      <c r="H263" s="1015">
        <v>1.0277523260999915</v>
      </c>
      <c r="I263" s="1015">
        <v>0.97384773498974964</v>
      </c>
      <c r="K263">
        <v>2.3901548632794958</v>
      </c>
      <c r="L263">
        <v>0</v>
      </c>
      <c r="M263">
        <v>1.5576541671145469E-3</v>
      </c>
      <c r="N263">
        <v>0.15980027675280203</v>
      </c>
      <c r="O263">
        <v>2.1061618954218493E-2</v>
      </c>
      <c r="P263">
        <v>2.8799127418243853E-2</v>
      </c>
      <c r="Q263">
        <v>5.7326612131433979E-3</v>
      </c>
      <c r="R263">
        <v>1.5376486956254097E-3</v>
      </c>
      <c r="S263">
        <v>0.25466035782783408</v>
      </c>
      <c r="T263">
        <v>1.3409015167760638</v>
      </c>
      <c r="U263">
        <v>0.2128855515098651</v>
      </c>
      <c r="V263">
        <v>0.24170773424067801</v>
      </c>
      <c r="W263">
        <v>0.10257398839377063</v>
      </c>
      <c r="X263">
        <v>1.7867062800628192E-2</v>
      </c>
      <c r="Y263">
        <v>4.1849728637360813E-3</v>
      </c>
    </row>
    <row r="264" spans="1:25">
      <c r="A264" s="1010"/>
      <c r="B264" s="1351">
        <v>14</v>
      </c>
      <c r="C264" s="1015">
        <v>0.96966576036350527</v>
      </c>
      <c r="D264" s="1015">
        <v>1.0093254294102578</v>
      </c>
      <c r="E264" s="1015">
        <v>0.99547062622981097</v>
      </c>
      <c r="F264" s="1015">
        <v>0.98942986021676704</v>
      </c>
      <c r="G264" s="1015">
        <v>1.0157163052079947</v>
      </c>
      <c r="H264" s="1015">
        <v>0.98518919313815589</v>
      </c>
      <c r="I264" s="1015">
        <v>0.98797701309962682</v>
      </c>
      <c r="K264">
        <v>2.4134795932303335</v>
      </c>
      <c r="L264">
        <v>0</v>
      </c>
      <c r="M264">
        <v>1.6804172501678311E-3</v>
      </c>
      <c r="N264">
        <v>0.15082326952806502</v>
      </c>
      <c r="O264">
        <v>2.1594849363923377E-2</v>
      </c>
      <c r="P264">
        <v>2.8379769596278609E-2</v>
      </c>
      <c r="Q264">
        <v>5.6252341293478985E-3</v>
      </c>
      <c r="R264">
        <v>1.6579026774034024E-3</v>
      </c>
      <c r="S264">
        <v>0.26096504482423249</v>
      </c>
      <c r="T264">
        <v>1.3570433050970461</v>
      </c>
      <c r="U264">
        <v>0.21858862781586241</v>
      </c>
      <c r="V264">
        <v>0.25018335131310115</v>
      </c>
      <c r="W264">
        <v>9.9348199706635706E-2</v>
      </c>
      <c r="X264">
        <v>1.6438191868180074E-2</v>
      </c>
      <c r="Y264">
        <v>4.5122645604213371E-3</v>
      </c>
    </row>
    <row r="265" spans="1:25">
      <c r="A265" s="1010"/>
      <c r="B265" s="1351">
        <v>15</v>
      </c>
      <c r="C265" s="1015">
        <v>0.99909859193356687</v>
      </c>
      <c r="D265" s="1015">
        <v>0.99392075108738731</v>
      </c>
      <c r="E265" s="1015">
        <v>1.0160104456755124</v>
      </c>
      <c r="F265" s="1015">
        <v>0.97577183567535009</v>
      </c>
      <c r="G265" s="1015">
        <v>1.0007322889491772</v>
      </c>
      <c r="H265" s="1015">
        <v>1.0410926157768414</v>
      </c>
      <c r="I265" s="1015">
        <v>1.0227330073693168</v>
      </c>
      <c r="K265">
        <v>2.4039307563596735</v>
      </c>
      <c r="L265">
        <v>0</v>
      </c>
      <c r="M265">
        <v>1.6571056330982367E-3</v>
      </c>
      <c r="N265">
        <v>0.15836415090736014</v>
      </c>
      <c r="O265">
        <v>2.1043388903786417E-2</v>
      </c>
      <c r="P265">
        <v>2.8526843132383368E-2</v>
      </c>
      <c r="Q265">
        <v>5.5955694025860286E-3</v>
      </c>
      <c r="R265">
        <v>1.6360955850356536E-3</v>
      </c>
      <c r="S265">
        <v>0.26926799857133743</v>
      </c>
      <c r="T265">
        <v>1.338744740959521</v>
      </c>
      <c r="U265">
        <v>0.21221947645148281</v>
      </c>
      <c r="V265">
        <v>0.24565553075092622</v>
      </c>
      <c r="W265">
        <v>0.10305537754740751</v>
      </c>
      <c r="X265">
        <v>1.7025776937241568E-2</v>
      </c>
      <c r="Y265">
        <v>4.4529128437023908E-3</v>
      </c>
    </row>
    <row r="266" spans="1:25">
      <c r="A266" s="1010"/>
      <c r="B266" s="1351">
        <v>16</v>
      </c>
      <c r="C266" s="1015">
        <v>1.0147428815297341</v>
      </c>
      <c r="D266" s="1015">
        <v>0.98734029773832221</v>
      </c>
      <c r="E266" s="1015">
        <v>1.0070806808259274</v>
      </c>
      <c r="F266" s="1015">
        <v>1.0122874083718005</v>
      </c>
      <c r="G266" s="1015">
        <v>1.0407159368419738</v>
      </c>
      <c r="H266" s="1015">
        <v>0.98695493574202187</v>
      </c>
      <c r="I266" s="1015">
        <v>0.99691741425934133</v>
      </c>
      <c r="K266">
        <v>2.422413781628554</v>
      </c>
      <c r="L266">
        <v>0</v>
      </c>
      <c r="M266">
        <v>1.5779888515398536E-3</v>
      </c>
      <c r="N266">
        <v>0.14668908367692979</v>
      </c>
      <c r="O266">
        <v>2.074339656351824E-2</v>
      </c>
      <c r="P266">
        <v>2.885936687199166E-2</v>
      </c>
      <c r="Q266">
        <v>5.4668231875318902E-3</v>
      </c>
      <c r="R266">
        <v>1.5568844604771077E-3</v>
      </c>
      <c r="S266">
        <v>0.25467007746984716</v>
      </c>
      <c r="T266">
        <v>1.3886476177821587</v>
      </c>
      <c r="U266">
        <v>0.20891755494931893</v>
      </c>
      <c r="V266">
        <v>0.25155096408199312</v>
      </c>
      <c r="W266">
        <v>9.5961195990287254E-2</v>
      </c>
      <c r="X266">
        <v>1.6691479171443271E-2</v>
      </c>
      <c r="Y266">
        <v>4.2373262745942246E-3</v>
      </c>
    </row>
    <row r="267" spans="1:25">
      <c r="A267" s="1010"/>
      <c r="B267" s="1351">
        <v>17</v>
      </c>
      <c r="C267" s="1015">
        <v>1.0134525196095112</v>
      </c>
      <c r="D267" s="1015">
        <v>1.009519648885141</v>
      </c>
      <c r="E267" s="1015">
        <v>0.97601930111111601</v>
      </c>
      <c r="F267" s="1015">
        <v>0.9941073931642137</v>
      </c>
      <c r="G267" s="1015">
        <v>0.97693344560479367</v>
      </c>
      <c r="H267" s="1015">
        <v>1.0039011244213509</v>
      </c>
      <c r="I267" s="1015">
        <v>1.0143905750304074</v>
      </c>
      <c r="K267">
        <v>2.3849353330618785</v>
      </c>
      <c r="L267">
        <v>0</v>
      </c>
      <c r="M267">
        <v>1.7055813747330194E-3</v>
      </c>
      <c r="N267">
        <v>0.1443726065926372</v>
      </c>
      <c r="O267">
        <v>2.0648275171516257E-2</v>
      </c>
      <c r="P267">
        <v>2.7751119619509029E-2</v>
      </c>
      <c r="Q267">
        <v>5.2736997232880837E-3</v>
      </c>
      <c r="R267">
        <v>1.6831555862034434E-3</v>
      </c>
      <c r="S267">
        <v>0.25777199305332288</v>
      </c>
      <c r="T267">
        <v>1.3630417363726433</v>
      </c>
      <c r="U267">
        <v>0.20907893202984301</v>
      </c>
      <c r="V267">
        <v>0.24084845019694917</v>
      </c>
      <c r="W267">
        <v>9.6217531160597641E-2</v>
      </c>
      <c r="X267">
        <v>1.5372420276540932E-2</v>
      </c>
      <c r="Y267">
        <v>4.5809946535559009E-3</v>
      </c>
    </row>
    <row r="268" spans="1:25">
      <c r="A268" s="1010"/>
      <c r="B268" s="1351">
        <v>18</v>
      </c>
      <c r="C268" s="1015">
        <v>0.97900691862595035</v>
      </c>
      <c r="D268" s="1015">
        <v>0.97620049869037795</v>
      </c>
      <c r="E268" s="1015">
        <v>1.0197776454811953</v>
      </c>
      <c r="F268" s="1015">
        <v>0.99773627168022005</v>
      </c>
      <c r="G268" s="1015">
        <v>0.9978308086773271</v>
      </c>
      <c r="H268" s="1015">
        <v>1.0386595183303911</v>
      </c>
      <c r="I268" s="1015">
        <v>1.0223229312403053</v>
      </c>
      <c r="K268">
        <v>2.4554467950201611</v>
      </c>
      <c r="L268">
        <v>0</v>
      </c>
      <c r="M268">
        <v>1.6806310546246203E-3</v>
      </c>
      <c r="N268">
        <v>0.16244354061080449</v>
      </c>
      <c r="O268">
        <v>2.1562987076100076E-2</v>
      </c>
      <c r="P268">
        <v>2.9202142469101324E-2</v>
      </c>
      <c r="Q268">
        <v>5.7552727272373481E-3</v>
      </c>
      <c r="R268">
        <v>1.6592728178272467E-3</v>
      </c>
      <c r="S268">
        <v>0.27697636160164862</v>
      </c>
      <c r="T268">
        <v>1.3689612076327957</v>
      </c>
      <c r="U268">
        <v>0.21658794082107838</v>
      </c>
      <c r="V268">
        <v>0.24642909825345052</v>
      </c>
      <c r="W268">
        <v>0.10547692292252048</v>
      </c>
      <c r="X268">
        <v>1.7556685511234797E-2</v>
      </c>
      <c r="Y268">
        <v>4.5159936309883712E-3</v>
      </c>
    </row>
    <row r="269" spans="1:25">
      <c r="A269" s="1010"/>
      <c r="B269" s="1351">
        <v>19</v>
      </c>
      <c r="C269" s="1015">
        <v>1.0241012158525022</v>
      </c>
      <c r="D269" s="1015">
        <v>1.033636103537233</v>
      </c>
      <c r="E269" s="1015">
        <v>0.98923566624948067</v>
      </c>
      <c r="F269" s="1015">
        <v>1.0250934405641081</v>
      </c>
      <c r="G269" s="1015">
        <v>0.98042848533260041</v>
      </c>
      <c r="H269" s="1015">
        <v>0.9989775161061264</v>
      </c>
      <c r="I269" s="1015">
        <v>0.99154810616515565</v>
      </c>
      <c r="K269">
        <v>2.4118455509175734</v>
      </c>
      <c r="L269">
        <v>0</v>
      </c>
      <c r="M269">
        <v>1.6258051280866733E-3</v>
      </c>
      <c r="N269">
        <v>0.14322394580460449</v>
      </c>
      <c r="O269">
        <v>2.0336199090881964E-2</v>
      </c>
      <c r="P269">
        <v>2.8421649162346661E-2</v>
      </c>
      <c r="Q269">
        <v>5.2641325733980941E-3</v>
      </c>
      <c r="R269">
        <v>1.6043229163046784E-3</v>
      </c>
      <c r="S269">
        <v>0.24613507681747321</v>
      </c>
      <c r="T269">
        <v>1.4058193360044142</v>
      </c>
      <c r="U269">
        <v>0.20694890110826622</v>
      </c>
      <c r="V269">
        <v>0.2407585199764283</v>
      </c>
      <c r="W269">
        <v>9.4694861440784692E-2</v>
      </c>
      <c r="X269">
        <v>1.5897973037480317E-2</v>
      </c>
      <c r="Y269">
        <v>4.3664381132741082E-3</v>
      </c>
    </row>
    <row r="270" spans="1:25">
      <c r="A270" s="1010"/>
      <c r="B270" s="1351">
        <v>20</v>
      </c>
      <c r="C270" s="1015">
        <v>0.99933133459225798</v>
      </c>
      <c r="D270" s="1015">
        <v>0.97252130504137368</v>
      </c>
      <c r="E270" s="1015">
        <v>1.0250819384716736</v>
      </c>
      <c r="F270" s="1015">
        <v>0.99674677875206441</v>
      </c>
      <c r="G270" s="1015">
        <v>0.98710795282201558</v>
      </c>
      <c r="H270" s="1015">
        <v>0.98256609975255249</v>
      </c>
      <c r="I270" s="1015">
        <v>1.0169559321687014</v>
      </c>
      <c r="K270">
        <v>2.4154430200042758</v>
      </c>
      <c r="L270">
        <v>0</v>
      </c>
      <c r="M270">
        <v>1.5417117033150708E-3</v>
      </c>
      <c r="N270">
        <v>0.1513081338200146</v>
      </c>
      <c r="O270">
        <v>2.1145551019647647E-2</v>
      </c>
      <c r="P270">
        <v>2.9035199256314748E-2</v>
      </c>
      <c r="Q270">
        <v>5.6736568956221381E-3</v>
      </c>
      <c r="R270">
        <v>1.5210003912945135E-3</v>
      </c>
      <c r="S270">
        <v>0.26558539705139494</v>
      </c>
      <c r="T270">
        <v>1.3677184094902903</v>
      </c>
      <c r="U270">
        <v>0.21220117735773414</v>
      </c>
      <c r="V270">
        <v>0.24328412366196664</v>
      </c>
      <c r="W270">
        <v>9.7942707934728937E-2</v>
      </c>
      <c r="X270">
        <v>1.7429713161120745E-2</v>
      </c>
      <c r="Y270">
        <v>4.1396616674594291E-3</v>
      </c>
    </row>
    <row r="271" spans="1:25">
      <c r="A271" s="1010"/>
      <c r="B271" s="1351">
        <v>21</v>
      </c>
      <c r="C271" s="1015">
        <v>0.98216662683582223</v>
      </c>
      <c r="D271" s="1015">
        <v>0.96232495542722596</v>
      </c>
      <c r="E271" s="1015">
        <v>0.99642256572371479</v>
      </c>
      <c r="F271" s="1015">
        <v>0.9677295118196757</v>
      </c>
      <c r="G271" s="1015">
        <v>0.98058079219368754</v>
      </c>
      <c r="H271" s="1015">
        <v>0.99632807085528818</v>
      </c>
      <c r="I271" s="1015">
        <v>1.0004316858216462</v>
      </c>
      <c r="K271">
        <v>2.3832805206649699</v>
      </c>
      <c r="L271">
        <v>0</v>
      </c>
      <c r="M271">
        <v>1.6921381047295722E-3</v>
      </c>
      <c r="N271">
        <v>0.15233593632276729</v>
      </c>
      <c r="O271">
        <v>2.1545482145377753E-2</v>
      </c>
      <c r="P271">
        <v>2.7963290210625675E-2</v>
      </c>
      <c r="Q271">
        <v>5.6177594426680081E-3</v>
      </c>
      <c r="R271">
        <v>1.6697199605844875E-3</v>
      </c>
      <c r="S271">
        <v>0.26821938131040463</v>
      </c>
      <c r="T271">
        <v>1.3273003025180303</v>
      </c>
      <c r="U271">
        <v>0.2158097761429742</v>
      </c>
      <c r="V271">
        <v>0.24336021655483253</v>
      </c>
      <c r="W271">
        <v>0.10028766354637368</v>
      </c>
      <c r="X271">
        <v>1.6318703305384329E-2</v>
      </c>
      <c r="Y271">
        <v>4.544427309673897E-3</v>
      </c>
    </row>
    <row r="272" spans="1:25">
      <c r="A272" s="1010"/>
      <c r="B272" s="1351">
        <v>22</v>
      </c>
      <c r="C272" s="1015">
        <v>1.0140807038055859</v>
      </c>
      <c r="D272" s="1015">
        <v>1.0241903369658991</v>
      </c>
      <c r="E272" s="1015">
        <v>0.98321764425292713</v>
      </c>
      <c r="F272" s="1015">
        <v>0.96168573577449734</v>
      </c>
      <c r="G272" s="1015">
        <v>0.97936116922395633</v>
      </c>
      <c r="H272" s="1015">
        <v>1.0220857256730755</v>
      </c>
      <c r="I272" s="1015">
        <v>1.008303378523183</v>
      </c>
      <c r="K272">
        <v>2.3431891293069267</v>
      </c>
      <c r="L272">
        <v>0</v>
      </c>
      <c r="M272">
        <v>1.7043441810500408E-3</v>
      </c>
      <c r="N272">
        <v>0.14747950751018116</v>
      </c>
      <c r="O272">
        <v>2.0574759930616398E-2</v>
      </c>
      <c r="P272">
        <v>2.7283163961952118E-2</v>
      </c>
      <c r="Q272">
        <v>5.2935197405156236E-3</v>
      </c>
      <c r="R272">
        <v>1.6823333623004963E-3</v>
      </c>
      <c r="S272">
        <v>0.25581897700809364</v>
      </c>
      <c r="T272">
        <v>1.3187368071792847</v>
      </c>
      <c r="U272">
        <v>0.208973600060992</v>
      </c>
      <c r="V272">
        <v>0.24119947593716928</v>
      </c>
      <c r="W272">
        <v>9.7861719666004127E-2</v>
      </c>
      <c r="X272">
        <v>1.5410852299727683E-2</v>
      </c>
      <c r="Y272">
        <v>4.5787568311381147E-3</v>
      </c>
    </row>
    <row r="273" spans="1:25">
      <c r="A273" s="1010"/>
      <c r="B273" s="1351">
        <v>23</v>
      </c>
      <c r="C273" s="1015">
        <v>1.0369534262546747</v>
      </c>
      <c r="D273" s="1015">
        <v>1.0279445150161637</v>
      </c>
      <c r="E273" s="1015">
        <v>0.95654388028503545</v>
      </c>
      <c r="F273" s="1015">
        <v>1.0323433444719696</v>
      </c>
      <c r="G273" s="1015">
        <v>0.98554422043166323</v>
      </c>
      <c r="H273" s="1015">
        <v>0.96695567092501644</v>
      </c>
      <c r="I273" s="1015">
        <v>1.0256880872106386</v>
      </c>
      <c r="K273">
        <v>2.4039695728148369</v>
      </c>
      <c r="L273">
        <v>0</v>
      </c>
      <c r="M273">
        <v>1.6647725826592465E-3</v>
      </c>
      <c r="N273">
        <v>0.13277888937052185</v>
      </c>
      <c r="O273">
        <v>2.0087854808730016E-2</v>
      </c>
      <c r="P273">
        <v>2.7850813192899809E-2</v>
      </c>
      <c r="Q273">
        <v>5.0292400194531595E-3</v>
      </c>
      <c r="R273">
        <v>1.6420470239881288E-3</v>
      </c>
      <c r="S273">
        <v>0.24921101504765</v>
      </c>
      <c r="T273">
        <v>1.4150360919394369</v>
      </c>
      <c r="U273">
        <v>0.2042766444729705</v>
      </c>
      <c r="V273">
        <v>0.24099671614845813</v>
      </c>
      <c r="W273">
        <v>8.9549177011132269E-2</v>
      </c>
      <c r="X273">
        <v>1.4706745663613312E-2</v>
      </c>
      <c r="Y273">
        <v>4.4691106986397052E-3</v>
      </c>
    </row>
    <row r="274" spans="1:25">
      <c r="A274" s="1010"/>
      <c r="B274" s="1351">
        <v>24</v>
      </c>
      <c r="C274" s="1015">
        <v>0.99741957569416517</v>
      </c>
      <c r="D274" s="1015">
        <v>1.0077597423058031</v>
      </c>
      <c r="E274" s="1015">
        <v>0.98324547813631524</v>
      </c>
      <c r="F274" s="1015">
        <v>1.0039896708130001</v>
      </c>
      <c r="G274" s="1015">
        <v>1.0213409015547654</v>
      </c>
      <c r="H274" s="1015">
        <v>1.0152995241412461</v>
      </c>
      <c r="I274" s="1015">
        <v>0.99344131952894299</v>
      </c>
      <c r="K274">
        <v>2.4201377643791191</v>
      </c>
      <c r="L274">
        <v>0</v>
      </c>
      <c r="M274">
        <v>1.7273446205140163E-3</v>
      </c>
      <c r="N274">
        <v>0.1494692838255211</v>
      </c>
      <c r="O274">
        <v>2.0993023717907365E-2</v>
      </c>
      <c r="P274">
        <v>2.8249008052792585E-2</v>
      </c>
      <c r="Q274">
        <v>5.4012841001911012E-3</v>
      </c>
      <c r="R274">
        <v>1.7048876573014214E-3</v>
      </c>
      <c r="S274">
        <v>0.25775213163493155</v>
      </c>
      <c r="T274">
        <v>1.3767477907989567</v>
      </c>
      <c r="U274">
        <v>0.21246443871579943</v>
      </c>
      <c r="V274">
        <v>0.24939918224103472</v>
      </c>
      <c r="W274">
        <v>9.9180395923406856E-2</v>
      </c>
      <c r="X274">
        <v>1.5863540144682282E-2</v>
      </c>
      <c r="Y274">
        <v>4.6401421871092863E-3</v>
      </c>
    </row>
    <row r="275" spans="1:25">
      <c r="A275" s="1010"/>
      <c r="B275" s="1351">
        <v>25</v>
      </c>
      <c r="C275" s="1015">
        <v>1.017691021296854</v>
      </c>
      <c r="D275" s="1015">
        <v>1.0123812717603307</v>
      </c>
      <c r="E275" s="1015">
        <v>0.97189785497344894</v>
      </c>
      <c r="F275" s="1015">
        <v>1.0176838123488976</v>
      </c>
      <c r="G275" s="1015">
        <v>0.99123027122606056</v>
      </c>
      <c r="H275" s="1015">
        <v>0.98369871061489011</v>
      </c>
      <c r="I275" s="1015">
        <v>0.96815148209544155</v>
      </c>
      <c r="K275">
        <v>2.3968204701383344</v>
      </c>
      <c r="L275">
        <v>0</v>
      </c>
      <c r="M275">
        <v>1.6774833051607764E-3</v>
      </c>
      <c r="N275">
        <v>0.14019534882621595</v>
      </c>
      <c r="O275">
        <v>2.054680865847067E-2</v>
      </c>
      <c r="P275">
        <v>2.7914716907608439E-2</v>
      </c>
      <c r="Q275">
        <v>5.2257736133731634E-3</v>
      </c>
      <c r="R275">
        <v>1.6549739878765389E-3</v>
      </c>
      <c r="S275">
        <v>0.24299067488391479</v>
      </c>
      <c r="T275">
        <v>1.3952776393262785</v>
      </c>
      <c r="U275">
        <v>0.20819437076473812</v>
      </c>
      <c r="V275">
        <v>0.24305034380656426</v>
      </c>
      <c r="W275">
        <v>9.3667516420997479E-2</v>
      </c>
      <c r="X275">
        <v>1.5275492614484611E-2</v>
      </c>
      <c r="Y275">
        <v>4.5042936329714603E-3</v>
      </c>
    </row>
    <row r="276" spans="1:25">
      <c r="A276" s="1010"/>
      <c r="B276" s="1351">
        <v>26</v>
      </c>
      <c r="C276" s="1015">
        <v>0.9930067734854936</v>
      </c>
      <c r="D276" s="1015">
        <v>0.97958081226060112</v>
      </c>
      <c r="E276" s="1015">
        <v>1.0098664754366002</v>
      </c>
      <c r="F276" s="1015">
        <v>1.0015161798057983</v>
      </c>
      <c r="G276" s="1015">
        <v>1.0071270023368724</v>
      </c>
      <c r="H276" s="1015">
        <v>1.0328089429570846</v>
      </c>
      <c r="I276" s="1015">
        <v>0.9960461787204099</v>
      </c>
      <c r="K276">
        <v>2.43739720211462</v>
      </c>
      <c r="L276">
        <v>0</v>
      </c>
      <c r="M276">
        <v>1.6806270809000372E-3</v>
      </c>
      <c r="N276">
        <v>0.15764473647148156</v>
      </c>
      <c r="O276">
        <v>2.123615200493947E-2</v>
      </c>
      <c r="P276">
        <v>2.8861307929554002E-2</v>
      </c>
      <c r="Q276">
        <v>5.6123070200836253E-3</v>
      </c>
      <c r="R276">
        <v>1.6591479064182609E-3</v>
      </c>
      <c r="S276">
        <v>0.26500809762605737</v>
      </c>
      <c r="T276">
        <v>1.373932179480692</v>
      </c>
      <c r="U276">
        <v>0.21350019191714759</v>
      </c>
      <c r="V276">
        <v>0.24715217184758206</v>
      </c>
      <c r="W276">
        <v>0.10295869984413267</v>
      </c>
      <c r="X276">
        <v>1.6997183484121187E-2</v>
      </c>
      <c r="Y276">
        <v>4.5156536633101487E-3</v>
      </c>
    </row>
    <row r="277" spans="1:25">
      <c r="A277" s="1010"/>
      <c r="B277" s="1351">
        <v>27</v>
      </c>
      <c r="C277" s="1015">
        <v>0.95501706847598078</v>
      </c>
      <c r="D277" s="1015">
        <v>1.028385849334017</v>
      </c>
      <c r="E277" s="1015">
        <v>0.96634377636227342</v>
      </c>
      <c r="F277" s="1015">
        <v>1.0151336713825185</v>
      </c>
      <c r="G277" s="1015">
        <v>1.0003652525843214</v>
      </c>
      <c r="H277" s="1015">
        <v>0.97409638422151446</v>
      </c>
      <c r="I277" s="1015">
        <v>1.0101251508294966</v>
      </c>
      <c r="K277">
        <v>2.450234317714409</v>
      </c>
      <c r="L277">
        <v>0</v>
      </c>
      <c r="M277">
        <v>1.7843629555980853E-3</v>
      </c>
      <c r="N277">
        <v>0.14662104434141637</v>
      </c>
      <c r="O277">
        <v>2.1815972329748579E-2</v>
      </c>
      <c r="P277">
        <v>2.8325472507559308E-2</v>
      </c>
      <c r="Q277">
        <v>5.5171427508242613E-3</v>
      </c>
      <c r="R277">
        <v>1.7601834461556057E-3</v>
      </c>
      <c r="S277">
        <v>0.26714930312907498</v>
      </c>
      <c r="T277">
        <v>1.3916601562928983</v>
      </c>
      <c r="U277">
        <v>0.22183755578021874</v>
      </c>
      <c r="V277">
        <v>0.24865352111987968</v>
      </c>
      <c r="W277">
        <v>9.8292599961516458E-2</v>
      </c>
      <c r="X277">
        <v>1.5595089914594087E-2</v>
      </c>
      <c r="Y277">
        <v>4.7906390961184771E-3</v>
      </c>
    </row>
    <row r="278" spans="1:25">
      <c r="A278" s="1010"/>
      <c r="B278" s="1351">
        <v>28</v>
      </c>
      <c r="C278" s="1015">
        <v>0.97529960271005667</v>
      </c>
      <c r="D278" s="1015">
        <v>1.0195652833139577</v>
      </c>
      <c r="E278" s="1015">
        <v>0.99834878257322379</v>
      </c>
      <c r="F278" s="1015">
        <v>1.0168096142561667</v>
      </c>
      <c r="G278" s="1015">
        <v>0.99428244584201775</v>
      </c>
      <c r="H278" s="1015">
        <v>1.0422383866569147</v>
      </c>
      <c r="I278" s="1015">
        <v>0.99054562120430067</v>
      </c>
      <c r="K278">
        <v>2.4625166210024063</v>
      </c>
      <c r="L278">
        <v>0</v>
      </c>
      <c r="M278">
        <v>1.7530429606102175E-3</v>
      </c>
      <c r="N278">
        <v>0.15883410699401543</v>
      </c>
      <c r="O278">
        <v>2.1424429514583721E-2</v>
      </c>
      <c r="P278">
        <v>2.8919403081569397E-2</v>
      </c>
      <c r="Q278">
        <v>5.5970383639019619E-3</v>
      </c>
      <c r="R278">
        <v>1.7308409803102546E-3</v>
      </c>
      <c r="S278">
        <v>0.26375274013451394</v>
      </c>
      <c r="T278">
        <v>1.3946590080299968</v>
      </c>
      <c r="U278">
        <v>0.21733602765456631</v>
      </c>
      <c r="V278">
        <v>0.24614074082609183</v>
      </c>
      <c r="W278">
        <v>0.10444572972323724</v>
      </c>
      <c r="X278">
        <v>1.6718820083397295E-2</v>
      </c>
      <c r="Y278">
        <v>4.7107785768286982E-3</v>
      </c>
    </row>
    <row r="279" spans="1:25">
      <c r="A279" s="1010"/>
      <c r="B279" s="1351">
        <v>29</v>
      </c>
      <c r="C279" s="1015">
        <v>1.0052009781900566</v>
      </c>
      <c r="D279" s="1015">
        <v>0.99337136837217044</v>
      </c>
      <c r="E279" s="1015">
        <v>1.0298364537545417</v>
      </c>
      <c r="F279" s="1015">
        <v>0.98491815518634551</v>
      </c>
      <c r="G279" s="1015">
        <v>0.98261287828731836</v>
      </c>
      <c r="H279" s="1015">
        <v>0.97236924784939638</v>
      </c>
      <c r="I279" s="1015">
        <v>1.0302015690897528</v>
      </c>
      <c r="K279">
        <v>2.39017545992952</v>
      </c>
      <c r="L279">
        <v>0</v>
      </c>
      <c r="M279">
        <v>1.4948629313718449E-3</v>
      </c>
      <c r="N279">
        <v>0.14880731766950772</v>
      </c>
      <c r="O279">
        <v>2.0927356493954788E-2</v>
      </c>
      <c r="P279">
        <v>2.8852469560094268E-2</v>
      </c>
      <c r="Q279">
        <v>5.6416066360507671E-3</v>
      </c>
      <c r="R279">
        <v>1.4745703930082916E-3</v>
      </c>
      <c r="S279">
        <v>0.26377440032162691</v>
      </c>
      <c r="T279">
        <v>1.3515892035756647</v>
      </c>
      <c r="U279">
        <v>0.21097831170883397</v>
      </c>
      <c r="V279">
        <v>0.24213611570870092</v>
      </c>
      <c r="W279">
        <v>9.6057908523849198E-2</v>
      </c>
      <c r="X279">
        <v>1.7417767751831313E-2</v>
      </c>
      <c r="Y279">
        <v>4.0132945177691545E-3</v>
      </c>
    </row>
    <row r="280" spans="1:25">
      <c r="A280" s="1010"/>
      <c r="B280" s="1351">
        <v>30</v>
      </c>
      <c r="C280" s="1015">
        <v>1.0330671770713324</v>
      </c>
      <c r="D280" s="1015">
        <v>1.0371637395325315</v>
      </c>
      <c r="E280" s="1015">
        <v>0.99555800721910126</v>
      </c>
      <c r="F280" s="1015">
        <v>1.0070665153431115</v>
      </c>
      <c r="G280" s="1015">
        <v>0.99665284922475816</v>
      </c>
      <c r="H280" s="1015">
        <v>1.0213246865308454</v>
      </c>
      <c r="I280" s="1015">
        <v>1.0206206855768274</v>
      </c>
      <c r="K280">
        <v>2.3982055041533936</v>
      </c>
      <c r="L280">
        <v>0</v>
      </c>
      <c r="M280">
        <v>1.6250869822693715E-3</v>
      </c>
      <c r="N280">
        <v>0.1459658098080443</v>
      </c>
      <c r="O280">
        <v>2.014862118138637E-2</v>
      </c>
      <c r="P280">
        <v>2.8316979084594112E-2</v>
      </c>
      <c r="Q280">
        <v>5.2489688599552976E-3</v>
      </c>
      <c r="R280">
        <v>1.6040840950456562E-3</v>
      </c>
      <c r="S280">
        <v>0.25264148968539379</v>
      </c>
      <c r="T280">
        <v>1.3812345966208643</v>
      </c>
      <c r="U280">
        <v>0.2051736916821916</v>
      </c>
      <c r="V280">
        <v>0.24297839927312687</v>
      </c>
      <c r="W280">
        <v>9.6143550597286062E-2</v>
      </c>
      <c r="X280">
        <v>1.6008612127237934E-2</v>
      </c>
      <c r="Y280">
        <v>4.3657881205344572E-3</v>
      </c>
    </row>
    <row r="281" spans="1:25">
      <c r="A281" s="1010"/>
      <c r="B281" s="1351">
        <v>31</v>
      </c>
      <c r="C281" s="1015">
        <v>1.0141300378654514</v>
      </c>
      <c r="D281" s="1015">
        <v>0.99000426401158825</v>
      </c>
      <c r="E281" s="1015">
        <v>1.009476750695387</v>
      </c>
      <c r="F281" s="1015">
        <v>1.0029452679733144</v>
      </c>
      <c r="G281" s="1015">
        <v>1.029211170564063</v>
      </c>
      <c r="H281" s="1015">
        <v>0.97925875877364021</v>
      </c>
      <c r="I281" s="1015">
        <v>0.99357638608282495</v>
      </c>
      <c r="K281">
        <v>2.4044671253674297</v>
      </c>
      <c r="L281">
        <v>0</v>
      </c>
      <c r="M281">
        <v>1.557929183879707E-3</v>
      </c>
      <c r="N281">
        <v>0.14586035749228685</v>
      </c>
      <c r="O281">
        <v>2.0745205230856822E-2</v>
      </c>
      <c r="P281">
        <v>2.8687495658939917E-2</v>
      </c>
      <c r="Q281">
        <v>5.4804233307706772E-3</v>
      </c>
      <c r="R281">
        <v>1.5369293206359293E-3</v>
      </c>
      <c r="S281">
        <v>0.25300187714147482</v>
      </c>
      <c r="T281">
        <v>1.3758842070481734</v>
      </c>
      <c r="U281">
        <v>0.20905189140850891</v>
      </c>
      <c r="V281">
        <v>0.24961495427220373</v>
      </c>
      <c r="W281">
        <v>9.5284153508115116E-2</v>
      </c>
      <c r="X281">
        <v>1.6694545177187742E-2</v>
      </c>
      <c r="Y281">
        <v>4.1830149621566162E-3</v>
      </c>
    </row>
    <row r="282" spans="1:25">
      <c r="A282" s="1010"/>
      <c r="B282" s="1351">
        <v>32</v>
      </c>
      <c r="C282" s="1014">
        <v>0.96921696095087095</v>
      </c>
      <c r="D282" s="1014">
        <v>0.99689847920991925</v>
      </c>
      <c r="E282" s="1014">
        <v>0.99814965134369815</v>
      </c>
      <c r="F282" s="1014">
        <v>1.0020464427952265</v>
      </c>
      <c r="G282" s="1014">
        <v>0.99672626971326661</v>
      </c>
      <c r="H282" s="1014">
        <v>0.96651375355952174</v>
      </c>
      <c r="I282" s="1014">
        <v>0.99675278657167576</v>
      </c>
      <c r="K282">
        <v>2.4271227253737333</v>
      </c>
      <c r="L282">
        <v>0</v>
      </c>
      <c r="M282">
        <v>1.6446671518752735E-3</v>
      </c>
      <c r="N282">
        <v>0.14877543503954466</v>
      </c>
      <c r="O282">
        <v>2.1665647706510624E-2</v>
      </c>
      <c r="P282">
        <v>2.8664523735265606E-2</v>
      </c>
      <c r="Q282">
        <v>5.6589216436446314E-3</v>
      </c>
      <c r="R282">
        <v>1.6222057841204648E-3</v>
      </c>
      <c r="S282">
        <v>0.26343520996563763</v>
      </c>
      <c r="T282">
        <v>1.3744054851970406</v>
      </c>
      <c r="U282">
        <v>0.21869928971127348</v>
      </c>
      <c r="V282">
        <v>0.24696027908588178</v>
      </c>
      <c r="W282">
        <v>9.7842969011769629E-2</v>
      </c>
      <c r="X282">
        <v>1.662231626053419E-2</v>
      </c>
      <c r="Y282">
        <v>4.4151093843828888E-3</v>
      </c>
    </row>
    <row r="283" spans="1:25">
      <c r="A283" s="1010"/>
      <c r="B283" s="1351">
        <v>33</v>
      </c>
      <c r="C283" s="1014">
        <v>1.0199806097358972</v>
      </c>
      <c r="D283" s="1014">
        <v>1.0265846784594004</v>
      </c>
      <c r="E283" s="1014">
        <v>1.0065644043193176</v>
      </c>
      <c r="F283" s="1014">
        <v>0.9907190933322706</v>
      </c>
      <c r="G283" s="1014">
        <v>0.97310786802044835</v>
      </c>
      <c r="H283" s="1014">
        <v>0.98246557032024828</v>
      </c>
      <c r="I283" s="1014">
        <v>0.99734467831001472</v>
      </c>
      <c r="K283">
        <v>2.3674435953132584</v>
      </c>
      <c r="L283">
        <v>0</v>
      </c>
      <c r="M283">
        <v>1.5510631731813461E-3</v>
      </c>
      <c r="N283">
        <v>0.14395255718265698</v>
      </c>
      <c r="O283">
        <v>2.0460334494555626E-2</v>
      </c>
      <c r="P283">
        <v>2.8176352522228887E-2</v>
      </c>
      <c r="Q283">
        <v>5.3894364905753365E-3</v>
      </c>
      <c r="R283">
        <v>1.530224101664398E-3</v>
      </c>
      <c r="S283">
        <v>0.24819228449649916</v>
      </c>
      <c r="T283">
        <v>1.3590493013456879</v>
      </c>
      <c r="U283">
        <v>0.20784300511590309</v>
      </c>
      <c r="V283">
        <v>0.23969374592461895</v>
      </c>
      <c r="W283">
        <v>9.4199757951820562E-2</v>
      </c>
      <c r="X283">
        <v>1.6342893293739315E-2</v>
      </c>
      <c r="Y283">
        <v>4.1647655664909487E-3</v>
      </c>
    </row>
    <row r="284" spans="1:25">
      <c r="A284" s="1010"/>
      <c r="B284" s="1351">
        <v>34</v>
      </c>
      <c r="C284" s="1014">
        <v>1.0365408697637091</v>
      </c>
      <c r="D284" s="1014">
        <v>1.0121068023645852</v>
      </c>
      <c r="E284" s="1014">
        <v>1.0142685854430991</v>
      </c>
      <c r="F284" s="1014">
        <v>1.0319166769678647</v>
      </c>
      <c r="G284" s="1014">
        <v>1.000846399847837</v>
      </c>
      <c r="H284" s="1014">
        <v>0.99168369184836647</v>
      </c>
      <c r="I284" s="1014">
        <v>1.0053176116839095</v>
      </c>
      <c r="K284">
        <v>2.4266657120536017</v>
      </c>
      <c r="L284">
        <v>0</v>
      </c>
      <c r="M284">
        <v>1.5208848351765966E-3</v>
      </c>
      <c r="N284">
        <v>0.1444914357880977</v>
      </c>
      <c r="O284">
        <v>2.0201388496486717E-2</v>
      </c>
      <c r="P284">
        <v>2.9132575973673993E-2</v>
      </c>
      <c r="Q284">
        <v>5.3623574406016583E-3</v>
      </c>
      <c r="R284">
        <v>1.5006411592336909E-3</v>
      </c>
      <c r="S284">
        <v>0.24875318262781734</v>
      </c>
      <c r="T284">
        <v>1.4157356528309313</v>
      </c>
      <c r="U284">
        <v>0.20454785561354016</v>
      </c>
      <c r="V284">
        <v>0.24342479545662768</v>
      </c>
      <c r="W284">
        <v>9.4123954529086798E-2</v>
      </c>
      <c r="X284">
        <v>1.6828506423471071E-2</v>
      </c>
      <c r="Y284">
        <v>4.0842505492089147E-3</v>
      </c>
    </row>
    <row r="285" spans="1:25">
      <c r="A285" s="1010"/>
      <c r="B285" s="1351">
        <v>35</v>
      </c>
      <c r="C285" s="1014">
        <v>0.95666160720891635</v>
      </c>
      <c r="D285" s="1014">
        <v>0.9736120387856454</v>
      </c>
      <c r="E285" s="1014">
        <v>1.0282961250149836</v>
      </c>
      <c r="F285" s="1014">
        <v>0.99527886963798884</v>
      </c>
      <c r="G285" s="1014">
        <v>1.0128163355707258</v>
      </c>
      <c r="H285" s="1014">
        <v>1.0441856278215889</v>
      </c>
      <c r="I285" s="1014">
        <v>1.0180382414970666</v>
      </c>
      <c r="K285">
        <v>2.4788768413644764</v>
      </c>
      <c r="L285">
        <v>0</v>
      </c>
      <c r="M285">
        <v>1.6996357002730127E-3</v>
      </c>
      <c r="N285">
        <v>0.1685671198752402</v>
      </c>
      <c r="O285">
        <v>2.2085506071227026E-2</v>
      </c>
      <c r="P285">
        <v>2.9553562438398136E-2</v>
      </c>
      <c r="Q285">
        <v>5.9447562430228031E-3</v>
      </c>
      <c r="R285">
        <v>1.6781502553348314E-3</v>
      </c>
      <c r="S285">
        <v>0.28321326109201866</v>
      </c>
      <c r="T285">
        <v>1.3657737199744393</v>
      </c>
      <c r="U285">
        <v>0.22167746192205615</v>
      </c>
      <c r="V285">
        <v>0.25044599284415858</v>
      </c>
      <c r="W285">
        <v>0.10891063799906803</v>
      </c>
      <c r="X285">
        <v>1.8158936556847069E-2</v>
      </c>
      <c r="Y285">
        <v>4.5673717929384161E-3</v>
      </c>
    </row>
    <row r="286" spans="1:25">
      <c r="A286" s="1010"/>
      <c r="B286" s="1351">
        <v>36</v>
      </c>
      <c r="C286" s="1014">
        <v>0.99281329478990776</v>
      </c>
      <c r="D286" s="1014">
        <v>1.0379985604347151</v>
      </c>
      <c r="E286" s="1014">
        <v>1.0068380711129807</v>
      </c>
      <c r="F286" s="1014">
        <v>0.99600291911826866</v>
      </c>
      <c r="G286" s="1014">
        <v>0.99062024884773292</v>
      </c>
      <c r="H286" s="1014">
        <v>1.004618794553614</v>
      </c>
      <c r="I286" s="1014">
        <v>1.0123028168532295</v>
      </c>
      <c r="K286">
        <v>2.409280213631896</v>
      </c>
      <c r="L286">
        <v>0</v>
      </c>
      <c r="M286">
        <v>1.6245554977090766E-3</v>
      </c>
      <c r="N286">
        <v>0.15094326878383435</v>
      </c>
      <c r="O286">
        <v>2.0969322007209315E-2</v>
      </c>
      <c r="P286">
        <v>2.8575817599620391E-2</v>
      </c>
      <c r="Q286">
        <v>5.5250224056234967E-3</v>
      </c>
      <c r="R286">
        <v>1.6032103348924405E-3</v>
      </c>
      <c r="S286">
        <v>0.25929436108697251</v>
      </c>
      <c r="T286">
        <v>1.3663034546003752</v>
      </c>
      <c r="U286">
        <v>0.21353135844465296</v>
      </c>
      <c r="V286">
        <v>0.24435691926463757</v>
      </c>
      <c r="W286">
        <v>9.8758363977815303E-2</v>
      </c>
      <c r="X286">
        <v>1.6680260590537534E-2</v>
      </c>
      <c r="Y286">
        <v>4.3634100334323626E-3</v>
      </c>
    </row>
    <row r="287" spans="1:25">
      <c r="A287" s="1010"/>
      <c r="B287" s="1351">
        <v>37</v>
      </c>
      <c r="C287" s="1014">
        <v>1.0032793108645834</v>
      </c>
      <c r="D287" s="1014">
        <v>1.0375478381456718</v>
      </c>
      <c r="E287" s="1014">
        <v>0.97543482953944693</v>
      </c>
      <c r="F287" s="1014">
        <v>0.99923265662437621</v>
      </c>
      <c r="G287" s="1014">
        <v>1.0071599031534666</v>
      </c>
      <c r="H287" s="1014">
        <v>1.0196010320861897</v>
      </c>
      <c r="I287" s="1014">
        <v>1.01659643147919</v>
      </c>
      <c r="K287">
        <v>2.406031783583785</v>
      </c>
      <c r="L287">
        <v>0</v>
      </c>
      <c r="M287">
        <v>1.7414110486471289E-3</v>
      </c>
      <c r="N287">
        <v>0.14717514941800408</v>
      </c>
      <c r="O287">
        <v>2.0731980394054644E-2</v>
      </c>
      <c r="P287">
        <v>2.7951865010264063E-2</v>
      </c>
      <c r="Q287">
        <v>5.2919264401672063E-3</v>
      </c>
      <c r="R287">
        <v>1.7188667230786741E-3</v>
      </c>
      <c r="S287">
        <v>0.25875764268845475</v>
      </c>
      <c r="T287">
        <v>1.3700565259525741</v>
      </c>
      <c r="U287">
        <v>0.21119699982194423</v>
      </c>
      <c r="V287">
        <v>0.24663995824204335</v>
      </c>
      <c r="W287">
        <v>9.8120033402076715E-2</v>
      </c>
      <c r="X287">
        <v>1.5454057943811907E-2</v>
      </c>
      <c r="Y287">
        <v>4.6781885959571714E-3</v>
      </c>
    </row>
    <row r="288" spans="1:25">
      <c r="A288" s="1010"/>
      <c r="B288" s="1351">
        <v>38</v>
      </c>
      <c r="C288" s="1014">
        <v>0.99498383454911321</v>
      </c>
      <c r="D288" s="1014">
        <v>0.99978569933976025</v>
      </c>
      <c r="E288" s="1014">
        <v>0.98361037491589598</v>
      </c>
      <c r="F288" s="1014">
        <v>0.99953709288001058</v>
      </c>
      <c r="G288" s="1014">
        <v>0.98728946930345007</v>
      </c>
      <c r="H288" s="1014">
        <v>1.0009436786153474</v>
      </c>
      <c r="I288" s="1014">
        <v>0.99017072987294763</v>
      </c>
      <c r="K288">
        <v>2.4059081965585443</v>
      </c>
      <c r="L288">
        <v>0</v>
      </c>
      <c r="M288">
        <v>1.7087851662115066E-3</v>
      </c>
      <c r="N288">
        <v>0.14799864412071828</v>
      </c>
      <c r="O288">
        <v>2.1081469428032094E-2</v>
      </c>
      <c r="P288">
        <v>2.8099795012212835E-2</v>
      </c>
      <c r="Q288">
        <v>5.4260484605263264E-3</v>
      </c>
      <c r="R288">
        <v>1.6862508677297416E-3</v>
      </c>
      <c r="S288">
        <v>0.25734350516091264</v>
      </c>
      <c r="T288">
        <v>1.370649935355839</v>
      </c>
      <c r="U288">
        <v>0.21298580635234585</v>
      </c>
      <c r="V288">
        <v>0.24373322206023185</v>
      </c>
      <c r="W288">
        <v>9.8182975769013997E-2</v>
      </c>
      <c r="X288">
        <v>1.5839910147679728E-2</v>
      </c>
      <c r="Y288">
        <v>4.5894189895112044E-3</v>
      </c>
    </row>
    <row r="289" spans="1:25">
      <c r="A289" s="1010"/>
      <c r="B289" s="1351">
        <v>39</v>
      </c>
      <c r="C289" s="1014">
        <v>0.97519973877501009</v>
      </c>
      <c r="D289" s="1014">
        <v>1.0105721502436313</v>
      </c>
      <c r="E289" s="1014">
        <v>0.99137205180976573</v>
      </c>
      <c r="F289" s="1014">
        <v>0.97828156019246937</v>
      </c>
      <c r="G289" s="1014">
        <v>0.97256528345964532</v>
      </c>
      <c r="H289" s="1014">
        <v>0.97917213413076376</v>
      </c>
      <c r="I289" s="1014">
        <v>1.0188407099920329</v>
      </c>
      <c r="K289">
        <v>2.3904415978024796</v>
      </c>
      <c r="L289">
        <v>0</v>
      </c>
      <c r="M289">
        <v>1.6743858008336206E-3</v>
      </c>
      <c r="N289">
        <v>0.14841923236424798</v>
      </c>
      <c r="O289">
        <v>2.1463694233871799E-2</v>
      </c>
      <c r="P289">
        <v>2.8042453970823382E-2</v>
      </c>
      <c r="Q289">
        <v>5.5679991064632754E-3</v>
      </c>
      <c r="R289">
        <v>1.6518141821284477E-3</v>
      </c>
      <c r="S289">
        <v>0.26685683145203909</v>
      </c>
      <c r="T289">
        <v>1.3416663540336606</v>
      </c>
      <c r="U289">
        <v>0.21733384890338261</v>
      </c>
      <c r="V289">
        <v>0.2424624903333252</v>
      </c>
      <c r="W289">
        <v>9.8004331863774677E-2</v>
      </c>
      <c r="X289">
        <v>1.6151239476237939E-2</v>
      </c>
      <c r="Y289">
        <v>4.4956936833548383E-3</v>
      </c>
    </row>
    <row r="290" spans="1:25">
      <c r="A290" s="1010"/>
      <c r="B290" s="1351">
        <v>40</v>
      </c>
      <c r="C290" s="1014">
        <v>0.96445212040822215</v>
      </c>
      <c r="D290" s="1014">
        <v>0.95932760602901113</v>
      </c>
      <c r="E290" s="1014">
        <v>1.0014924904357343</v>
      </c>
      <c r="F290" s="1014">
        <v>1.0368168465352019</v>
      </c>
      <c r="G290" s="1014">
        <v>1.0216151737388492</v>
      </c>
      <c r="H290" s="1014">
        <v>1.0199071774373061</v>
      </c>
      <c r="I290" s="1014">
        <v>1.0170688622848492</v>
      </c>
      <c r="K290">
        <v>2.5176687166013205</v>
      </c>
      <c r="L290">
        <v>0</v>
      </c>
      <c r="M290">
        <v>1.7467473537595385E-3</v>
      </c>
      <c r="N290">
        <v>0.15972915078567362</v>
      </c>
      <c r="O290">
        <v>2.1959801014515105E-2</v>
      </c>
      <c r="P290">
        <v>2.9696237364271853E-2</v>
      </c>
      <c r="Q290">
        <v>5.7550598496580408E-3</v>
      </c>
      <c r="R290">
        <v>1.7241407321925103E-3</v>
      </c>
      <c r="S290">
        <v>0.28030646784717039</v>
      </c>
      <c r="T290">
        <v>1.4221714808378718</v>
      </c>
      <c r="U290">
        <v>0.21979161301454248</v>
      </c>
      <c r="V290">
        <v>0.25151663805514929</v>
      </c>
      <c r="W290">
        <v>0.1048382101591319</v>
      </c>
      <c r="X290">
        <v>1.7234121584713012E-2</v>
      </c>
      <c r="Y290">
        <v>4.6925427101883977E-3</v>
      </c>
    </row>
    <row r="291" spans="1:25">
      <c r="A291" s="1010"/>
      <c r="B291" s="1351">
        <v>41</v>
      </c>
      <c r="C291" s="1014">
        <v>1.026256274278827</v>
      </c>
      <c r="D291" s="1014">
        <v>0.97945316415718242</v>
      </c>
      <c r="E291" s="1014">
        <v>1.042736563867978</v>
      </c>
      <c r="F291" s="1014">
        <v>0.98465780392339741</v>
      </c>
      <c r="G291" s="1014">
        <v>1.0071469572830625</v>
      </c>
      <c r="H291" s="1014">
        <v>0.9990324769549791</v>
      </c>
      <c r="I291" s="1014">
        <v>0.9821345168448451</v>
      </c>
      <c r="K291">
        <v>2.3798667258193502</v>
      </c>
      <c r="L291">
        <v>0</v>
      </c>
      <c r="M291">
        <v>1.4689596969241321E-3</v>
      </c>
      <c r="N291">
        <v>0.15208048345998704</v>
      </c>
      <c r="O291">
        <v>2.057015376245001E-2</v>
      </c>
      <c r="P291">
        <v>2.8912270968603028E-2</v>
      </c>
      <c r="Q291">
        <v>5.6162447983988551E-3</v>
      </c>
      <c r="R291">
        <v>1.4495509949145648E-3</v>
      </c>
      <c r="S291">
        <v>0.2503550225273859</v>
      </c>
      <c r="T291">
        <v>1.3515085768538013</v>
      </c>
      <c r="U291">
        <v>0.20669295316231528</v>
      </c>
      <c r="V291">
        <v>0.24500301286172249</v>
      </c>
      <c r="W291">
        <v>9.7442005328881823E-2</v>
      </c>
      <c r="X291">
        <v>1.7760210834013822E-2</v>
      </c>
      <c r="Y291">
        <v>3.9451999638003953E-3</v>
      </c>
    </row>
    <row r="292" spans="1:25">
      <c r="A292" s="1010"/>
      <c r="B292" s="1351">
        <v>42</v>
      </c>
      <c r="C292" s="1014">
        <v>0.98605685889520589</v>
      </c>
      <c r="D292" s="1014">
        <v>1.0321267169704942</v>
      </c>
      <c r="E292" s="1014">
        <v>1.0049105995965979</v>
      </c>
      <c r="F292" s="1014">
        <v>0.99867057228720602</v>
      </c>
      <c r="G292" s="1014">
        <v>1.0062098388729575</v>
      </c>
      <c r="H292" s="1014">
        <v>0.995754921656818</v>
      </c>
      <c r="I292" s="1014">
        <v>1.0316874563689278</v>
      </c>
      <c r="K292">
        <v>2.4240327089626552</v>
      </c>
      <c r="L292">
        <v>0</v>
      </c>
      <c r="M292">
        <v>1.6297887681839907E-3</v>
      </c>
      <c r="N292">
        <v>0.15053278811198531</v>
      </c>
      <c r="O292">
        <v>2.1138080275617369E-2</v>
      </c>
      <c r="P292">
        <v>2.8739068605048473E-2</v>
      </c>
      <c r="Q292">
        <v>5.5587417885161082E-3</v>
      </c>
      <c r="R292">
        <v>1.6081842255259633E-3</v>
      </c>
      <c r="S292">
        <v>0.26602008393169124</v>
      </c>
      <c r="T292">
        <v>1.3699212240650127</v>
      </c>
      <c r="U292">
        <v>0.21498778193072846</v>
      </c>
      <c r="V292">
        <v>0.24745621833473491</v>
      </c>
      <c r="W292">
        <v>9.8602167462206666E-2</v>
      </c>
      <c r="X292">
        <v>1.6721211675673107E-2</v>
      </c>
      <c r="Y292">
        <v>4.3769473240942054E-3</v>
      </c>
    </row>
    <row r="293" spans="1:25">
      <c r="A293" s="1010"/>
      <c r="B293" s="1351">
        <v>43</v>
      </c>
      <c r="C293" s="1014">
        <v>0.96496004898963494</v>
      </c>
      <c r="D293" s="1014">
        <v>1.029184857098296</v>
      </c>
      <c r="E293" s="1014">
        <v>0.99410820122096766</v>
      </c>
      <c r="F293" s="1014">
        <v>0.97704747703648887</v>
      </c>
      <c r="G293" s="1014">
        <v>0.99457631042263484</v>
      </c>
      <c r="H293" s="1014">
        <v>1.0191124106634808</v>
      </c>
      <c r="I293" s="1014">
        <v>0.97859738160221199</v>
      </c>
      <c r="K293">
        <v>2.4017950929802341</v>
      </c>
      <c r="L293">
        <v>0</v>
      </c>
      <c r="M293">
        <v>1.7442028423846517E-3</v>
      </c>
      <c r="N293">
        <v>0.15597542112282889</v>
      </c>
      <c r="O293">
        <v>2.1606405782525966E-2</v>
      </c>
      <c r="P293">
        <v>2.8078042953007053E-2</v>
      </c>
      <c r="Q293">
        <v>5.620519710590458E-3</v>
      </c>
      <c r="R293">
        <v>1.7216115478431865E-3</v>
      </c>
      <c r="S293">
        <v>0.26012749331224205</v>
      </c>
      <c r="T293">
        <v>1.340031602661562</v>
      </c>
      <c r="U293">
        <v>0.21964977198777227</v>
      </c>
      <c r="V293">
        <v>0.24689137907816339</v>
      </c>
      <c r="W293">
        <v>0.10282552559926669</v>
      </c>
      <c r="X293">
        <v>1.6325862962682031E-2</v>
      </c>
      <c r="Y293">
        <v>4.6856591041349342E-3</v>
      </c>
    </row>
    <row r="294" spans="1:25">
      <c r="A294" s="1010"/>
      <c r="B294" s="1351">
        <v>44</v>
      </c>
      <c r="C294" s="1014">
        <v>0.99914822964361294</v>
      </c>
      <c r="D294" s="1014">
        <v>1.021289810472696</v>
      </c>
      <c r="E294" s="1014">
        <v>1.0041330383831546</v>
      </c>
      <c r="F294" s="1014">
        <v>1.0192789634509338</v>
      </c>
      <c r="G294" s="1014">
        <v>1.0161404383279464</v>
      </c>
      <c r="H294" s="1014">
        <v>0.99012170026462065</v>
      </c>
      <c r="I294" s="1014">
        <v>0.99563684572859767</v>
      </c>
      <c r="K294">
        <v>2.4340707566831035</v>
      </c>
      <c r="L294">
        <v>0</v>
      </c>
      <c r="M294">
        <v>1.6056427453841502E-3</v>
      </c>
      <c r="N294">
        <v>0.14794340631694122</v>
      </c>
      <c r="O294">
        <v>2.0909101799183896E-2</v>
      </c>
      <c r="P294">
        <v>2.8920868601886519E-2</v>
      </c>
      <c r="Q294">
        <v>5.4942414813204041E-3</v>
      </c>
      <c r="R294">
        <v>1.5842371870213659E-3</v>
      </c>
      <c r="S294">
        <v>0.25421382791896091</v>
      </c>
      <c r="T294">
        <v>1.398173521647079</v>
      </c>
      <c r="U294">
        <v>0.21216823580692912</v>
      </c>
      <c r="V294">
        <v>0.24832553490395479</v>
      </c>
      <c r="W294">
        <v>9.6950702401329261E-2</v>
      </c>
      <c r="X294">
        <v>1.6680949984458217E-2</v>
      </c>
      <c r="Y294">
        <v>4.3117713794238134E-3</v>
      </c>
    </row>
    <row r="295" spans="1:25">
      <c r="A295" s="1010"/>
      <c r="B295" s="1351">
        <v>45</v>
      </c>
      <c r="C295" s="1014">
        <v>1.0258278450908473</v>
      </c>
      <c r="D295" s="1014">
        <v>1.0162458733839492</v>
      </c>
      <c r="E295" s="1014">
        <v>0.98886094260378532</v>
      </c>
      <c r="F295" s="1014">
        <v>0.98060844759225774</v>
      </c>
      <c r="G295" s="1014">
        <v>1.0223578637605726</v>
      </c>
      <c r="H295" s="1014">
        <v>1.006970722366888</v>
      </c>
      <c r="I295" s="1014">
        <v>1.0138398609195551</v>
      </c>
      <c r="K295">
        <v>2.3670549771338143</v>
      </c>
      <c r="L295">
        <v>0</v>
      </c>
      <c r="M295">
        <v>1.6434487507032193E-3</v>
      </c>
      <c r="N295">
        <v>0.14462967150311334</v>
      </c>
      <c r="O295">
        <v>2.0377654580928498E-2</v>
      </c>
      <c r="P295">
        <v>2.7785750604542216E-2</v>
      </c>
      <c r="Q295">
        <v>5.2728649737595343E-3</v>
      </c>
      <c r="R295">
        <v>1.6219057825045606E-3</v>
      </c>
      <c r="S295">
        <v>0.25404221795060422</v>
      </c>
      <c r="T295">
        <v>1.3448044182431937</v>
      </c>
      <c r="U295">
        <v>0.20659932716214979</v>
      </c>
      <c r="V295">
        <v>0.24781989482183178</v>
      </c>
      <c r="W295">
        <v>9.56457645842064E-2</v>
      </c>
      <c r="X295">
        <v>1.5684662798802599E-2</v>
      </c>
      <c r="Y295">
        <v>4.4142928788799048E-3</v>
      </c>
    </row>
    <row r="296" spans="1:25">
      <c r="A296" s="1010"/>
      <c r="B296" s="1351">
        <v>46</v>
      </c>
      <c r="C296" s="1014">
        <v>1.0241411413133163</v>
      </c>
      <c r="D296" s="1014">
        <v>0.99162243885760371</v>
      </c>
      <c r="E296" s="1014">
        <v>0.99628487290560164</v>
      </c>
      <c r="F296" s="1014">
        <v>0.9849434642672561</v>
      </c>
      <c r="G296" s="1014">
        <v>0.9989687925881493</v>
      </c>
      <c r="H296" s="1014">
        <v>1.0344242214421553</v>
      </c>
      <c r="I296" s="1014">
        <v>1.0032192451279418</v>
      </c>
      <c r="K296">
        <v>2.3834288479764423</v>
      </c>
      <c r="L296">
        <v>0</v>
      </c>
      <c r="M296">
        <v>1.6742335500794154E-3</v>
      </c>
      <c r="N296">
        <v>0.15073585840952741</v>
      </c>
      <c r="O296">
        <v>2.0526470328762203E-2</v>
      </c>
      <c r="P296">
        <v>2.8019300007959054E-2</v>
      </c>
      <c r="Q296">
        <v>5.3513205512505458E-3</v>
      </c>
      <c r="R296">
        <v>1.6528695004700055E-3</v>
      </c>
      <c r="S296">
        <v>0.2572513921687648</v>
      </c>
      <c r="T296">
        <v>1.3509073616629423</v>
      </c>
      <c r="U296">
        <v>0.20696433423678243</v>
      </c>
      <c r="V296">
        <v>0.24389767270598106</v>
      </c>
      <c r="W296">
        <v>9.9242425410547508E-2</v>
      </c>
      <c r="X296">
        <v>1.6055510631537675E-2</v>
      </c>
      <c r="Y296">
        <v>4.4985659119949608E-3</v>
      </c>
    </row>
    <row r="297" spans="1:25">
      <c r="A297" s="1010"/>
      <c r="B297" s="1351">
        <v>47</v>
      </c>
      <c r="C297" s="1014">
        <v>1.0039859177929924</v>
      </c>
      <c r="D297" s="1014">
        <v>0.9894923873021596</v>
      </c>
      <c r="E297" s="1014">
        <v>1.0171156162606598</v>
      </c>
      <c r="F297" s="1014">
        <v>0.96508239608926427</v>
      </c>
      <c r="G297" s="1014">
        <v>0.97492095864471462</v>
      </c>
      <c r="H297" s="1014">
        <v>1.0251590840606963</v>
      </c>
      <c r="I297" s="1014">
        <v>0.99418106918592353</v>
      </c>
      <c r="K297">
        <v>2.3684093961084822</v>
      </c>
      <c r="L297">
        <v>0</v>
      </c>
      <c r="M297">
        <v>1.621665687366154E-3</v>
      </c>
      <c r="N297">
        <v>0.15546393291384691</v>
      </c>
      <c r="O297">
        <v>2.0962267708860897E-2</v>
      </c>
      <c r="P297">
        <v>2.8136330299721648E-2</v>
      </c>
      <c r="Q297">
        <v>5.5801378926352259E-3</v>
      </c>
      <c r="R297">
        <v>1.6007854091223922E-3</v>
      </c>
      <c r="S297">
        <v>0.25971975764228855</v>
      </c>
      <c r="T297">
        <v>1.3241021293854329</v>
      </c>
      <c r="U297">
        <v>0.211190180733627</v>
      </c>
      <c r="V297">
        <v>0.24094182266008302</v>
      </c>
      <c r="W297">
        <v>0.10110249298786181</v>
      </c>
      <c r="X297">
        <v>1.6874413977503312E-2</v>
      </c>
      <c r="Y297">
        <v>4.3568101848628559E-3</v>
      </c>
    </row>
    <row r="298" spans="1:25">
      <c r="A298" s="1010"/>
      <c r="B298" s="1351">
        <v>48</v>
      </c>
      <c r="C298" s="1014">
        <v>1.0062628310818551</v>
      </c>
      <c r="D298" s="1014">
        <v>0.98721538021112254</v>
      </c>
      <c r="E298" s="1014">
        <v>0.98555440323248944</v>
      </c>
      <c r="F298" s="1014">
        <v>0.99370254786713907</v>
      </c>
      <c r="G298" s="1014">
        <v>1.0373129136067762</v>
      </c>
      <c r="H298" s="1014">
        <v>1.0069961231986648</v>
      </c>
      <c r="I298" s="1014">
        <v>1.0156279543886186</v>
      </c>
      <c r="K298">
        <v>2.4089039986520473</v>
      </c>
      <c r="L298">
        <v>0</v>
      </c>
      <c r="M298">
        <v>1.6977434081217101E-3</v>
      </c>
      <c r="N298">
        <v>0.14792134645859706</v>
      </c>
      <c r="O298">
        <v>2.0904559581801419E-2</v>
      </c>
      <c r="P298">
        <v>2.8186327267872312E-2</v>
      </c>
      <c r="Q298">
        <v>5.3911293597336332E-3</v>
      </c>
      <c r="R298">
        <v>1.6754892857048184E-3</v>
      </c>
      <c r="S298">
        <v>0.26319973580897915</v>
      </c>
      <c r="T298">
        <v>1.3626907620598931</v>
      </c>
      <c r="U298">
        <v>0.21060507904714765</v>
      </c>
      <c r="V298">
        <v>0.25156959023284942</v>
      </c>
      <c r="W298">
        <v>9.8016988813553446E-2</v>
      </c>
      <c r="X298">
        <v>1.5880604633242121E-2</v>
      </c>
      <c r="Y298">
        <v>4.5601295107939224E-3</v>
      </c>
    </row>
    <row r="299" spans="1:25">
      <c r="A299" s="1010"/>
      <c r="B299" s="1351">
        <v>49</v>
      </c>
      <c r="C299" s="1014">
        <v>0.97653248665728209</v>
      </c>
      <c r="D299" s="1014">
        <v>1.0330819582706787</v>
      </c>
      <c r="E299" s="1014">
        <v>1.0230182309925875</v>
      </c>
      <c r="F299" s="1014">
        <v>1.0143573333929545</v>
      </c>
      <c r="G299" s="1014">
        <v>1.0146096232115791</v>
      </c>
      <c r="H299" s="1014">
        <v>0.98653135939953607</v>
      </c>
      <c r="I299" s="1014">
        <v>1.0066398190453174</v>
      </c>
      <c r="K299">
        <v>2.4503759662104052</v>
      </c>
      <c r="L299">
        <v>0</v>
      </c>
      <c r="M299">
        <v>1.5698899089841402E-3</v>
      </c>
      <c r="N299">
        <v>0.1531260439606017</v>
      </c>
      <c r="O299">
        <v>2.1352146771196189E-2</v>
      </c>
      <c r="P299">
        <v>2.9421191143436214E-2</v>
      </c>
      <c r="Q299">
        <v>5.7173737466213225E-3</v>
      </c>
      <c r="R299">
        <v>1.5488848202106279E-3</v>
      </c>
      <c r="S299">
        <v>0.26131935862484129</v>
      </c>
      <c r="T299">
        <v>1.3918378145333083</v>
      </c>
      <c r="U299">
        <v>0.21714813245935821</v>
      </c>
      <c r="V299">
        <v>0.24944290011303313</v>
      </c>
      <c r="W299">
        <v>9.923881879572112E-2</v>
      </c>
      <c r="X299">
        <v>1.7577637260190147E-2</v>
      </c>
      <c r="Y299">
        <v>4.2155538908695712E-3</v>
      </c>
    </row>
    <row r="300" spans="1:25">
      <c r="A300" s="1010"/>
      <c r="B300" s="1351">
        <v>50</v>
      </c>
      <c r="C300" s="1014">
        <v>1.0101566290343611</v>
      </c>
      <c r="D300" s="1014">
        <v>0.99828048013166226</v>
      </c>
      <c r="E300" s="1014">
        <v>1.0186698739271509</v>
      </c>
      <c r="F300" s="1014">
        <v>0.9698783331869627</v>
      </c>
      <c r="G300" s="1014">
        <v>1.0397044964433493</v>
      </c>
      <c r="H300" s="1014">
        <v>0.99643342447649375</v>
      </c>
      <c r="I300" s="1014">
        <v>0.99194027176366351</v>
      </c>
      <c r="K300">
        <v>2.3695105676205044</v>
      </c>
      <c r="L300">
        <v>0</v>
      </c>
      <c r="M300">
        <v>1.5585057703509948E-3</v>
      </c>
      <c r="N300">
        <v>0.15005485736192137</v>
      </c>
      <c r="O300">
        <v>2.0794751414835669E-2</v>
      </c>
      <c r="P300">
        <v>2.8310973544470933E-2</v>
      </c>
      <c r="Q300">
        <v>5.5441150342894823E-3</v>
      </c>
      <c r="R300">
        <v>1.5378602256357692E-3</v>
      </c>
      <c r="S300">
        <v>0.25402767327306208</v>
      </c>
      <c r="T300">
        <v>1.3307149186314047</v>
      </c>
      <c r="U300">
        <v>0.20990536389174735</v>
      </c>
      <c r="V300">
        <v>0.25161419476528196</v>
      </c>
      <c r="W300">
        <v>9.749597877192584E-2</v>
      </c>
      <c r="X300">
        <v>1.6882837897582333E-2</v>
      </c>
      <c r="Y300">
        <v>4.1855485786934316E-3</v>
      </c>
    </row>
    <row r="301" spans="1:25">
      <c r="A301" s="1010"/>
      <c r="B301" s="1351">
        <v>51</v>
      </c>
      <c r="C301" s="1014">
        <v>1.005496624509417</v>
      </c>
      <c r="D301" s="1014">
        <v>0.96427532366226654</v>
      </c>
      <c r="E301" s="1014">
        <v>0.99597176712045088</v>
      </c>
      <c r="F301" s="1014">
        <v>1.0192296874250419</v>
      </c>
      <c r="G301" s="1014">
        <v>1.0146664018893308</v>
      </c>
      <c r="H301" s="1014">
        <v>0.98661105704782659</v>
      </c>
      <c r="I301" s="1014">
        <v>0.97461182754882214</v>
      </c>
      <c r="K301">
        <v>2.430741854641203</v>
      </c>
      <c r="L301">
        <v>0</v>
      </c>
      <c r="M301">
        <v>1.6375568738079412E-3</v>
      </c>
      <c r="N301">
        <v>0.14720205203635386</v>
      </c>
      <c r="O301">
        <v>2.103590193635093E-2</v>
      </c>
      <c r="P301">
        <v>2.8714432192421244E-2</v>
      </c>
      <c r="Q301">
        <v>5.4824016639180347E-3</v>
      </c>
      <c r="R301">
        <v>1.6156481726022443E-3</v>
      </c>
      <c r="S301">
        <v>0.25416178761180708</v>
      </c>
      <c r="T301">
        <v>1.397926018097744</v>
      </c>
      <c r="U301">
        <v>0.21080092632179215</v>
      </c>
      <c r="V301">
        <v>0.24770940404270908</v>
      </c>
      <c r="W301">
        <v>9.6933907946882628E-2</v>
      </c>
      <c r="X301">
        <v>1.6399669764881521E-2</v>
      </c>
      <c r="Y301">
        <v>4.3972617275463491E-3</v>
      </c>
    </row>
    <row r="302" spans="1:25">
      <c r="A302" s="1010"/>
      <c r="B302" s="1351">
        <v>52</v>
      </c>
      <c r="C302" s="1014">
        <v>1.0162528007514011</v>
      </c>
      <c r="D302" s="1014">
        <v>0.98097081753537185</v>
      </c>
      <c r="E302" s="1014">
        <v>0.98904566004740724</v>
      </c>
      <c r="F302" s="1014">
        <v>1.0332175555544234</v>
      </c>
      <c r="G302" s="1014">
        <v>1.0342437082415052</v>
      </c>
      <c r="H302" s="1014">
        <v>0.987999413130632</v>
      </c>
      <c r="I302" s="1014">
        <v>0.95596452840132384</v>
      </c>
      <c r="K302">
        <v>2.435583746564626</v>
      </c>
      <c r="L302">
        <v>0</v>
      </c>
      <c r="M302">
        <v>1.6397514167368647E-3</v>
      </c>
      <c r="N302">
        <v>0.1443480872162575</v>
      </c>
      <c r="O302">
        <v>2.0730264972110109E-2</v>
      </c>
      <c r="P302">
        <v>2.869973260329144E-2</v>
      </c>
      <c r="Q302">
        <v>5.3651076399382812E-3</v>
      </c>
      <c r="R302">
        <v>1.6178441827652101E-3</v>
      </c>
      <c r="S302">
        <v>0.24458676942408419</v>
      </c>
      <c r="T302">
        <v>1.4169565597636984</v>
      </c>
      <c r="U302">
        <v>0.20854650803657962</v>
      </c>
      <c r="V302">
        <v>0.25042255199402907</v>
      </c>
      <c r="W302">
        <v>9.5448977252889824E-2</v>
      </c>
      <c r="X302">
        <v>1.609785635242603E-2</v>
      </c>
      <c r="Y302">
        <v>4.4032385432953855E-3</v>
      </c>
    </row>
    <row r="303" spans="1:25">
      <c r="A303" s="1010"/>
      <c r="B303" s="1351">
        <v>53</v>
      </c>
      <c r="C303" s="1014">
        <v>0.97812693145771201</v>
      </c>
      <c r="D303" s="1014">
        <v>1.0267142833672969</v>
      </c>
      <c r="E303" s="1014">
        <v>0.99767808562612814</v>
      </c>
      <c r="F303" s="1014">
        <v>0.99923732811282773</v>
      </c>
      <c r="G303" s="1014">
        <v>0.98909935833772478</v>
      </c>
      <c r="H303" s="1014">
        <v>1.0382178656656968</v>
      </c>
      <c r="I303" s="1014">
        <v>0.97852905742433072</v>
      </c>
      <c r="K303">
        <v>2.4283950203317684</v>
      </c>
      <c r="L303">
        <v>0</v>
      </c>
      <c r="M303">
        <v>1.7409778117482017E-3</v>
      </c>
      <c r="N303">
        <v>0.15741377029192488</v>
      </c>
      <c r="O303">
        <v>2.1329235192586209E-2</v>
      </c>
      <c r="P303">
        <v>2.8482507879551627E-2</v>
      </c>
      <c r="Q303">
        <v>5.5684098064632493E-3</v>
      </c>
      <c r="R303">
        <v>1.7188432485204311E-3</v>
      </c>
      <c r="S303">
        <v>0.25855904013650532</v>
      </c>
      <c r="T303">
        <v>1.3705423203835978</v>
      </c>
      <c r="U303">
        <v>0.21670546298779339</v>
      </c>
      <c r="V303">
        <v>0.24507302102880005</v>
      </c>
      <c r="W303">
        <v>0.10355308376822243</v>
      </c>
      <c r="X303">
        <v>1.6512178713604234E-2</v>
      </c>
      <c r="Y303">
        <v>4.678124705948021E-3</v>
      </c>
    </row>
    <row r="304" spans="1:25">
      <c r="A304" s="1010"/>
      <c r="B304" s="1351">
        <v>54</v>
      </c>
      <c r="C304" s="1014">
        <v>1.0312341411603234</v>
      </c>
      <c r="D304" s="1014">
        <v>1.0203445137577585</v>
      </c>
      <c r="E304" s="1014">
        <v>0.98208807934757536</v>
      </c>
      <c r="F304" s="1014">
        <v>0.99210817173552579</v>
      </c>
      <c r="G304" s="1014">
        <v>1.0358530921155551</v>
      </c>
      <c r="H304" s="1014">
        <v>1.0155798133923288</v>
      </c>
      <c r="I304" s="1014">
        <v>0.99533340213552901</v>
      </c>
      <c r="K304">
        <v>2.3768784288025238</v>
      </c>
      <c r="L304">
        <v>0</v>
      </c>
      <c r="M304">
        <v>1.6706040489523567E-3</v>
      </c>
      <c r="N304">
        <v>0.14405472733073071</v>
      </c>
      <c r="O304">
        <v>2.0248552284651309E-2</v>
      </c>
      <c r="P304">
        <v>2.778860005842677E-2</v>
      </c>
      <c r="Q304">
        <v>5.2036234896190928E-3</v>
      </c>
      <c r="R304">
        <v>1.6488907561818319E-3</v>
      </c>
      <c r="S304">
        <v>0.24825120434300024</v>
      </c>
      <c r="T304">
        <v>1.3604302196929434</v>
      </c>
      <c r="U304">
        <v>0.20549382199411412</v>
      </c>
      <c r="V304">
        <v>0.24983241925064792</v>
      </c>
      <c r="W304">
        <v>9.5654250035248384E-2</v>
      </c>
      <c r="X304">
        <v>1.5454986534275706E-2</v>
      </c>
      <c r="Y304">
        <v>4.4877370816352553E-3</v>
      </c>
    </row>
    <row r="305" spans="1:25">
      <c r="A305" s="1010"/>
      <c r="B305" s="1351">
        <v>55</v>
      </c>
      <c r="C305" s="1014">
        <v>0.99077031041589647</v>
      </c>
      <c r="D305" s="1014">
        <v>1.0112316547076106</v>
      </c>
      <c r="E305" s="1014">
        <v>1.0011634099111606</v>
      </c>
      <c r="F305" s="1014">
        <v>1.031464482111252</v>
      </c>
      <c r="G305" s="1014">
        <v>0.99703138011531933</v>
      </c>
      <c r="H305" s="1014">
        <v>0.99803800978565316</v>
      </c>
      <c r="I305" s="1014">
        <v>1.0021773220223977</v>
      </c>
      <c r="K305">
        <v>2.4603039651098739</v>
      </c>
      <c r="L305">
        <v>0</v>
      </c>
      <c r="M305">
        <v>1.6458350811614805E-3</v>
      </c>
      <c r="N305">
        <v>0.15030861255232114</v>
      </c>
      <c r="O305">
        <v>2.1129885863491966E-2</v>
      </c>
      <c r="P305">
        <v>2.9150434741127638E-2</v>
      </c>
      <c r="Q305">
        <v>5.5357318212441451E-3</v>
      </c>
      <c r="R305">
        <v>1.6240677365928734E-3</v>
      </c>
      <c r="S305">
        <v>0.25998193651077983</v>
      </c>
      <c r="T305">
        <v>1.4148224550414168</v>
      </c>
      <c r="U305">
        <v>0.21395207333468491</v>
      </c>
      <c r="V305">
        <v>0.24560126374921754</v>
      </c>
      <c r="W305">
        <v>9.8674318302562639E-2</v>
      </c>
      <c r="X305">
        <v>1.6748843532375612E-2</v>
      </c>
      <c r="Y305">
        <v>4.4201770052203181E-3</v>
      </c>
    </row>
    <row r="306" spans="1:25">
      <c r="A306" s="1010"/>
      <c r="B306" s="1351">
        <v>56</v>
      </c>
      <c r="C306" s="1014">
        <v>1.0025512722173933</v>
      </c>
      <c r="D306" s="1014">
        <v>0.99618853369877058</v>
      </c>
      <c r="E306" s="1014">
        <v>1.0102102743769403</v>
      </c>
      <c r="F306" s="1014">
        <v>0.99034891888284393</v>
      </c>
      <c r="G306" s="1014">
        <v>1.0150536919264723</v>
      </c>
      <c r="H306" s="1014">
        <v>0.97198219321485679</v>
      </c>
      <c r="I306" s="1014">
        <v>0.98679126825389152</v>
      </c>
      <c r="K306">
        <v>2.3884937347647157</v>
      </c>
      <c r="L306">
        <v>0</v>
      </c>
      <c r="M306">
        <v>1.5596919169782932E-3</v>
      </c>
      <c r="N306">
        <v>0.14633415877280911</v>
      </c>
      <c r="O306">
        <v>2.0956555044610293E-2</v>
      </c>
      <c r="P306">
        <v>2.8472309863366501E-2</v>
      </c>
      <c r="Q306">
        <v>5.5403186148015532E-3</v>
      </c>
      <c r="R306">
        <v>1.5385109037643555E-3</v>
      </c>
      <c r="S306">
        <v>0.25277617967604044</v>
      </c>
      <c r="T306">
        <v>1.3586197266941247</v>
      </c>
      <c r="U306">
        <v>0.2114687992517765</v>
      </c>
      <c r="V306">
        <v>0.24790592327525998</v>
      </c>
      <c r="W306">
        <v>9.5552322662973171E-2</v>
      </c>
      <c r="X306">
        <v>1.6701302412103908E-2</v>
      </c>
      <c r="Y306">
        <v>4.1873195100634551E-3</v>
      </c>
    </row>
    <row r="307" spans="1:25">
      <c r="A307" s="1010"/>
      <c r="B307" s="1351">
        <v>57</v>
      </c>
      <c r="C307" s="1014">
        <v>0.98791758777454253</v>
      </c>
      <c r="D307" s="1014">
        <v>0.97313790491297614</v>
      </c>
      <c r="E307" s="1014">
        <v>1.0110373056423529</v>
      </c>
      <c r="F307" s="1014">
        <v>0.98167960501145857</v>
      </c>
      <c r="G307" s="1014">
        <v>1.0398765618364145</v>
      </c>
      <c r="H307" s="1014">
        <v>0.97355833706093253</v>
      </c>
      <c r="I307" s="1014">
        <v>0.99773801146890151</v>
      </c>
      <c r="K307">
        <v>2.4010549630879341</v>
      </c>
      <c r="L307">
        <v>0</v>
      </c>
      <c r="M307">
        <v>1.5908120857626837E-3</v>
      </c>
      <c r="N307">
        <v>0.14963037161870649</v>
      </c>
      <c r="O307">
        <v>2.137735229812986E-2</v>
      </c>
      <c r="P307">
        <v>2.8575504113378655E-2</v>
      </c>
      <c r="Q307">
        <v>5.6562381259226023E-3</v>
      </c>
      <c r="R307">
        <v>1.5692434279724449E-3</v>
      </c>
      <c r="S307">
        <v>0.26259634914203861</v>
      </c>
      <c r="T307">
        <v>1.3467442414273951</v>
      </c>
      <c r="U307">
        <v>0.21460408031620867</v>
      </c>
      <c r="V307">
        <v>0.25306268344148941</v>
      </c>
      <c r="W307">
        <v>9.7657048534237234E-2</v>
      </c>
      <c r="X307">
        <v>1.6901699418232996E-2</v>
      </c>
      <c r="Y307">
        <v>4.2709633099839934E-3</v>
      </c>
    </row>
    <row r="308" spans="1:25">
      <c r="A308" s="1010"/>
      <c r="B308" s="1351">
        <v>58</v>
      </c>
      <c r="C308" s="1014">
        <v>0.99160342559030779</v>
      </c>
      <c r="D308" s="1014">
        <v>1.0438722445395605</v>
      </c>
      <c r="E308" s="1014">
        <v>0.98167440202803324</v>
      </c>
      <c r="F308" s="1014">
        <v>1.0355769913776507</v>
      </c>
      <c r="G308" s="1014">
        <v>0.96649466989310129</v>
      </c>
      <c r="H308" s="1014">
        <v>0.99094155381242321</v>
      </c>
      <c r="I308" s="1014">
        <v>0.96283898710588511</v>
      </c>
      <c r="K308">
        <v>2.4361812414844621</v>
      </c>
      <c r="L308">
        <v>0</v>
      </c>
      <c r="M308">
        <v>1.6881858900138762E-3</v>
      </c>
      <c r="N308">
        <v>0.14534112789236145</v>
      </c>
      <c r="O308">
        <v>2.0952191752179244E-2</v>
      </c>
      <c r="P308">
        <v>2.8520878164130844E-2</v>
      </c>
      <c r="Q308">
        <v>5.3821888836531927E-3</v>
      </c>
      <c r="R308">
        <v>1.665698531486287E-3</v>
      </c>
      <c r="S308">
        <v>0.24492228069938687</v>
      </c>
      <c r="T308">
        <v>1.4200276905007754</v>
      </c>
      <c r="U308">
        <v>0.21370522693948446</v>
      </c>
      <c r="V308">
        <v>0.24040087873251575</v>
      </c>
      <c r="W308">
        <v>9.6532510815571793E-2</v>
      </c>
      <c r="X308">
        <v>1.5885272157595737E-2</v>
      </c>
      <c r="Y308">
        <v>4.5334823053323437E-3</v>
      </c>
    </row>
    <row r="309" spans="1:25">
      <c r="A309" s="1010"/>
      <c r="B309" s="1351">
        <v>59</v>
      </c>
      <c r="C309" s="1014">
        <v>0.95632137938621931</v>
      </c>
      <c r="D309" s="1014">
        <v>0.97459906284782694</v>
      </c>
      <c r="E309" s="1014">
        <v>1.0009217612848631</v>
      </c>
      <c r="F309" s="1014">
        <v>0.99581594815246244</v>
      </c>
      <c r="G309" s="1014">
        <v>0.98355090265907719</v>
      </c>
      <c r="H309" s="1014">
        <v>1.0379484391438656</v>
      </c>
      <c r="I309" s="1014">
        <v>1.0056756548461385</v>
      </c>
      <c r="K309">
        <v>2.4610690082354969</v>
      </c>
      <c r="L309">
        <v>0</v>
      </c>
      <c r="M309">
        <v>1.7886579048296391E-3</v>
      </c>
      <c r="N309">
        <v>0.16331706098426038</v>
      </c>
      <c r="O309">
        <v>2.2069290807398129E-2</v>
      </c>
      <c r="P309">
        <v>2.8840963758890073E-2</v>
      </c>
      <c r="Q309">
        <v>5.7804392254757232E-3</v>
      </c>
      <c r="R309">
        <v>1.7659112402046897E-3</v>
      </c>
      <c r="S309">
        <v>0.27892816600203851</v>
      </c>
      <c r="T309">
        <v>1.365919447064899</v>
      </c>
      <c r="U309">
        <v>0.2216582631475586</v>
      </c>
      <c r="V309">
        <v>0.2455686476166267</v>
      </c>
      <c r="W309">
        <v>0.1072294671380386</v>
      </c>
      <c r="X309">
        <v>1.6973780891580813E-2</v>
      </c>
      <c r="Y309">
        <v>4.8062282633532828E-3</v>
      </c>
    </row>
    <row r="310" spans="1:25">
      <c r="A310" s="1010"/>
      <c r="B310" s="1351">
        <v>60</v>
      </c>
      <c r="C310" s="1014">
        <v>0.97932788829737794</v>
      </c>
      <c r="D310" s="1014">
        <v>0.98706103867618999</v>
      </c>
      <c r="E310" s="1014">
        <v>1.0331633761461512</v>
      </c>
      <c r="F310" s="1014">
        <v>1.0313249337442243</v>
      </c>
      <c r="G310" s="1014">
        <v>1.0149816684718154</v>
      </c>
      <c r="H310" s="1014">
        <v>1.0306947636774242</v>
      </c>
      <c r="I310" s="1014">
        <v>0.98967923743671449</v>
      </c>
      <c r="K310">
        <v>2.4947395971599207</v>
      </c>
      <c r="L310">
        <v>0</v>
      </c>
      <c r="M310">
        <v>1.6174186133036529E-3</v>
      </c>
      <c r="N310">
        <v>0.1627565958778342</v>
      </c>
      <c r="O310">
        <v>2.1512649256336287E-2</v>
      </c>
      <c r="P310">
        <v>3.0022713845768448E-2</v>
      </c>
      <c r="Q310">
        <v>5.8184817915895729E-3</v>
      </c>
      <c r="R310">
        <v>1.5967048702153343E-3</v>
      </c>
      <c r="S310">
        <v>0.26599256183875752</v>
      </c>
      <c r="T310">
        <v>1.4153472303533998</v>
      </c>
      <c r="U310">
        <v>0.21656386378320988</v>
      </c>
      <c r="V310">
        <v>0.24928815964452211</v>
      </c>
      <c r="W310">
        <v>0.10485996625063612</v>
      </c>
      <c r="X310">
        <v>1.8252383957844606E-2</v>
      </c>
      <c r="Y310">
        <v>4.3457043031071337E-3</v>
      </c>
    </row>
    <row r="311" spans="1:25">
      <c r="A311" s="1010"/>
      <c r="B311" s="1351">
        <v>61</v>
      </c>
      <c r="C311" s="1014">
        <v>1.0036474302623197</v>
      </c>
      <c r="D311" s="1014">
        <v>0.99145890623719846</v>
      </c>
      <c r="E311" s="1014">
        <v>1.0343461577599362</v>
      </c>
      <c r="F311" s="1014">
        <v>0.99166630232124098</v>
      </c>
      <c r="G311" s="1014">
        <v>0.98062099870646391</v>
      </c>
      <c r="H311" s="1014">
        <v>1.0089796132808662</v>
      </c>
      <c r="I311" s="1014">
        <v>1.0165192967601402</v>
      </c>
      <c r="K311">
        <v>2.4113687683524203</v>
      </c>
      <c r="L311">
        <v>0</v>
      </c>
      <c r="M311">
        <v>1.5396640338088605E-3</v>
      </c>
      <c r="N311">
        <v>0.15544220229137742</v>
      </c>
      <c r="O311">
        <v>2.0971640085392384E-2</v>
      </c>
      <c r="P311">
        <v>2.9083956558806048E-2</v>
      </c>
      <c r="Q311">
        <v>5.6787794484434205E-3</v>
      </c>
      <c r="R311">
        <v>1.5195216998629359E-3</v>
      </c>
      <c r="S311">
        <v>0.2641284991873184</v>
      </c>
      <c r="T311">
        <v>1.3609469163907753</v>
      </c>
      <c r="U311">
        <v>0.2113203187716419</v>
      </c>
      <c r="V311">
        <v>0.24187713839410735</v>
      </c>
      <c r="W311">
        <v>0.1000789539042042</v>
      </c>
      <c r="X311">
        <v>1.7724868497466247E-2</v>
      </c>
      <c r="Y311">
        <v>4.1356371568331734E-3</v>
      </c>
    </row>
    <row r="312" spans="1:25">
      <c r="A312" s="1010"/>
      <c r="B312" s="1351">
        <v>62</v>
      </c>
      <c r="C312" s="1014">
        <v>1.0179108005815054</v>
      </c>
      <c r="D312" s="1014">
        <v>0.98001774468639369</v>
      </c>
      <c r="E312" s="1014">
        <v>1.0347021452416236</v>
      </c>
      <c r="F312" s="1014">
        <v>1.0163244611580673</v>
      </c>
      <c r="G312" s="1014">
        <v>1.0329590811553244</v>
      </c>
      <c r="H312" s="1014">
        <v>1.0031913891726838</v>
      </c>
      <c r="I312" s="1014">
        <v>1.0160465253134623</v>
      </c>
      <c r="K312">
        <v>2.4434044830455286</v>
      </c>
      <c r="L312">
        <v>0</v>
      </c>
      <c r="M312">
        <v>1.5121170828819503E-3</v>
      </c>
      <c r="N312">
        <v>0.15281327626656402</v>
      </c>
      <c r="O312">
        <v>2.0730879676245241E-2</v>
      </c>
      <c r="P312">
        <v>2.9597439922075818E-2</v>
      </c>
      <c r="Q312">
        <v>5.615556663355295E-3</v>
      </c>
      <c r="R312">
        <v>1.4922209880428917E-3</v>
      </c>
      <c r="S312">
        <v>0.26133565778957524</v>
      </c>
      <c r="T312">
        <v>1.3947952551297302</v>
      </c>
      <c r="U312">
        <v>0.20836041617858198</v>
      </c>
      <c r="V312">
        <v>0.2499335873735555</v>
      </c>
      <c r="W312">
        <v>9.8366105635430731E-2</v>
      </c>
      <c r="X312">
        <v>1.781487088631413E-2</v>
      </c>
      <c r="Y312">
        <v>4.061333618936248E-3</v>
      </c>
    </row>
    <row r="313" spans="1:25">
      <c r="A313" s="1010"/>
      <c r="B313" s="1351">
        <v>63</v>
      </c>
      <c r="C313" s="1014">
        <v>0.99274136371162092</v>
      </c>
      <c r="D313" s="1014">
        <v>0.97462963740524255</v>
      </c>
      <c r="E313" s="1014">
        <v>1.0279435227885398</v>
      </c>
      <c r="F313" s="1014">
        <v>0.99532274594088499</v>
      </c>
      <c r="G313" s="1014">
        <v>0.99583203254317265</v>
      </c>
      <c r="H313" s="1014">
        <v>1.0096606987066405</v>
      </c>
      <c r="I313" s="1014">
        <v>0.99837953102464849</v>
      </c>
      <c r="K313">
        <v>2.4254504091692568</v>
      </c>
      <c r="L313">
        <v>0</v>
      </c>
      <c r="M313">
        <v>1.5845100932082249E-3</v>
      </c>
      <c r="N313">
        <v>0.15691344717601927</v>
      </c>
      <c r="O313">
        <v>2.1277711415870464E-2</v>
      </c>
      <c r="P313">
        <v>2.9100876436162406E-2</v>
      </c>
      <c r="Q313">
        <v>5.7253237856923584E-3</v>
      </c>
      <c r="R313">
        <v>1.5637950531821061E-3</v>
      </c>
      <c r="S313">
        <v>0.26453437360211601</v>
      </c>
      <c r="T313">
        <v>1.3658262972282647</v>
      </c>
      <c r="U313">
        <v>0.21361969427053881</v>
      </c>
      <c r="V313">
        <v>0.24517763638602602</v>
      </c>
      <c r="W313">
        <v>0.10140202321827106</v>
      </c>
      <c r="X313">
        <v>1.763760606045691E-2</v>
      </c>
      <c r="Y313">
        <v>4.2561346298609559E-3</v>
      </c>
    </row>
    <row r="314" spans="1:25">
      <c r="A314" s="1010"/>
      <c r="B314" s="1351">
        <v>64</v>
      </c>
      <c r="C314" s="1014">
        <v>1.0244405333130904</v>
      </c>
      <c r="D314" s="1014">
        <v>1.0235646812873125</v>
      </c>
      <c r="E314" s="1014">
        <v>0.95428306015446362</v>
      </c>
      <c r="F314" s="1014">
        <v>1.0200140702078682</v>
      </c>
      <c r="G314" s="1014">
        <v>1.0135445961450475</v>
      </c>
      <c r="H314" s="1014">
        <v>0.97552179635757952</v>
      </c>
      <c r="I314" s="1014">
        <v>0.98997786620506989</v>
      </c>
      <c r="K314">
        <v>2.395218006041858</v>
      </c>
      <c r="L314">
        <v>0</v>
      </c>
      <c r="M314">
        <v>1.7095742697955157E-3</v>
      </c>
      <c r="N314">
        <v>0.13543742962758687</v>
      </c>
      <c r="O314">
        <v>2.0350878259880124E-2</v>
      </c>
      <c r="P314">
        <v>2.7624468539009642E-2</v>
      </c>
      <c r="Q314">
        <v>5.0832352021814436E-3</v>
      </c>
      <c r="R314">
        <v>1.6864420551346673E-3</v>
      </c>
      <c r="S314">
        <v>0.2446756909662286</v>
      </c>
      <c r="T314">
        <v>1.3980869145158672</v>
      </c>
      <c r="U314">
        <v>0.2067642665466452</v>
      </c>
      <c r="V314">
        <v>0.24652740222655581</v>
      </c>
      <c r="W314">
        <v>9.1469401398306838E-2</v>
      </c>
      <c r="X314">
        <v>1.4631511635655559E-2</v>
      </c>
      <c r="Y314">
        <v>4.5899393386024997E-3</v>
      </c>
    </row>
    <row r="315" spans="1:25">
      <c r="A315" s="1010"/>
      <c r="B315" s="1351">
        <v>65</v>
      </c>
      <c r="C315" s="1014">
        <v>1.0122294397637346</v>
      </c>
      <c r="D315" s="1014">
        <v>1.0003202444878243</v>
      </c>
      <c r="E315" s="1014">
        <v>1.0014020763378395</v>
      </c>
      <c r="F315" s="1014">
        <v>0.98939255772603496</v>
      </c>
      <c r="G315" s="1014">
        <v>0.963362432158125</v>
      </c>
      <c r="H315" s="1014">
        <v>0.98274296235512903</v>
      </c>
      <c r="I315" s="1014">
        <v>0.98941042341356134</v>
      </c>
      <c r="K315">
        <v>2.3716594610008612</v>
      </c>
      <c r="L315">
        <v>0</v>
      </c>
      <c r="M315">
        <v>1.5892590732861955E-3</v>
      </c>
      <c r="N315">
        <v>0.14521610089954032</v>
      </c>
      <c r="O315">
        <v>2.0731513124491417E-2</v>
      </c>
      <c r="P315">
        <v>2.8090404177447872E-2</v>
      </c>
      <c r="Q315">
        <v>5.4326660165757139E-3</v>
      </c>
      <c r="R315">
        <v>1.5679128535585069E-3</v>
      </c>
      <c r="S315">
        <v>0.25132598611345053</v>
      </c>
      <c r="T315">
        <v>1.3571190293436897</v>
      </c>
      <c r="U315">
        <v>0.20941712398999157</v>
      </c>
      <c r="V315">
        <v>0.23851586563713989</v>
      </c>
      <c r="W315">
        <v>9.531768761688432E-2</v>
      </c>
      <c r="X315">
        <v>1.6247088376324915E-2</v>
      </c>
      <c r="Y315">
        <v>4.2673419250529908E-3</v>
      </c>
    </row>
    <row r="316" spans="1:25">
      <c r="A316" s="1010"/>
      <c r="B316" s="1351">
        <v>66</v>
      </c>
      <c r="C316" s="1014">
        <v>1.034117477708036</v>
      </c>
      <c r="D316" s="1014">
        <v>0.99621305391688597</v>
      </c>
      <c r="E316" s="1014">
        <v>1.0296603066856855</v>
      </c>
      <c r="F316" s="1014">
        <v>1.0036682589401507</v>
      </c>
      <c r="G316" s="1014">
        <v>0.96248764127619202</v>
      </c>
      <c r="H316" s="1014">
        <v>1.0060451634170895</v>
      </c>
      <c r="I316" s="1014">
        <v>1.0311387923786146</v>
      </c>
      <c r="K316">
        <v>2.4007950782460195</v>
      </c>
      <c r="L316">
        <v>0</v>
      </c>
      <c r="M316">
        <v>1.5029936021585773E-3</v>
      </c>
      <c r="N316">
        <v>0.14960614830329119</v>
      </c>
      <c r="O316">
        <v>2.0329281946327969E-2</v>
      </c>
      <c r="P316">
        <v>2.8988322949733719E-2</v>
      </c>
      <c r="Q316">
        <v>5.4794229300089295E-3</v>
      </c>
      <c r="R316">
        <v>1.4832736492823894E-3</v>
      </c>
      <c r="S316">
        <v>0.25912265342870544</v>
      </c>
      <c r="T316">
        <v>1.3773158589447798</v>
      </c>
      <c r="U316">
        <v>0.20507824794111679</v>
      </c>
      <c r="V316">
        <v>0.23696624189655888</v>
      </c>
      <c r="W316">
        <v>9.6583445662147507E-2</v>
      </c>
      <c r="X316">
        <v>1.7308192283905937E-2</v>
      </c>
      <c r="Y316">
        <v>4.036981912319589E-3</v>
      </c>
    </row>
    <row r="317" spans="1:25">
      <c r="A317" s="1010"/>
      <c r="B317" s="1351">
        <v>67</v>
      </c>
      <c r="C317" s="1014">
        <v>1.0124404952585901</v>
      </c>
      <c r="D317" s="1014">
        <v>1.0212037109047314</v>
      </c>
      <c r="E317" s="1014">
        <v>0.98121965431670055</v>
      </c>
      <c r="F317" s="1014">
        <v>0.98765198385964614</v>
      </c>
      <c r="G317" s="1014">
        <v>1.0021855648081086</v>
      </c>
      <c r="H317" s="1014">
        <v>1.0101891589804934</v>
      </c>
      <c r="I317" s="1014">
        <v>0.9900523832132696</v>
      </c>
      <c r="K317">
        <v>2.3760885745080254</v>
      </c>
      <c r="L317">
        <v>0</v>
      </c>
      <c r="M317">
        <v>1.6953118703770115E-3</v>
      </c>
      <c r="N317">
        <v>0.14579145603697141</v>
      </c>
      <c r="O317">
        <v>2.0620036631325073E-2</v>
      </c>
      <c r="P317">
        <v>2.7713377337432576E-2</v>
      </c>
      <c r="Q317">
        <v>5.294419336210502E-3</v>
      </c>
      <c r="R317">
        <v>1.6731598614469633E-3</v>
      </c>
      <c r="S317">
        <v>0.25095968976388083</v>
      </c>
      <c r="T317">
        <v>1.3543011830096845</v>
      </c>
      <c r="U317">
        <v>0.20930542217978829</v>
      </c>
      <c r="V317">
        <v>0.2452060570213079</v>
      </c>
      <c r="W317">
        <v>9.6858171165733503E-2</v>
      </c>
      <c r="X317">
        <v>1.5507124448761086E-2</v>
      </c>
      <c r="Y317">
        <v>4.5537895858585422E-3</v>
      </c>
    </row>
    <row r="318" spans="1:25">
      <c r="A318" s="1010"/>
      <c r="B318" s="1351">
        <v>68</v>
      </c>
      <c r="C318" s="1014">
        <v>0.99990237180630981</v>
      </c>
      <c r="D318" s="1014">
        <v>0.99806182881539207</v>
      </c>
      <c r="E318" s="1014">
        <v>0.98724412597972577</v>
      </c>
      <c r="F318" s="1014">
        <v>1.0340043126618019</v>
      </c>
      <c r="G318" s="1014">
        <v>1.0141206260695981</v>
      </c>
      <c r="H318" s="1014">
        <v>0.9967126569593826</v>
      </c>
      <c r="I318" s="1014">
        <v>1.0351563759831954</v>
      </c>
      <c r="K318">
        <v>2.4663243174342182</v>
      </c>
      <c r="L318">
        <v>0</v>
      </c>
      <c r="M318">
        <v>1.6811446412655061E-3</v>
      </c>
      <c r="N318">
        <v>0.14720537161162933</v>
      </c>
      <c r="O318">
        <v>2.0988142545271111E-2</v>
      </c>
      <c r="P318">
        <v>2.8999191568680856E-2</v>
      </c>
      <c r="Q318">
        <v>5.4219556081895283E-3</v>
      </c>
      <c r="R318">
        <v>1.6588807370071746E-3</v>
      </c>
      <c r="S318">
        <v>0.26760142441416934</v>
      </c>
      <c r="T318">
        <v>1.4179953285137126</v>
      </c>
      <c r="U318">
        <v>0.21195051877297752</v>
      </c>
      <c r="V318">
        <v>0.24799547922177054</v>
      </c>
      <c r="W318">
        <v>9.7443594389580529E-2</v>
      </c>
      <c r="X318">
        <v>1.6230648176248978E-2</v>
      </c>
      <c r="Y318">
        <v>4.5149265162455461E-3</v>
      </c>
    </row>
    <row r="319" spans="1:25">
      <c r="A319" s="1010"/>
      <c r="B319" s="1351">
        <v>69</v>
      </c>
      <c r="C319" s="1014">
        <v>1.0028974261394639</v>
      </c>
      <c r="D319" s="1014">
        <v>1.0040067524776473</v>
      </c>
      <c r="E319" s="1014">
        <v>1.0311274804151354</v>
      </c>
      <c r="F319" s="1014">
        <v>0.99211853558053797</v>
      </c>
      <c r="G319" s="1014">
        <v>0.97854997683153544</v>
      </c>
      <c r="H319" s="1014">
        <v>1.0360735530676577</v>
      </c>
      <c r="I319" s="1014">
        <v>1.0202757640353926</v>
      </c>
      <c r="K319">
        <v>2.4193724984616427</v>
      </c>
      <c r="L319">
        <v>0</v>
      </c>
      <c r="M319">
        <v>1.5884414183307194E-3</v>
      </c>
      <c r="N319">
        <v>0.15887355409936907</v>
      </c>
      <c r="O319">
        <v>2.0927196659063386E-2</v>
      </c>
      <c r="P319">
        <v>2.9047407732749029E-2</v>
      </c>
      <c r="Q319">
        <v>5.6487673051572517E-3</v>
      </c>
      <c r="R319">
        <v>1.5682043856466441E-3</v>
      </c>
      <c r="S319">
        <v>0.26595683227652178</v>
      </c>
      <c r="T319">
        <v>1.361498050088972</v>
      </c>
      <c r="U319">
        <v>0.21146732764059609</v>
      </c>
      <c r="V319">
        <v>0.24158114908509998</v>
      </c>
      <c r="W319">
        <v>0.10247905402099379</v>
      </c>
      <c r="X319">
        <v>1.7645261206510762E-2</v>
      </c>
      <c r="Y319">
        <v>4.2681353792933729E-3</v>
      </c>
    </row>
    <row r="320" spans="1:25">
      <c r="A320" s="1010"/>
      <c r="B320" s="1351">
        <v>70</v>
      </c>
      <c r="C320" s="1014">
        <v>0.98831810877064852</v>
      </c>
      <c r="D320" s="1014">
        <v>1.0247365717395835</v>
      </c>
      <c r="E320" s="1014">
        <v>1.0122676963501711</v>
      </c>
      <c r="F320" s="1014">
        <v>0.99306427450296464</v>
      </c>
      <c r="G320" s="1014">
        <v>0.98472723587927813</v>
      </c>
      <c r="H320" s="1014">
        <v>1.0042116991081778</v>
      </c>
      <c r="I320" s="1014">
        <v>0.99662762476858657</v>
      </c>
      <c r="K320">
        <v>2.4076229994114255</v>
      </c>
      <c r="L320">
        <v>0</v>
      </c>
      <c r="M320">
        <v>1.6175563428861726E-3</v>
      </c>
      <c r="N320">
        <v>0.15277611860955143</v>
      </c>
      <c r="O320">
        <v>2.1128004257014034E-2</v>
      </c>
      <c r="P320">
        <v>2.8623705622289587E-2</v>
      </c>
      <c r="Q320">
        <v>5.5971367541169936E-3</v>
      </c>
      <c r="R320">
        <v>1.5962945267228535E-3</v>
      </c>
      <c r="S320">
        <v>0.25809209922585918</v>
      </c>
      <c r="T320">
        <v>1.3623891021183474</v>
      </c>
      <c r="U320">
        <v>0.21452137403848959</v>
      </c>
      <c r="V320">
        <v>0.24361782452245276</v>
      </c>
      <c r="W320">
        <v>9.9637914224706706E-2</v>
      </c>
      <c r="X320">
        <v>1.6916394371368586E-2</v>
      </c>
      <c r="Y320">
        <v>4.344587483390297E-3</v>
      </c>
    </row>
    <row r="321" spans="1:25">
      <c r="A321" s="1010"/>
      <c r="B321" s="1351">
        <v>71</v>
      </c>
      <c r="C321" s="1014">
        <v>1.0124450634112951</v>
      </c>
      <c r="D321" s="1014">
        <v>1.0104239955996519</v>
      </c>
      <c r="E321" s="1014">
        <v>1.0117817517299348</v>
      </c>
      <c r="F321" s="1014">
        <v>0.96869880595082414</v>
      </c>
      <c r="G321" s="1014">
        <v>1.0137370654768501</v>
      </c>
      <c r="H321" s="1014">
        <v>1.0127206017769503</v>
      </c>
      <c r="I321" s="1014">
        <v>1.006745502709719</v>
      </c>
      <c r="K321">
        <v>2.3667755570637405</v>
      </c>
      <c r="L321">
        <v>0</v>
      </c>
      <c r="M321">
        <v>1.5989376849279903E-3</v>
      </c>
      <c r="N321">
        <v>0.1508131285177329</v>
      </c>
      <c r="O321">
        <v>2.0688117109025333E-2</v>
      </c>
      <c r="P321">
        <v>2.8115230103688396E-2</v>
      </c>
      <c r="Q321">
        <v>5.4779451207112697E-3</v>
      </c>
      <c r="R321">
        <v>1.5780971860006134E-3</v>
      </c>
      <c r="S321">
        <v>0.25700341772453378</v>
      </c>
      <c r="T321">
        <v>1.3289518066932555</v>
      </c>
      <c r="U321">
        <v>0.20940760362062794</v>
      </c>
      <c r="V321">
        <v>0.24706718540590394</v>
      </c>
      <c r="W321">
        <v>9.8385829895517626E-2</v>
      </c>
      <c r="X321">
        <v>1.6591073050971888E-2</v>
      </c>
      <c r="Y321">
        <v>4.2950603206961171E-3</v>
      </c>
    </row>
    <row r="322" spans="1:25">
      <c r="A322" s="1010"/>
      <c r="B322" s="1351">
        <v>72</v>
      </c>
      <c r="C322" s="1014">
        <v>0.98009190157897674</v>
      </c>
      <c r="D322" s="1014">
        <v>1.041429283454878</v>
      </c>
      <c r="E322" s="1014">
        <v>0.97643940451703448</v>
      </c>
      <c r="F322" s="1014">
        <v>1.0032105728703649</v>
      </c>
      <c r="G322" s="1014">
        <v>0.97907489180033291</v>
      </c>
      <c r="H322" s="1014">
        <v>0.97606943949905378</v>
      </c>
      <c r="I322" s="1014">
        <v>1.0125957170067537</v>
      </c>
      <c r="K322">
        <v>2.4097128806686698</v>
      </c>
      <c r="L322">
        <v>0</v>
      </c>
      <c r="M322">
        <v>1.701564776269999E-3</v>
      </c>
      <c r="N322">
        <v>0.1441610694238197</v>
      </c>
      <c r="O322">
        <v>2.1205710862368676E-2</v>
      </c>
      <c r="P322">
        <v>2.8079956753591054E-2</v>
      </c>
      <c r="Q322">
        <v>5.4183902911875024E-3</v>
      </c>
      <c r="R322">
        <v>1.6785538558847955E-3</v>
      </c>
      <c r="S322">
        <v>0.2595701411471284</v>
      </c>
      <c r="T322">
        <v>1.3755323696004744</v>
      </c>
      <c r="U322">
        <v>0.21619707358178833</v>
      </c>
      <c r="V322">
        <v>0.24330767999699099</v>
      </c>
      <c r="W322">
        <v>9.6052110179065522E-2</v>
      </c>
      <c r="X322">
        <v>1.5642919492052754E-2</v>
      </c>
      <c r="Y322">
        <v>4.5684702605885315E-3</v>
      </c>
    </row>
    <row r="323" spans="1:25">
      <c r="A323" s="1010"/>
      <c r="B323" s="1351">
        <v>73</v>
      </c>
      <c r="C323" s="1014">
        <v>0.99399555075860202</v>
      </c>
      <c r="D323" s="1014">
        <v>0.9885458349405134</v>
      </c>
      <c r="E323" s="1014">
        <v>1.028238847973213</v>
      </c>
      <c r="F323" s="1014">
        <v>1.0097196092029708</v>
      </c>
      <c r="G323" s="1014">
        <v>0.99381024667201623</v>
      </c>
      <c r="H323" s="1014">
        <v>0.97661853528127518</v>
      </c>
      <c r="I323" s="1014">
        <v>1.0207334701039621</v>
      </c>
      <c r="K323">
        <v>2.4357033325020532</v>
      </c>
      <c r="L323">
        <v>0</v>
      </c>
      <c r="M323">
        <v>1.5250161012032781E-3</v>
      </c>
      <c r="N323">
        <v>0.15108856469523865</v>
      </c>
      <c r="O323">
        <v>2.1184883401173454E-2</v>
      </c>
      <c r="P323">
        <v>2.93835478583662E-2</v>
      </c>
      <c r="Q323">
        <v>5.7020123969789725E-3</v>
      </c>
      <c r="R323">
        <v>1.5044043123506961E-3</v>
      </c>
      <c r="S323">
        <v>0.26530560541979048</v>
      </c>
      <c r="T323">
        <v>1.3855888003511727</v>
      </c>
      <c r="U323">
        <v>0.21335117669288822</v>
      </c>
      <c r="V323">
        <v>0.24475228692407514</v>
      </c>
      <c r="W323">
        <v>9.762105350505737E-2</v>
      </c>
      <c r="X323">
        <v>1.7651520434695464E-2</v>
      </c>
      <c r="Y323">
        <v>4.0944926114703118E-3</v>
      </c>
    </row>
    <row r="324" spans="1:25">
      <c r="A324" s="1010"/>
      <c r="B324" s="1351">
        <v>74</v>
      </c>
      <c r="C324" s="1014">
        <v>0.97562349612648303</v>
      </c>
      <c r="D324" s="1014">
        <v>1.0332149516549074</v>
      </c>
      <c r="E324" s="1014">
        <v>1.0268602077194795</v>
      </c>
      <c r="F324" s="1014">
        <v>0.97839864466122861</v>
      </c>
      <c r="G324" s="1014">
        <v>0.97304570937486812</v>
      </c>
      <c r="H324" s="1014">
        <v>0.97844196049435861</v>
      </c>
      <c r="I324" s="1014">
        <v>0.97344257819045166</v>
      </c>
      <c r="K324">
        <v>2.3830332605264166</v>
      </c>
      <c r="L324">
        <v>0</v>
      </c>
      <c r="M324">
        <v>1.5460062741540256E-3</v>
      </c>
      <c r="N324">
        <v>0.15253666618149828</v>
      </c>
      <c r="O324">
        <v>2.1374040017966781E-2</v>
      </c>
      <c r="P324">
        <v>2.859707958117615E-2</v>
      </c>
      <c r="Q324">
        <v>5.7450780528711639E-3</v>
      </c>
      <c r="R324">
        <v>1.5251497274960928E-3</v>
      </c>
      <c r="S324">
        <v>0.25226930582679463</v>
      </c>
      <c r="T324">
        <v>1.3425792434312513</v>
      </c>
      <c r="U324">
        <v>0.21736396168757499</v>
      </c>
      <c r="V324">
        <v>0.24239625222842548</v>
      </c>
      <c r="W324">
        <v>9.8635753273064744E-2</v>
      </c>
      <c r="X324">
        <v>1.7405781999676059E-2</v>
      </c>
      <c r="Y324">
        <v>4.1509547927718153E-3</v>
      </c>
    </row>
    <row r="325" spans="1:25">
      <c r="A325" s="1010"/>
      <c r="B325" s="1351">
        <v>75</v>
      </c>
      <c r="C325" s="1014">
        <v>0.99561849342796416</v>
      </c>
      <c r="D325" s="1014">
        <v>0.97119072731941647</v>
      </c>
      <c r="E325" s="1014">
        <v>0.97378206753820351</v>
      </c>
      <c r="F325" s="1014">
        <v>1.0335447893217196</v>
      </c>
      <c r="G325" s="1014">
        <v>1.0059555105595785</v>
      </c>
      <c r="H325" s="1014">
        <v>0.9921491794962497</v>
      </c>
      <c r="I325" s="1014">
        <v>0.9591165408482577</v>
      </c>
      <c r="K325">
        <v>2.4478734823602752</v>
      </c>
      <c r="L325">
        <v>0</v>
      </c>
      <c r="M325">
        <v>1.738499799028428E-3</v>
      </c>
      <c r="N325">
        <v>0.14614284688226331</v>
      </c>
      <c r="O325">
        <v>2.1196387891278763E-2</v>
      </c>
      <c r="P325">
        <v>2.8480156135481972E-2</v>
      </c>
      <c r="Q325">
        <v>5.4013599328243773E-3</v>
      </c>
      <c r="R325">
        <v>1.7153704246570976E-3</v>
      </c>
      <c r="S325">
        <v>0.25197048558134122</v>
      </c>
      <c r="T325">
        <v>1.4170654365938324</v>
      </c>
      <c r="U325">
        <v>0.21281641062438564</v>
      </c>
      <c r="V325">
        <v>0.24691859157566348</v>
      </c>
      <c r="W325">
        <v>9.7529509040390663E-2</v>
      </c>
      <c r="X325">
        <v>1.570675465297677E-2</v>
      </c>
      <c r="Y325">
        <v>4.6686728242081041E-3</v>
      </c>
    </row>
    <row r="326" spans="1:25">
      <c r="A326" s="1010"/>
      <c r="B326" s="1351">
        <v>76</v>
      </c>
      <c r="C326" s="1014">
        <v>0.99613535927309649</v>
      </c>
      <c r="D326" s="1014">
        <v>0.99003529563820203</v>
      </c>
      <c r="E326" s="1014">
        <v>0.99462454252941901</v>
      </c>
      <c r="F326" s="1014">
        <v>0.99505025765555288</v>
      </c>
      <c r="G326" s="1014">
        <v>0.98850037125748202</v>
      </c>
      <c r="H326" s="1014">
        <v>1.0394647414362876</v>
      </c>
      <c r="I326" s="1014">
        <v>0.99430337282325021</v>
      </c>
      <c r="K326">
        <v>2.4180249911556628</v>
      </c>
      <c r="L326">
        <v>0</v>
      </c>
      <c r="M326">
        <v>1.7362661252266879E-3</v>
      </c>
      <c r="N326">
        <v>0.15554813465813186</v>
      </c>
      <c r="O326">
        <v>2.1109890860574854E-2</v>
      </c>
      <c r="P326">
        <v>2.8325357696591866E-2</v>
      </c>
      <c r="Q326">
        <v>5.4942199942948113E-3</v>
      </c>
      <c r="R326">
        <v>1.7142179451195413E-3</v>
      </c>
      <c r="S326">
        <v>0.26275796627732834</v>
      </c>
      <c r="T326">
        <v>1.364733718344566</v>
      </c>
      <c r="U326">
        <v>0.21277732606423647</v>
      </c>
      <c r="V326">
        <v>0.24382837545801209</v>
      </c>
      <c r="W326">
        <v>0.10251223582785575</v>
      </c>
      <c r="X326">
        <v>1.6294277999355643E-2</v>
      </c>
      <c r="Y326">
        <v>4.6655361548216543E-3</v>
      </c>
    </row>
    <row r="327" spans="1:25">
      <c r="A327" s="1010"/>
      <c r="B327" s="1351">
        <v>77</v>
      </c>
      <c r="C327" s="1014">
        <v>0.96091511795615103</v>
      </c>
      <c r="D327" s="1014">
        <v>0.98220544696717416</v>
      </c>
      <c r="E327" s="1014">
        <v>1.0193390341037813</v>
      </c>
      <c r="F327" s="1014">
        <v>1.0336521773441019</v>
      </c>
      <c r="G327" s="1014">
        <v>1.0321451464311073</v>
      </c>
      <c r="H327" s="1014">
        <v>1.022695326908577</v>
      </c>
      <c r="I327" s="1014">
        <v>0.96213594730171437</v>
      </c>
      <c r="K327">
        <v>2.5040528784001426</v>
      </c>
      <c r="L327">
        <v>0</v>
      </c>
      <c r="M327">
        <v>1.6852198579691206E-3</v>
      </c>
      <c r="N327">
        <v>0.1626389954566313</v>
      </c>
      <c r="O327">
        <v>2.1939043541281306E-2</v>
      </c>
      <c r="P327">
        <v>2.9840847868033548E-2</v>
      </c>
      <c r="Q327">
        <v>5.8530907661643481E-3</v>
      </c>
      <c r="R327">
        <v>1.663468993867668E-3</v>
      </c>
      <c r="S327">
        <v>0.26339516984741584</v>
      </c>
      <c r="T327">
        <v>1.4182304001715103</v>
      </c>
      <c r="U327">
        <v>0.22066422396283703</v>
      </c>
      <c r="V327">
        <v>0.25348766095375536</v>
      </c>
      <c r="W327">
        <v>0.10563094655070566</v>
      </c>
      <c r="X327">
        <v>1.7866835907006634E-2</v>
      </c>
      <c r="Y327">
        <v>4.5274142389013393E-3</v>
      </c>
    </row>
    <row r="328" spans="1:25">
      <c r="A328" s="1010"/>
      <c r="B328" s="1351">
        <v>78</v>
      </c>
      <c r="C328" s="1014">
        <v>0.98017226085599984</v>
      </c>
      <c r="D328" s="1014">
        <v>1.0096241369260794</v>
      </c>
      <c r="E328" s="1014">
        <v>0.98778938562877661</v>
      </c>
      <c r="F328" s="1014">
        <v>1.0011019948945032</v>
      </c>
      <c r="G328" s="1014">
        <v>1.0117636419117835</v>
      </c>
      <c r="H328" s="1014">
        <v>0.97835265018331119</v>
      </c>
      <c r="I328" s="1014">
        <v>1.0226272022825371</v>
      </c>
      <c r="K328">
        <v>2.4248215592287385</v>
      </c>
      <c r="L328">
        <v>0</v>
      </c>
      <c r="M328">
        <v>1.677239104773283E-3</v>
      </c>
      <c r="N328">
        <v>0.14706869904064848</v>
      </c>
      <c r="O328">
        <v>2.1356799565551931E-2</v>
      </c>
      <c r="P328">
        <v>2.845566476936294E-2</v>
      </c>
      <c r="Q328">
        <v>5.5202380582916486E-3</v>
      </c>
      <c r="R328">
        <v>1.6546100834308167E-3</v>
      </c>
      <c r="S328">
        <v>0.26651250559626283</v>
      </c>
      <c r="T328">
        <v>1.3728860809138741</v>
      </c>
      <c r="U328">
        <v>0.21621881684641447</v>
      </c>
      <c r="V328">
        <v>0.24884663389829009</v>
      </c>
      <c r="W328">
        <v>9.7321265937925894E-2</v>
      </c>
      <c r="X328">
        <v>1.6154180418426162E-2</v>
      </c>
      <c r="Y328">
        <v>4.5033032050312716E-3</v>
      </c>
    </row>
    <row r="329" spans="1:25">
      <c r="A329" s="1010"/>
      <c r="B329" s="1351">
        <v>79</v>
      </c>
      <c r="C329" s="1014">
        <v>1.0245136332824007</v>
      </c>
      <c r="D329" s="1014">
        <v>0.96379905061333859</v>
      </c>
      <c r="E329" s="1014">
        <v>0.9850365939923138</v>
      </c>
      <c r="F329" s="1014">
        <v>0.96202755702929732</v>
      </c>
      <c r="G329" s="1014">
        <v>0.97023440347383061</v>
      </c>
      <c r="H329" s="1014">
        <v>1.0103209618743965</v>
      </c>
      <c r="I329" s="1014">
        <v>1.0237587140024758</v>
      </c>
      <c r="K329">
        <v>2.3460415911714749</v>
      </c>
      <c r="L329">
        <v>0</v>
      </c>
      <c r="M329">
        <v>1.6836673821069893E-3</v>
      </c>
      <c r="N329">
        <v>0.14647176966632397</v>
      </c>
      <c r="O329">
        <v>2.0640547120447966E-2</v>
      </c>
      <c r="P329">
        <v>2.7380133723838612E-2</v>
      </c>
      <c r="Q329">
        <v>5.3202499744074904E-3</v>
      </c>
      <c r="R329">
        <v>1.6616703973922492E-3</v>
      </c>
      <c r="S329">
        <v>0.26402873657284953</v>
      </c>
      <c r="T329">
        <v>1.3192432621589978</v>
      </c>
      <c r="U329">
        <v>0.20685161266713892</v>
      </c>
      <c r="V329">
        <v>0.23900736053409946</v>
      </c>
      <c r="W329">
        <v>9.7086680897578478E-2</v>
      </c>
      <c r="X329">
        <v>1.5510715788304732E-2</v>
      </c>
      <c r="Y329">
        <v>4.5225190522024178E-3</v>
      </c>
    </row>
    <row r="330" spans="1:25">
      <c r="A330" s="1010"/>
      <c r="B330" s="1351">
        <v>80</v>
      </c>
      <c r="C330" s="1014">
        <v>1.0075067327096356</v>
      </c>
      <c r="D330" s="1014">
        <v>1.0156769008951241</v>
      </c>
      <c r="E330" s="1014">
        <v>1.0034158623206093</v>
      </c>
      <c r="F330" s="1014">
        <v>1.0316980060226069</v>
      </c>
      <c r="G330" s="1014">
        <v>1.0028382854064948</v>
      </c>
      <c r="H330" s="1014">
        <v>0.96389547485278881</v>
      </c>
      <c r="I330" s="1014">
        <v>0.96517453434673084</v>
      </c>
      <c r="K330">
        <v>2.4264428586725395</v>
      </c>
      <c r="L330">
        <v>0</v>
      </c>
      <c r="M330">
        <v>1.5543372527640515E-3</v>
      </c>
      <c r="N330">
        <v>0.14285370709859027</v>
      </c>
      <c r="O330">
        <v>2.0760319906957404E-2</v>
      </c>
      <c r="P330">
        <v>2.8921672757065302E-2</v>
      </c>
      <c r="Q330">
        <v>5.4512234215371479E-3</v>
      </c>
      <c r="R330">
        <v>1.5330518666396356E-3</v>
      </c>
      <c r="S330">
        <v>0.24292926930376976</v>
      </c>
      <c r="T330">
        <v>1.4151930553375234</v>
      </c>
      <c r="U330">
        <v>0.21040560563264266</v>
      </c>
      <c r="V330">
        <v>0.24553864056966937</v>
      </c>
      <c r="W330">
        <v>9.3655099247722667E-2</v>
      </c>
      <c r="X330">
        <v>1.6583088972602526E-2</v>
      </c>
      <c r="Y330">
        <v>4.1724618105810716E-3</v>
      </c>
    </row>
    <row r="331" spans="1:25">
      <c r="A331" s="1010"/>
      <c r="B331" s="1351">
        <v>81</v>
      </c>
      <c r="C331" s="1014">
        <v>1.0044409278316659</v>
      </c>
      <c r="D331" s="1014">
        <v>1.0269534050987756</v>
      </c>
      <c r="E331" s="1014">
        <v>1.0022103911554949</v>
      </c>
      <c r="F331" s="1014">
        <v>0.99354897087827643</v>
      </c>
      <c r="G331" s="1014">
        <v>1.0141361691935389</v>
      </c>
      <c r="H331" s="1014">
        <v>1.0356786312226449</v>
      </c>
      <c r="I331" s="1014">
        <v>1.0244519390613633</v>
      </c>
      <c r="K331">
        <v>2.4149193492577954</v>
      </c>
      <c r="L331">
        <v>0</v>
      </c>
      <c r="M331">
        <v>1.6753107853616856E-3</v>
      </c>
      <c r="N331">
        <v>0.15355996584453266</v>
      </c>
      <c r="O331">
        <v>2.0772372372841207E-2</v>
      </c>
      <c r="P331">
        <v>2.8497581317113455E-2</v>
      </c>
      <c r="Q331">
        <v>5.4477932524607444E-3</v>
      </c>
      <c r="R331">
        <v>1.6539588823962284E-3</v>
      </c>
      <c r="S331">
        <v>0.26339025042632785</v>
      </c>
      <c r="T331">
        <v>1.3628376281040953</v>
      </c>
      <c r="U331">
        <v>0.21104371198835833</v>
      </c>
      <c r="V331">
        <v>0.24766123459764822</v>
      </c>
      <c r="W331">
        <v>0.10074613349849836</v>
      </c>
      <c r="X331">
        <v>1.6482498908400468E-2</v>
      </c>
      <c r="Y331">
        <v>4.5015308504834832E-3</v>
      </c>
    </row>
    <row r="332" spans="1:25">
      <c r="A332" s="1010"/>
      <c r="B332" s="1351">
        <v>82</v>
      </c>
      <c r="C332" s="1014">
        <v>1.0238794887739147</v>
      </c>
      <c r="D332" s="1014">
        <v>1.0217162247564564</v>
      </c>
      <c r="E332" s="1014">
        <v>0.9724872709304565</v>
      </c>
      <c r="F332" s="1014">
        <v>0.98528944359481241</v>
      </c>
      <c r="G332" s="1014">
        <v>0.98319669683600908</v>
      </c>
      <c r="H332" s="1014">
        <v>1.0209447046602096</v>
      </c>
      <c r="I332" s="1014">
        <v>0.99202813711379356</v>
      </c>
      <c r="K332">
        <v>2.3621392333814071</v>
      </c>
      <c r="L332">
        <v>0</v>
      </c>
      <c r="M332">
        <v>1.7248836890984471E-3</v>
      </c>
      <c r="N332">
        <v>0.14448594659197253</v>
      </c>
      <c r="O332">
        <v>2.0381802143613653E-2</v>
      </c>
      <c r="P332">
        <v>2.7379438227372412E-2</v>
      </c>
      <c r="Q332">
        <v>5.1869266670830916E-3</v>
      </c>
      <c r="R332">
        <v>1.702582716047029E-3</v>
      </c>
      <c r="S332">
        <v>0.24940220142984335</v>
      </c>
      <c r="T332">
        <v>1.350876392953555</v>
      </c>
      <c r="U332">
        <v>0.20693797444281836</v>
      </c>
      <c r="V332">
        <v>0.2413048173070852</v>
      </c>
      <c r="W332">
        <v>9.6499592661552475E-2</v>
      </c>
      <c r="X332">
        <v>1.507257303272295E-2</v>
      </c>
      <c r="Y332">
        <v>4.6338688968385082E-3</v>
      </c>
    </row>
    <row r="333" spans="1:25">
      <c r="A333" s="1010"/>
      <c r="B333" s="1351">
        <v>83</v>
      </c>
      <c r="C333" s="1014">
        <v>0.99952524284732758</v>
      </c>
      <c r="D333" s="1014">
        <v>0.99171843515289859</v>
      </c>
      <c r="E333" s="1014">
        <v>1.0037127358711435</v>
      </c>
      <c r="F333" s="1014">
        <v>0.97719374065712916</v>
      </c>
      <c r="G333" s="1014">
        <v>1.0173861153111383</v>
      </c>
      <c r="H333" s="1014">
        <v>1.001535623091603</v>
      </c>
      <c r="I333" s="1014">
        <v>1.0151246791775221</v>
      </c>
      <c r="K333">
        <v>2.3898298536239362</v>
      </c>
      <c r="L333">
        <v>0</v>
      </c>
      <c r="M333">
        <v>1.6354945395219472E-3</v>
      </c>
      <c r="N333">
        <v>0.15052593765675595</v>
      </c>
      <c r="O333">
        <v>2.1036481018528175E-2</v>
      </c>
      <c r="P333">
        <v>2.8256065144777777E-2</v>
      </c>
      <c r="Q333">
        <v>5.5253828645699362E-3</v>
      </c>
      <c r="R333">
        <v>1.6139394954194331E-3</v>
      </c>
      <c r="S333">
        <v>0.26391782581881362</v>
      </c>
      <c r="T333">
        <v>1.3404351519225224</v>
      </c>
      <c r="U333">
        <v>0.21208676933286377</v>
      </c>
      <c r="V333">
        <v>0.24851621441950153</v>
      </c>
      <c r="W333">
        <v>9.866766274250989E-2</v>
      </c>
      <c r="X333">
        <v>1.649130647567508E-2</v>
      </c>
      <c r="Y333">
        <v>4.3926112715200194E-3</v>
      </c>
    </row>
    <row r="334" spans="1:25">
      <c r="A334" s="1010"/>
      <c r="B334" s="1351">
        <v>84</v>
      </c>
      <c r="C334" s="1014">
        <v>0.98519293277619302</v>
      </c>
      <c r="D334" s="1014">
        <v>0.9992958242594091</v>
      </c>
      <c r="E334" s="1014">
        <v>1.0163626568016726</v>
      </c>
      <c r="F334" s="1014">
        <v>0.99413516919426581</v>
      </c>
      <c r="G334" s="1014">
        <v>1.0119476011041979</v>
      </c>
      <c r="H334" s="1014">
        <v>1.0280231335277568</v>
      </c>
      <c r="I334" s="1014">
        <v>0.98840843515327603</v>
      </c>
      <c r="K334">
        <v>2.4286930851573869</v>
      </c>
      <c r="L334">
        <v>0</v>
      </c>
      <c r="M334">
        <v>1.6562175539150113E-3</v>
      </c>
      <c r="N334">
        <v>0.15842172759914686</v>
      </c>
      <c r="O334">
        <v>2.1315340685464264E-2</v>
      </c>
      <c r="P334">
        <v>2.8863057370269757E-2</v>
      </c>
      <c r="Q334">
        <v>5.6698722134657532E-3</v>
      </c>
      <c r="R334">
        <v>1.6349518034225892E-3</v>
      </c>
      <c r="S334">
        <v>0.26208363513135757</v>
      </c>
      <c r="T334">
        <v>1.3639465642539306</v>
      </c>
      <c r="U334">
        <v>0.21521610638916111</v>
      </c>
      <c r="V334">
        <v>0.24845036092359427</v>
      </c>
      <c r="W334">
        <v>0.10307154039061331</v>
      </c>
      <c r="X334">
        <v>1.7226346103675991E-2</v>
      </c>
      <c r="Y334">
        <v>4.449799847199138E-3</v>
      </c>
    </row>
    <row r="335" spans="1:25">
      <c r="A335" s="1010"/>
      <c r="B335" s="1351">
        <v>85</v>
      </c>
      <c r="C335" s="1014">
        <v>1.0197273762763428</v>
      </c>
      <c r="D335" s="1014">
        <v>1.0077197933234652</v>
      </c>
      <c r="E335" s="1014">
        <v>0.97816082956487671</v>
      </c>
      <c r="F335" s="1014">
        <v>1.0171527703451686</v>
      </c>
      <c r="G335" s="1014">
        <v>1.0350182127510503</v>
      </c>
      <c r="H335" s="1014">
        <v>1.0018226282492324</v>
      </c>
      <c r="I335" s="1014">
        <v>0.98582907959709498</v>
      </c>
      <c r="K335">
        <v>2.415048267890298</v>
      </c>
      <c r="L335">
        <v>0</v>
      </c>
      <c r="M335">
        <v>1.6847672415255025E-3</v>
      </c>
      <c r="N335">
        <v>0.14353403266432746</v>
      </c>
      <c r="O335">
        <v>2.0530660918493971E-2</v>
      </c>
      <c r="P335">
        <v>2.8214756144343465E-2</v>
      </c>
      <c r="Q335">
        <v>5.255104863122864E-3</v>
      </c>
      <c r="R335">
        <v>1.6625691677200729E-3</v>
      </c>
      <c r="S335">
        <v>0.24904081214571247</v>
      </c>
      <c r="T335">
        <v>1.3946866306660131</v>
      </c>
      <c r="U335">
        <v>0.20779952425114673</v>
      </c>
      <c r="V335">
        <v>0.25038742090109184</v>
      </c>
      <c r="W335">
        <v>9.5534759087054569E-2</v>
      </c>
      <c r="X335">
        <v>1.5561799114040266E-2</v>
      </c>
      <c r="Y335">
        <v>4.524965208755196E-3</v>
      </c>
    </row>
    <row r="336" spans="1:25">
      <c r="A336" s="1010"/>
      <c r="B336" s="1351">
        <v>86</v>
      </c>
      <c r="C336" s="1014">
        <v>0.98157357530882738</v>
      </c>
      <c r="D336" s="1014">
        <v>0.97409324471319714</v>
      </c>
      <c r="E336" s="1014">
        <v>1.0141569371529855</v>
      </c>
      <c r="F336" s="1014">
        <v>0.9781811826001493</v>
      </c>
      <c r="G336" s="1014">
        <v>1.0172209495286517</v>
      </c>
      <c r="H336" s="1014">
        <v>1.0199438823866771</v>
      </c>
      <c r="I336" s="1014">
        <v>0.97004126742173469</v>
      </c>
      <c r="K336">
        <v>2.4071019881922839</v>
      </c>
      <c r="L336">
        <v>0</v>
      </c>
      <c r="M336">
        <v>1.6661783452821956E-3</v>
      </c>
      <c r="N336">
        <v>0.15830084048651843</v>
      </c>
      <c r="O336">
        <v>2.1512997933002494E-2</v>
      </c>
      <c r="P336">
        <v>2.8522373084570875E-2</v>
      </c>
      <c r="Q336">
        <v>5.7098817746920067E-3</v>
      </c>
      <c r="R336">
        <v>1.6446152338710129E-3</v>
      </c>
      <c r="S336">
        <v>0.26077830540078711</v>
      </c>
      <c r="T336">
        <v>1.3420109992590186</v>
      </c>
      <c r="U336">
        <v>0.21600197379473385</v>
      </c>
      <c r="V336">
        <v>0.24959198633516791</v>
      </c>
      <c r="W336">
        <v>0.1031263809393642</v>
      </c>
      <c r="X336">
        <v>1.7091711776507333E-2</v>
      </c>
      <c r="Y336">
        <v>4.4761005193307574E-3</v>
      </c>
    </row>
    <row r="337" spans="1:25">
      <c r="A337" s="1010"/>
      <c r="B337" s="1351">
        <v>87</v>
      </c>
      <c r="C337" s="1014">
        <v>1.0057842062959299</v>
      </c>
      <c r="D337" s="1014">
        <v>0.99914579446554475</v>
      </c>
      <c r="E337" s="1014">
        <v>1.0398644015966092</v>
      </c>
      <c r="F337" s="1014">
        <v>1.026578094391946</v>
      </c>
      <c r="G337" s="1014">
        <v>0.99070515909589951</v>
      </c>
      <c r="H337" s="1014">
        <v>0.96622710668773681</v>
      </c>
      <c r="I337" s="1014">
        <v>1.0127111681306393</v>
      </c>
      <c r="K337">
        <v>2.4441231243234069</v>
      </c>
      <c r="L337">
        <v>0</v>
      </c>
      <c r="M337">
        <v>1.45198499394938E-3</v>
      </c>
      <c r="N337">
        <v>0.14896049211788595</v>
      </c>
      <c r="O337">
        <v>2.0895221107821108E-2</v>
      </c>
      <c r="P337">
        <v>2.9803967202595882E-2</v>
      </c>
      <c r="Q337">
        <v>5.6889198323573208E-3</v>
      </c>
      <c r="R337">
        <v>1.4321492209614175E-3</v>
      </c>
      <c r="S337">
        <v>0.25794548847320342</v>
      </c>
      <c r="T337">
        <v>1.4089826981337719</v>
      </c>
      <c r="U337">
        <v>0.21089022948393821</v>
      </c>
      <c r="V337">
        <v>0.24344663199730124</v>
      </c>
      <c r="W337">
        <v>9.5600795773891717E-2</v>
      </c>
      <c r="X337">
        <v>1.8030677902033047E-2</v>
      </c>
      <c r="Y337">
        <v>3.89783807159317E-3</v>
      </c>
    </row>
    <row r="338" spans="1:25">
      <c r="A338" s="1010"/>
      <c r="B338" s="1351">
        <v>88</v>
      </c>
      <c r="C338" s="1014">
        <v>0.99915861736821698</v>
      </c>
      <c r="D338" s="1014">
        <v>0.95879486335392927</v>
      </c>
      <c r="E338" s="1014">
        <v>1.0021389228024924</v>
      </c>
      <c r="F338" s="1014">
        <v>0.98941324147013243</v>
      </c>
      <c r="G338" s="1014">
        <v>1.0275563332166004</v>
      </c>
      <c r="H338" s="1014">
        <v>1.0183731918480101</v>
      </c>
      <c r="I338" s="1014">
        <v>1.0075765488747184</v>
      </c>
      <c r="K338">
        <v>2.4191294885604293</v>
      </c>
      <c r="L338">
        <v>0</v>
      </c>
      <c r="M338">
        <v>1.681485794687253E-3</v>
      </c>
      <c r="N338">
        <v>0.15405889651815804</v>
      </c>
      <c r="O338">
        <v>2.1200035519003842E-2</v>
      </c>
      <c r="P338">
        <v>2.8532466895993029E-2</v>
      </c>
      <c r="Q338">
        <v>5.5595539007460794E-3</v>
      </c>
      <c r="R338">
        <v>1.6596910160241113E-3</v>
      </c>
      <c r="S338">
        <v>0.26799234639389646</v>
      </c>
      <c r="T338">
        <v>1.3571631742085315</v>
      </c>
      <c r="U338">
        <v>0.21215920457396542</v>
      </c>
      <c r="V338">
        <v>0.25028154789541973</v>
      </c>
      <c r="W338">
        <v>0.10107775311007938</v>
      </c>
      <c r="X338">
        <v>1.6609172494676448E-2</v>
      </c>
      <c r="Y338">
        <v>4.5171318286212408E-3</v>
      </c>
    </row>
    <row r="339" spans="1:25">
      <c r="A339" s="1010"/>
      <c r="B339" s="1351">
        <v>89</v>
      </c>
      <c r="C339" s="1014">
        <v>0.98602895126339019</v>
      </c>
      <c r="D339" s="1014">
        <v>0.98956051379429466</v>
      </c>
      <c r="E339" s="1014">
        <v>1.0157946671728471</v>
      </c>
      <c r="F339" s="1014">
        <v>0.99989233777416242</v>
      </c>
      <c r="G339" s="1014">
        <v>0.97427484471937453</v>
      </c>
      <c r="H339" s="1014">
        <v>0.98748717280445575</v>
      </c>
      <c r="I339" s="1014">
        <v>1.0159738554218669</v>
      </c>
      <c r="K339">
        <v>2.4244170356777097</v>
      </c>
      <c r="L339">
        <v>0</v>
      </c>
      <c r="M339">
        <v>1.5948722437431242E-3</v>
      </c>
      <c r="N339">
        <v>0.15221131502146418</v>
      </c>
      <c r="O339">
        <v>2.1342803230244171E-2</v>
      </c>
      <c r="P339">
        <v>2.8934599480337383E-2</v>
      </c>
      <c r="Q339">
        <v>5.6739655232511963E-3</v>
      </c>
      <c r="R339">
        <v>1.5735535468281395E-3</v>
      </c>
      <c r="S339">
        <v>0.26691465437181167</v>
      </c>
      <c r="T339">
        <v>1.371833037301867</v>
      </c>
      <c r="U339">
        <v>0.2150316585023116</v>
      </c>
      <c r="V339">
        <v>0.24196809013910364</v>
      </c>
      <c r="W339">
        <v>9.9063968833238994E-2</v>
      </c>
      <c r="X339">
        <v>1.7181567938313665E-2</v>
      </c>
      <c r="Y339">
        <v>4.2826940326788927E-3</v>
      </c>
    </row>
    <row r="340" spans="1:25">
      <c r="A340" s="1010"/>
      <c r="B340" s="1351">
        <v>90</v>
      </c>
      <c r="C340" s="1014">
        <v>1.0375749605063849</v>
      </c>
      <c r="D340" s="1014">
        <v>0.97759325394256247</v>
      </c>
      <c r="E340" s="1014">
        <v>0.98676343400966171</v>
      </c>
      <c r="F340" s="1014">
        <v>1.0294422707779003</v>
      </c>
      <c r="G340" s="1014">
        <v>0.99550635995187831</v>
      </c>
      <c r="H340" s="1014">
        <v>1.0281886323039984</v>
      </c>
      <c r="I340" s="1014">
        <v>0.98355819539893052</v>
      </c>
      <c r="K340">
        <v>2.4274283974182782</v>
      </c>
      <c r="L340">
        <v>0</v>
      </c>
      <c r="M340">
        <v>1.6805754374500787E-3</v>
      </c>
      <c r="N340">
        <v>0.1470021440288643</v>
      </c>
      <c r="O340">
        <v>2.0318206271577145E-2</v>
      </c>
      <c r="P340">
        <v>2.8490547681869198E-2</v>
      </c>
      <c r="Q340">
        <v>5.2463342528788291E-3</v>
      </c>
      <c r="R340">
        <v>1.659000406260547E-3</v>
      </c>
      <c r="S340">
        <v>0.25014246917798472</v>
      </c>
      <c r="T340">
        <v>1.4117284385598057</v>
      </c>
      <c r="U340">
        <v>0.20425337424025833</v>
      </c>
      <c r="V340">
        <v>0.2425521426917514</v>
      </c>
      <c r="W340">
        <v>9.7337158564471046E-2</v>
      </c>
      <c r="X340">
        <v>1.5863904763499897E-2</v>
      </c>
      <c r="Y340">
        <v>4.5152522165042642E-3</v>
      </c>
    </row>
    <row r="341" spans="1:25">
      <c r="A341" s="1010"/>
      <c r="B341" s="1351">
        <v>91</v>
      </c>
      <c r="C341" s="1014">
        <v>0.96437727386210448</v>
      </c>
      <c r="D341" s="1014">
        <v>0.98694884660439963</v>
      </c>
      <c r="E341" s="1014">
        <v>1.0027102254890221</v>
      </c>
      <c r="F341" s="1014">
        <v>0.97430380683054596</v>
      </c>
      <c r="G341" s="1014">
        <v>0.98475194036333369</v>
      </c>
      <c r="H341" s="1014">
        <v>0.96933394344500123</v>
      </c>
      <c r="I341" s="1014">
        <v>1.0045617592564307</v>
      </c>
      <c r="K341">
        <v>2.3968507548567848</v>
      </c>
      <c r="L341">
        <v>0</v>
      </c>
      <c r="M341">
        <v>1.645762306590933E-3</v>
      </c>
      <c r="N341">
        <v>0.15094597745625785</v>
      </c>
      <c r="O341">
        <v>2.1825627593299077E-2</v>
      </c>
      <c r="P341">
        <v>2.8303509121174811E-2</v>
      </c>
      <c r="Q341">
        <v>5.7268942210646785E-3</v>
      </c>
      <c r="R341">
        <v>1.6233513750526292E-3</v>
      </c>
      <c r="S341">
        <v>0.26847582354928151</v>
      </c>
      <c r="T341">
        <v>1.3364498359565109</v>
      </c>
      <c r="U341">
        <v>0.21981298899853088</v>
      </c>
      <c r="V341">
        <v>0.24522252759587493</v>
      </c>
      <c r="W341">
        <v>9.9001815166774282E-2</v>
      </c>
      <c r="X341">
        <v>1.668993882429759E-2</v>
      </c>
      <c r="Y341">
        <v>4.4182273052562927E-3</v>
      </c>
    </row>
    <row r="342" spans="1:25">
      <c r="A342" s="1010"/>
      <c r="B342" s="1351">
        <v>92</v>
      </c>
      <c r="C342" s="1014">
        <v>0.99788857396332564</v>
      </c>
      <c r="D342" s="1014">
        <v>0.98037224849395299</v>
      </c>
      <c r="E342" s="1014">
        <v>1.0354600607570641</v>
      </c>
      <c r="F342" s="1014">
        <v>0.99999410545312406</v>
      </c>
      <c r="G342" s="1014">
        <v>1.004647414978487</v>
      </c>
      <c r="H342" s="1014">
        <v>1.0157520241522993</v>
      </c>
      <c r="I342" s="1014">
        <v>1.0436757087172353</v>
      </c>
      <c r="K342">
        <v>2.4442970006843678</v>
      </c>
      <c r="L342">
        <v>0</v>
      </c>
      <c r="M342">
        <v>1.5591791821159568E-3</v>
      </c>
      <c r="N342">
        <v>0.15795566152481574</v>
      </c>
      <c r="O342">
        <v>2.1145662732758225E-2</v>
      </c>
      <c r="P342">
        <v>2.9498287470130339E-2</v>
      </c>
      <c r="Q342">
        <v>5.7321944648369453E-3</v>
      </c>
      <c r="R342">
        <v>1.5389175442271374E-3</v>
      </c>
      <c r="S342">
        <v>0.27490871373175257</v>
      </c>
      <c r="T342">
        <v>1.3724001139513826</v>
      </c>
      <c r="U342">
        <v>0.21254369267182818</v>
      </c>
      <c r="V342">
        <v>0.24633135340294432</v>
      </c>
      <c r="W342">
        <v>0.10163172077679397</v>
      </c>
      <c r="X342">
        <v>1.7981435343656538E-2</v>
      </c>
      <c r="Y342">
        <v>4.1884262513541539E-3</v>
      </c>
    </row>
    <row r="343" spans="1:25">
      <c r="A343" s="1010"/>
      <c r="B343" s="1351">
        <v>93</v>
      </c>
      <c r="C343" s="1014">
        <v>1.0062375687328333</v>
      </c>
      <c r="D343" s="1014">
        <v>1.0437847377658993</v>
      </c>
      <c r="E343" s="1014">
        <v>0.986796785033904</v>
      </c>
      <c r="F343" s="1014">
        <v>0.9867900455765054</v>
      </c>
      <c r="G343" s="1014">
        <v>1.0109856715421541</v>
      </c>
      <c r="H343" s="1014">
        <v>0.98049721966894587</v>
      </c>
      <c r="I343" s="1014">
        <v>0.99531146960591388</v>
      </c>
      <c r="K343">
        <v>2.3701470440627888</v>
      </c>
      <c r="L343">
        <v>0</v>
      </c>
      <c r="M343">
        <v>1.6287744502381473E-3</v>
      </c>
      <c r="N343">
        <v>0.14239528373332339</v>
      </c>
      <c r="O343">
        <v>2.0651194286279914E-2</v>
      </c>
      <c r="P343">
        <v>2.7828183987645465E-2</v>
      </c>
      <c r="Q343">
        <v>5.3324946772978126E-3</v>
      </c>
      <c r="R343">
        <v>1.6068473702918853E-3</v>
      </c>
      <c r="S343">
        <v>0.24868085610062404</v>
      </c>
      <c r="T343">
        <v>1.3532379041976244</v>
      </c>
      <c r="U343">
        <v>0.21061457756838114</v>
      </c>
      <c r="V343">
        <v>0.24706879402918761</v>
      </c>
      <c r="W343">
        <v>9.4284847200093932E-2</v>
      </c>
      <c r="X343">
        <v>1.5701526517435418E-2</v>
      </c>
      <c r="Y343">
        <v>4.3733088448412545E-3</v>
      </c>
    </row>
    <row r="344" spans="1:25">
      <c r="A344" s="1010"/>
      <c r="B344" s="1351">
        <v>94</v>
      </c>
      <c r="C344" s="1014">
        <v>1.0359877355107441</v>
      </c>
      <c r="D344" s="1014">
        <v>1.0017674809028976</v>
      </c>
      <c r="E344" s="1014">
        <v>1.0414859243792405</v>
      </c>
      <c r="F344" s="1014">
        <v>1.0028708935840482</v>
      </c>
      <c r="G344" s="1014">
        <v>0.96292470930432239</v>
      </c>
      <c r="H344" s="1014">
        <v>0.99434825635765101</v>
      </c>
      <c r="I344" s="1014">
        <v>1.0020713994704558</v>
      </c>
      <c r="K344">
        <v>2.3889055528095771</v>
      </c>
      <c r="L344">
        <v>0</v>
      </c>
      <c r="M344">
        <v>1.4449456193012776E-3</v>
      </c>
      <c r="N344">
        <v>0.14902248864563314</v>
      </c>
      <c r="O344">
        <v>2.0275387888689132E-2</v>
      </c>
      <c r="P344">
        <v>2.9088297478461127E-2</v>
      </c>
      <c r="Q344">
        <v>5.5289696933186827E-3</v>
      </c>
      <c r="R344">
        <v>1.4257642677718159E-3</v>
      </c>
      <c r="S344">
        <v>0.24979595702489274</v>
      </c>
      <c r="T344">
        <v>1.376479912645606</v>
      </c>
      <c r="U344">
        <v>0.20474724851328224</v>
      </c>
      <c r="V344">
        <v>0.23689266234737352</v>
      </c>
      <c r="W344">
        <v>9.5551353881145676E-2</v>
      </c>
      <c r="X344">
        <v>1.7661995708894655E-2</v>
      </c>
      <c r="Y344">
        <v>3.8804603338103293E-3</v>
      </c>
    </row>
    <row r="345" spans="1:25">
      <c r="A345" s="1010"/>
      <c r="B345" s="1351">
        <v>95</v>
      </c>
      <c r="C345" s="1014">
        <v>0.99966305250771548</v>
      </c>
      <c r="D345" s="1014">
        <v>0.99321753432996929</v>
      </c>
      <c r="E345" s="1014">
        <v>0.98924677711311448</v>
      </c>
      <c r="F345" s="1014">
        <v>0.96709407881279341</v>
      </c>
      <c r="G345" s="1014">
        <v>1.0297114143159667</v>
      </c>
      <c r="H345" s="1014">
        <v>0.99782195458969192</v>
      </c>
      <c r="I345" s="1014">
        <v>1.0385309446218061</v>
      </c>
      <c r="K345">
        <v>2.378569458201452</v>
      </c>
      <c r="L345">
        <v>0</v>
      </c>
      <c r="M345">
        <v>1.6782482510453946E-3</v>
      </c>
      <c r="N345">
        <v>0.1478465531395432</v>
      </c>
      <c r="O345">
        <v>2.1016979590821813E-2</v>
      </c>
      <c r="P345">
        <v>2.786149129960171E-2</v>
      </c>
      <c r="Q345">
        <v>5.4404173263350036E-3</v>
      </c>
      <c r="R345">
        <v>1.6560474131165563E-3</v>
      </c>
      <c r="S345">
        <v>0.26930951931377778</v>
      </c>
      <c r="T345">
        <v>1.3262788928709115</v>
      </c>
      <c r="U345">
        <v>0.21200809475481347</v>
      </c>
      <c r="V345">
        <v>0.25066627732407093</v>
      </c>
      <c r="W345">
        <v>9.7750523088366681E-2</v>
      </c>
      <c r="X345">
        <v>1.590569518851908E-2</v>
      </c>
      <c r="Y345">
        <v>4.5072151426202491E-3</v>
      </c>
    </row>
    <row r="346" spans="1:25">
      <c r="A346" s="1010"/>
      <c r="B346" s="1351">
        <v>96</v>
      </c>
      <c r="C346" s="1014">
        <v>0.97405304800771908</v>
      </c>
      <c r="D346" s="1014">
        <v>1.0033892389211059</v>
      </c>
      <c r="E346" s="1014">
        <v>0.99480953635250691</v>
      </c>
      <c r="F346" s="1014">
        <v>0.98348422612239084</v>
      </c>
      <c r="G346" s="1014">
        <v>0.98616975214852898</v>
      </c>
      <c r="H346" s="1014">
        <v>0.99933838629306315</v>
      </c>
      <c r="I346" s="1014">
        <v>0.9716258847879371</v>
      </c>
      <c r="K346">
        <v>2.3977618896327946</v>
      </c>
      <c r="L346">
        <v>0</v>
      </c>
      <c r="M346">
        <v>1.7014069479235963E-3</v>
      </c>
      <c r="N346">
        <v>0.15243166528597696</v>
      </c>
      <c r="O346">
        <v>2.1525048877286967E-2</v>
      </c>
      <c r="P346">
        <v>2.8120888528970097E-2</v>
      </c>
      <c r="Q346">
        <v>5.6033170659039299E-3</v>
      </c>
      <c r="R346">
        <v>1.6789339065858412E-3</v>
      </c>
      <c r="S346">
        <v>0.25744094950835961</v>
      </c>
      <c r="T346">
        <v>1.3488745778114402</v>
      </c>
      <c r="U346">
        <v>0.21760175218681632</v>
      </c>
      <c r="V346">
        <v>0.24484952928090417</v>
      </c>
      <c r="W346">
        <v>0.10044727100322336</v>
      </c>
      <c r="X346">
        <v>1.6319858491935638E-2</v>
      </c>
      <c r="Y346">
        <v>4.5695046333130993E-3</v>
      </c>
    </row>
    <row r="347" spans="1:25">
      <c r="A347" s="1010"/>
      <c r="B347" s="1351">
        <v>97</v>
      </c>
      <c r="C347" s="1014">
        <v>0.96519287499628081</v>
      </c>
      <c r="D347" s="1014">
        <v>1.0152930868560499</v>
      </c>
      <c r="E347" s="1014">
        <v>1.0170237148720445</v>
      </c>
      <c r="F347" s="1014">
        <v>1.005159173067689</v>
      </c>
      <c r="G347" s="1014">
        <v>0.97727844255505802</v>
      </c>
      <c r="H347" s="1014">
        <v>0.98321630531725057</v>
      </c>
      <c r="I347" s="1014">
        <v>0.9899979069371263</v>
      </c>
      <c r="K347">
        <v>2.4371188043956504</v>
      </c>
      <c r="L347">
        <v>0</v>
      </c>
      <c r="M347">
        <v>1.6090008842642666E-3</v>
      </c>
      <c r="N347">
        <v>0.1541212244472033</v>
      </c>
      <c r="O347">
        <v>2.1681590537370433E-2</v>
      </c>
      <c r="P347">
        <v>2.908237188720577E-2</v>
      </c>
      <c r="Q347">
        <v>5.7710928785250793E-3</v>
      </c>
      <c r="R347">
        <v>1.5873999055453294E-3</v>
      </c>
      <c r="S347">
        <v>0.26194360744570661</v>
      </c>
      <c r="T347">
        <v>1.379085839887124</v>
      </c>
      <c r="U347">
        <v>0.21967801251238431</v>
      </c>
      <c r="V347">
        <v>0.24384299695009889</v>
      </c>
      <c r="W347">
        <v>0.10023469418382966</v>
      </c>
      <c r="X347">
        <v>1.7378595388267117E-2</v>
      </c>
      <c r="Y347">
        <v>4.3203792566561608E-3</v>
      </c>
    </row>
    <row r="348" spans="1:25">
      <c r="A348" s="1010"/>
      <c r="B348" s="1351">
        <v>98</v>
      </c>
      <c r="C348" s="1014">
        <v>1.0028811937774034</v>
      </c>
      <c r="D348" s="1014">
        <v>0.99604428613864759</v>
      </c>
      <c r="E348" s="1014">
        <v>1.0173339211726247</v>
      </c>
      <c r="F348" s="1014">
        <v>1.0048338950384168</v>
      </c>
      <c r="G348" s="1014">
        <v>0.99956193486587741</v>
      </c>
      <c r="H348" s="1014">
        <v>1.019579988824769</v>
      </c>
      <c r="I348" s="1014">
        <v>1.0038746751488883</v>
      </c>
      <c r="K348">
        <v>2.4285727453943555</v>
      </c>
      <c r="L348">
        <v>0</v>
      </c>
      <c r="M348">
        <v>1.6115424729296103E-3</v>
      </c>
      <c r="N348">
        <v>0.15458421864985111</v>
      </c>
      <c r="O348">
        <v>2.0955056663845565E-2</v>
      </c>
      <c r="P348">
        <v>2.8977530006667463E-2</v>
      </c>
      <c r="Q348">
        <v>5.5794309230546143E-3</v>
      </c>
      <c r="R348">
        <v>1.5906789966991992E-3</v>
      </c>
      <c r="S348">
        <v>0.26120313704780362</v>
      </c>
      <c r="T348">
        <v>1.3786463205418402</v>
      </c>
      <c r="U348">
        <v>0.21142356336470317</v>
      </c>
      <c r="V348">
        <v>0.24521548997749876</v>
      </c>
      <c r="W348">
        <v>0.10051752351436577</v>
      </c>
      <c r="X348">
        <v>1.7162034319131915E-2</v>
      </c>
      <c r="Y348">
        <v>4.3293038618248854E-3</v>
      </c>
    </row>
    <row r="349" spans="1:25">
      <c r="A349" s="1010"/>
      <c r="B349" s="1351">
        <v>99</v>
      </c>
      <c r="C349" s="1014">
        <v>1.0300410069753865</v>
      </c>
      <c r="D349" s="1014">
        <v>0.9997076310805395</v>
      </c>
      <c r="E349" s="1014">
        <v>1.0325300410134839</v>
      </c>
      <c r="F349" s="1014">
        <v>0.99681943750891366</v>
      </c>
      <c r="G349" s="1014">
        <v>0.98273960828955764</v>
      </c>
      <c r="H349" s="1014">
        <v>1.001711757460811</v>
      </c>
      <c r="I349" s="1014">
        <v>1.0102172606617004</v>
      </c>
      <c r="K349">
        <v>2.3912000094202734</v>
      </c>
      <c r="L349">
        <v>0</v>
      </c>
      <c r="M349">
        <v>1.4923330600318445E-3</v>
      </c>
      <c r="N349">
        <v>0.14982693031361688</v>
      </c>
      <c r="O349">
        <v>2.0395877358256365E-2</v>
      </c>
      <c r="P349">
        <v>2.8910754336940337E-2</v>
      </c>
      <c r="Q349">
        <v>5.5129830218912587E-3</v>
      </c>
      <c r="R349">
        <v>1.4726682748177572E-3</v>
      </c>
      <c r="S349">
        <v>0.25408475504073663</v>
      </c>
      <c r="T349">
        <v>1.3679795883350108</v>
      </c>
      <c r="U349">
        <v>0.20589942963080013</v>
      </c>
      <c r="V349">
        <v>0.24065093980602403</v>
      </c>
      <c r="W349">
        <v>9.656512421037998E-2</v>
      </c>
      <c r="X349">
        <v>1.7385174572743751E-2</v>
      </c>
      <c r="Y349">
        <v>4.0081175790876123E-3</v>
      </c>
    </row>
    <row r="350" spans="1:25">
      <c r="A350" s="1010"/>
      <c r="B350" s="1351">
        <v>100</v>
      </c>
      <c r="C350" s="1014">
        <v>1.0464603951807261</v>
      </c>
      <c r="D350" s="1014">
        <v>1.0212024650252685</v>
      </c>
      <c r="E350" s="1014">
        <v>0.98174500467067727</v>
      </c>
      <c r="F350" s="1014">
        <v>0.98760545293352353</v>
      </c>
      <c r="G350" s="1014">
        <v>0.98096806153063876</v>
      </c>
      <c r="H350" s="1014">
        <v>0.96453926270833945</v>
      </c>
      <c r="I350" s="1014">
        <v>1.0116850160534405</v>
      </c>
      <c r="K350">
        <v>2.3367420565813743</v>
      </c>
      <c r="L350">
        <v>0</v>
      </c>
      <c r="M350">
        <v>1.5643781705121803E-3</v>
      </c>
      <c r="N350">
        <v>0.13466112849228934</v>
      </c>
      <c r="O350">
        <v>1.9950025654426724E-2</v>
      </c>
      <c r="P350">
        <v>2.7467741372149253E-2</v>
      </c>
      <c r="Q350">
        <v>5.1251203589358779E-3</v>
      </c>
      <c r="R350">
        <v>1.5429695810180615E-3</v>
      </c>
      <c r="S350">
        <v>0.24437585018854743</v>
      </c>
      <c r="T350">
        <v>1.3542485570788898</v>
      </c>
      <c r="U350">
        <v>0.20250271936152478</v>
      </c>
      <c r="V350">
        <v>0.23957604521758882</v>
      </c>
      <c r="W350">
        <v>8.9435272854515566E-2</v>
      </c>
      <c r="X350">
        <v>1.5221550032255737E-2</v>
      </c>
      <c r="Y350">
        <v>4.1994545597454809E-3</v>
      </c>
    </row>
    <row r="351" spans="1:25">
      <c r="A351" s="1010"/>
      <c r="B351" s="1351">
        <v>101</v>
      </c>
      <c r="C351" s="1014">
        <v>1.0054723162075201</v>
      </c>
      <c r="D351" s="1014">
        <v>1.0294163183724137</v>
      </c>
      <c r="E351" s="1014">
        <v>0.98175275228153314</v>
      </c>
      <c r="F351" s="1014">
        <v>0.97710606974313208</v>
      </c>
      <c r="G351" s="1014">
        <v>0.99455428962087011</v>
      </c>
      <c r="H351" s="1014">
        <v>0.96629047764882081</v>
      </c>
      <c r="I351" s="1014">
        <v>1.0166447757262793</v>
      </c>
      <c r="K351">
        <v>2.3563730136859204</v>
      </c>
      <c r="L351">
        <v>0</v>
      </c>
      <c r="M351">
        <v>1.6282078070169654E-3</v>
      </c>
      <c r="N351">
        <v>0.14016237086257607</v>
      </c>
      <c r="O351">
        <v>2.0726731470502247E-2</v>
      </c>
      <c r="P351">
        <v>2.758830854062377E-2</v>
      </c>
      <c r="Q351">
        <v>5.3246963670405224E-3</v>
      </c>
      <c r="R351">
        <v>1.605966087925025E-3</v>
      </c>
      <c r="S351">
        <v>0.25471083787728371</v>
      </c>
      <c r="T351">
        <v>1.3398514986189392</v>
      </c>
      <c r="U351">
        <v>0.21075776897882864</v>
      </c>
      <c r="V351">
        <v>0.24432719128892652</v>
      </c>
      <c r="W351">
        <v>9.3088491537957799E-2</v>
      </c>
      <c r="X351">
        <v>1.5486449577578686E-2</v>
      </c>
      <c r="Y351">
        <v>4.3709102847533151E-3</v>
      </c>
    </row>
    <row r="352" spans="1:25">
      <c r="A352" s="1010"/>
      <c r="B352" s="1351">
        <v>102</v>
      </c>
      <c r="C352" s="1014">
        <v>0.96309951254201276</v>
      </c>
      <c r="D352" s="1014">
        <v>0.98625161579736487</v>
      </c>
      <c r="E352" s="1014">
        <v>1.0380323131138092</v>
      </c>
      <c r="F352" s="1014">
        <v>1.0054728018045627</v>
      </c>
      <c r="G352" s="1014">
        <v>1.0072166384360046</v>
      </c>
      <c r="H352" s="1014">
        <v>1.0193627967317271</v>
      </c>
      <c r="I352" s="1014">
        <v>1.01104252285027</v>
      </c>
      <c r="K352">
        <v>2.4751463041127897</v>
      </c>
      <c r="L352">
        <v>0</v>
      </c>
      <c r="M352">
        <v>1.6104475080281821E-3</v>
      </c>
      <c r="N352">
        <v>0.16442655475410653</v>
      </c>
      <c r="O352">
        <v>2.1882472519061173E-2</v>
      </c>
      <c r="P352">
        <v>2.981261019776596E-2</v>
      </c>
      <c r="Q352">
        <v>5.9469791155650894E-3</v>
      </c>
      <c r="R352">
        <v>1.5895937652292602E-3</v>
      </c>
      <c r="S352">
        <v>0.275452853385112</v>
      </c>
      <c r="T352">
        <v>1.3799754560978843</v>
      </c>
      <c r="U352">
        <v>0.22023037127885209</v>
      </c>
      <c r="V352">
        <v>0.24902067006064174</v>
      </c>
      <c r="W352">
        <v>0.10563820234255648</v>
      </c>
      <c r="X352">
        <v>1.8454637884534802E-2</v>
      </c>
      <c r="Y352">
        <v>4.3263502195101684E-3</v>
      </c>
    </row>
    <row r="353" spans="1:25">
      <c r="A353" s="1010"/>
      <c r="B353" s="1351">
        <v>103</v>
      </c>
      <c r="C353" s="1014">
        <v>1.0338772245916252</v>
      </c>
      <c r="D353" s="1014">
        <v>0.99721676718890451</v>
      </c>
      <c r="E353" s="1014">
        <v>0.98070401132424267</v>
      </c>
      <c r="F353" s="1014">
        <v>1.0008589178066698</v>
      </c>
      <c r="G353" s="1014">
        <v>0.99917939959065716</v>
      </c>
      <c r="H353" s="1014">
        <v>0.98940851701947063</v>
      </c>
      <c r="I353" s="1014">
        <v>1.0191372964173195</v>
      </c>
      <c r="K353">
        <v>2.3820693603649832</v>
      </c>
      <c r="L353">
        <v>0</v>
      </c>
      <c r="M353">
        <v>1.6362785404911721E-3</v>
      </c>
      <c r="N353">
        <v>0.14045635752746324</v>
      </c>
      <c r="O353">
        <v>2.0298031661733849E-2</v>
      </c>
      <c r="P353">
        <v>2.7907706606548871E-2</v>
      </c>
      <c r="Q353">
        <v>5.2090117584174542E-3</v>
      </c>
      <c r="R353">
        <v>1.6144488384182108E-3</v>
      </c>
      <c r="S353">
        <v>0.25424572259677425</v>
      </c>
      <c r="T353">
        <v>1.3723998509285771</v>
      </c>
      <c r="U353">
        <v>0.20496391936061112</v>
      </c>
      <c r="V353">
        <v>0.24341690865841678</v>
      </c>
      <c r="W353">
        <v>9.3342775575335449E-2</v>
      </c>
      <c r="X353">
        <v>1.5456907857919321E-2</v>
      </c>
      <c r="Y353">
        <v>4.3939975352578174E-3</v>
      </c>
    </row>
    <row r="354" spans="1:25">
      <c r="A354" s="1010"/>
      <c r="B354" s="1351">
        <v>104</v>
      </c>
      <c r="C354" s="1014">
        <v>1.0215108780430591</v>
      </c>
      <c r="D354" s="1014">
        <v>1.0039913052553631</v>
      </c>
      <c r="E354" s="1014">
        <v>0.99276093038748625</v>
      </c>
      <c r="F354" s="1014">
        <v>1.0148805951756712</v>
      </c>
      <c r="G354" s="1014">
        <v>0.9943194946618128</v>
      </c>
      <c r="H354" s="1014">
        <v>0.97521628665227289</v>
      </c>
      <c r="I354" s="1014">
        <v>1.0013120682697509</v>
      </c>
      <c r="K354">
        <v>2.4029333132121655</v>
      </c>
      <c r="L354">
        <v>0</v>
      </c>
      <c r="M354">
        <v>1.58972717677329E-3</v>
      </c>
      <c r="N354">
        <v>0.14150004570091623</v>
      </c>
      <c r="O354">
        <v>2.0520991115751487E-2</v>
      </c>
      <c r="P354">
        <v>2.8413786907644387E-2</v>
      </c>
      <c r="Q354">
        <v>5.3309178946213485E-3</v>
      </c>
      <c r="R354">
        <v>1.5682098719930326E-3</v>
      </c>
      <c r="S354">
        <v>0.25087937917284059</v>
      </c>
      <c r="T354">
        <v>1.3918906163156639</v>
      </c>
      <c r="U354">
        <v>0.20748545980656452</v>
      </c>
      <c r="V354">
        <v>0.24327316118020104</v>
      </c>
      <c r="W354">
        <v>9.3357866555090249E-2</v>
      </c>
      <c r="X354">
        <v>1.6034455556333184E-2</v>
      </c>
      <c r="Y354">
        <v>4.2681503113196698E-3</v>
      </c>
    </row>
    <row r="355" spans="1:25">
      <c r="A355" s="1010"/>
      <c r="B355" s="1351">
        <v>105</v>
      </c>
      <c r="C355" s="1014">
        <v>0.98800262742695755</v>
      </c>
      <c r="D355" s="1014">
        <v>1.0064252209770237</v>
      </c>
      <c r="E355" s="1014">
        <v>0.98882689508519317</v>
      </c>
      <c r="F355" s="1014">
        <v>1.0015436938919704</v>
      </c>
      <c r="G355" s="1014">
        <v>1.007050896288862</v>
      </c>
      <c r="H355" s="1014">
        <v>0.96223518980975487</v>
      </c>
      <c r="I355" s="1014">
        <v>0.99859143829996244</v>
      </c>
      <c r="K355">
        <v>2.4069804827721448</v>
      </c>
      <c r="L355">
        <v>0</v>
      </c>
      <c r="M355">
        <v>1.634162958458422E-3</v>
      </c>
      <c r="N355">
        <v>0.14370888423512984</v>
      </c>
      <c r="O355">
        <v>2.1203029400559299E-2</v>
      </c>
      <c r="P355">
        <v>2.8319768036145786E-2</v>
      </c>
      <c r="Q355">
        <v>5.4862477278922366E-3</v>
      </c>
      <c r="R355">
        <v>1.6117458111782892E-3</v>
      </c>
      <c r="S355">
        <v>0.257222479859885</v>
      </c>
      <c r="T355">
        <v>1.3735142363284105</v>
      </c>
      <c r="U355">
        <v>0.21450876801396765</v>
      </c>
      <c r="V355">
        <v>0.24753336809687135</v>
      </c>
      <c r="W355">
        <v>9.5038774409948845E-2</v>
      </c>
      <c r="X355">
        <v>1.6080703024448591E-2</v>
      </c>
      <c r="Y355">
        <v>4.3866407861634423E-3</v>
      </c>
    </row>
    <row r="356" spans="1:25">
      <c r="A356" s="1010"/>
      <c r="B356" s="1351">
        <v>106</v>
      </c>
      <c r="C356" s="1014">
        <v>1.0325112724660297</v>
      </c>
      <c r="D356" s="1014">
        <v>1.0218399361205752</v>
      </c>
      <c r="E356" s="1014">
        <v>1.0169823363556116</v>
      </c>
      <c r="F356" s="1014">
        <v>0.98496760201720801</v>
      </c>
      <c r="G356" s="1014">
        <v>1.0165441841971696</v>
      </c>
      <c r="H356" s="1014">
        <v>1.0162932607992137</v>
      </c>
      <c r="I356" s="1014">
        <v>0.99731620414209743</v>
      </c>
      <c r="K356">
        <v>2.3719956786797893</v>
      </c>
      <c r="L356">
        <v>0</v>
      </c>
      <c r="M356">
        <v>1.5526330195831629E-3</v>
      </c>
      <c r="N356">
        <v>0.14876921180363434</v>
      </c>
      <c r="O356">
        <v>2.0239312542751867E-2</v>
      </c>
      <c r="P356">
        <v>2.8350497286036485E-2</v>
      </c>
      <c r="Q356">
        <v>5.3869728613127194E-3</v>
      </c>
      <c r="R356">
        <v>1.5324671947392354E-3</v>
      </c>
      <c r="S356">
        <v>0.24858988048002495</v>
      </c>
      <c r="T356">
        <v>1.351381970209248</v>
      </c>
      <c r="U356">
        <v>0.20535515331833254</v>
      </c>
      <c r="V356">
        <v>0.24632956657131291</v>
      </c>
      <c r="W356">
        <v>9.6756292678187347E-2</v>
      </c>
      <c r="X356">
        <v>1.6686116227384595E-2</v>
      </c>
      <c r="Y356">
        <v>4.1708705264052225E-3</v>
      </c>
    </row>
    <row r="357" spans="1:25">
      <c r="A357" s="1010"/>
      <c r="B357" s="1351">
        <v>107</v>
      </c>
      <c r="C357" s="1014">
        <v>1.0240572392004088</v>
      </c>
      <c r="D357" s="1014">
        <v>0.95362953144248541</v>
      </c>
      <c r="E357" s="1014">
        <v>1.030517606948125</v>
      </c>
      <c r="F357" s="1014">
        <v>0.98982989756366402</v>
      </c>
      <c r="G357" s="1014">
        <v>1.0119968125666923</v>
      </c>
      <c r="H357" s="1014">
        <v>1.0473042838580027</v>
      </c>
      <c r="I357" s="1014">
        <v>1.0027106594493869</v>
      </c>
      <c r="K357">
        <v>2.4137184891176644</v>
      </c>
      <c r="L357">
        <v>0</v>
      </c>
      <c r="M357">
        <v>1.5924151245647392E-3</v>
      </c>
      <c r="N357">
        <v>0.15900046366833756</v>
      </c>
      <c r="O357">
        <v>2.0727811971484593E-2</v>
      </c>
      <c r="P357">
        <v>2.8958282819360019E-2</v>
      </c>
      <c r="Q357">
        <v>5.5915773575982725E-3</v>
      </c>
      <c r="R357">
        <v>1.572345020134467E-3</v>
      </c>
      <c r="S357">
        <v>0.2635963774878371</v>
      </c>
      <c r="T357">
        <v>1.3583441858063869</v>
      </c>
      <c r="U357">
        <v>0.20709579124959202</v>
      </c>
      <c r="V357">
        <v>0.24600399020885086</v>
      </c>
      <c r="W357">
        <v>0.10259720644756183</v>
      </c>
      <c r="X357">
        <v>1.7543467383672542E-2</v>
      </c>
      <c r="Y357">
        <v>4.2794048214094341E-3</v>
      </c>
    </row>
    <row r="358" spans="1:25">
      <c r="A358" s="1010"/>
      <c r="B358" s="1351">
        <v>108</v>
      </c>
      <c r="C358" s="1014">
        <v>0.97487799934043295</v>
      </c>
      <c r="D358" s="1014">
        <v>0.99652313954021299</v>
      </c>
      <c r="E358" s="1014">
        <v>1.0131344762045535</v>
      </c>
      <c r="F358" s="1014">
        <v>1.0112318535666533</v>
      </c>
      <c r="G358" s="1014">
        <v>0.97628816998847501</v>
      </c>
      <c r="H358" s="1014">
        <v>0.99598373457409617</v>
      </c>
      <c r="I358" s="1014">
        <v>0.99062671220965437</v>
      </c>
      <c r="K358">
        <v>2.4443184453560365</v>
      </c>
      <c r="L358">
        <v>0</v>
      </c>
      <c r="M358">
        <v>1.6334955759182588E-3</v>
      </c>
      <c r="N358">
        <v>0.15466871144739067</v>
      </c>
      <c r="O358">
        <v>2.1551839756738907E-2</v>
      </c>
      <c r="P358">
        <v>2.9086507039109144E-2</v>
      </c>
      <c r="Q358">
        <v>5.7143591570103748E-3</v>
      </c>
      <c r="R358">
        <v>1.6118468702953387E-3</v>
      </c>
      <c r="S358">
        <v>0.26301910077684021</v>
      </c>
      <c r="T358">
        <v>1.3873322864149529</v>
      </c>
      <c r="U358">
        <v>0.21748190797343853</v>
      </c>
      <c r="V358">
        <v>0.24304475323970914</v>
      </c>
      <c r="W358">
        <v>0.10082079513519872</v>
      </c>
      <c r="X358">
        <v>1.7232917285505168E-2</v>
      </c>
      <c r="Y358">
        <v>4.3869158357659225E-3</v>
      </c>
    </row>
    <row r="359" spans="1:25">
      <c r="A359" s="1010"/>
      <c r="B359" s="1351">
        <v>109</v>
      </c>
      <c r="C359" s="1014">
        <v>0.9921019465186498</v>
      </c>
      <c r="D359" s="1014">
        <v>0.99043052869307424</v>
      </c>
      <c r="E359" s="1014">
        <v>1.0113440528080191</v>
      </c>
      <c r="F359" s="1014">
        <v>1.0247902437999439</v>
      </c>
      <c r="G359" s="1014">
        <v>0.99433131992320167</v>
      </c>
      <c r="H359" s="1014">
        <v>0.98269031969359599</v>
      </c>
      <c r="I359" s="1014">
        <v>0.99147845949137292</v>
      </c>
      <c r="K359">
        <v>2.4479893229696894</v>
      </c>
      <c r="L359">
        <v>0</v>
      </c>
      <c r="M359">
        <v>1.5917624808163349E-3</v>
      </c>
      <c r="N359">
        <v>0.14987760877495726</v>
      </c>
      <c r="O359">
        <v>2.1205066090641642E-2</v>
      </c>
      <c r="P359">
        <v>2.9214075346635837E-2</v>
      </c>
      <c r="Q359">
        <v>5.6123724456949801E-3</v>
      </c>
      <c r="R359">
        <v>1.5703814911171921E-3</v>
      </c>
      <c r="S359">
        <v>0.25832503752787966</v>
      </c>
      <c r="T359">
        <v>1.4058935742743501</v>
      </c>
      <c r="U359">
        <v>0.21370000980485337</v>
      </c>
      <c r="V359">
        <v>0.24501977179474035</v>
      </c>
      <c r="W359">
        <v>9.7800733811557211E-2</v>
      </c>
      <c r="X359">
        <v>1.7088393345377036E-2</v>
      </c>
      <c r="Y359">
        <v>4.2740607427015787E-3</v>
      </c>
    </row>
    <row r="360" spans="1:25">
      <c r="A360" s="1010"/>
      <c r="B360" s="1351">
        <v>110</v>
      </c>
      <c r="C360" s="1014">
        <v>1.0042578784367244</v>
      </c>
      <c r="D360" s="1014">
        <v>1.0059808485388242</v>
      </c>
      <c r="E360" s="1014">
        <v>0.99846476080537239</v>
      </c>
      <c r="F360" s="1014">
        <v>0.97351929596534414</v>
      </c>
      <c r="G360" s="1014">
        <v>1.0453666657451774</v>
      </c>
      <c r="H360" s="1014">
        <v>1.0165943211984398</v>
      </c>
      <c r="I360" s="1014">
        <v>1.0354920945313608</v>
      </c>
      <c r="K360">
        <v>2.3919617529772141</v>
      </c>
      <c r="L360">
        <v>0</v>
      </c>
      <c r="M360">
        <v>1.6651106220195672E-3</v>
      </c>
      <c r="N360">
        <v>0.15087105979961901</v>
      </c>
      <c r="O360">
        <v>2.086821154821775E-2</v>
      </c>
      <c r="P360">
        <v>2.8169391888475802E-2</v>
      </c>
      <c r="Q360">
        <v>5.4523650111302719E-3</v>
      </c>
      <c r="R360">
        <v>1.643490326279199E-3</v>
      </c>
      <c r="S360">
        <v>0.26730992361392325</v>
      </c>
      <c r="T360">
        <v>1.3352843234454148</v>
      </c>
      <c r="U360">
        <v>0.21106942979388313</v>
      </c>
      <c r="V360">
        <v>0.25301973965722857</v>
      </c>
      <c r="W360">
        <v>9.9202562333970762E-2</v>
      </c>
      <c r="X360">
        <v>1.6263327289399762E-2</v>
      </c>
      <c r="Y360">
        <v>4.4730388916915265E-3</v>
      </c>
    </row>
    <row r="361" spans="1:25">
      <c r="A361" s="1010"/>
      <c r="B361" s="1351">
        <v>111</v>
      </c>
      <c r="C361" s="1014">
        <v>1.0357150399994157</v>
      </c>
      <c r="D361" s="1014">
        <v>1.0092340679228475</v>
      </c>
      <c r="E361" s="1014">
        <v>1.0136172683466598</v>
      </c>
      <c r="F361" s="1014">
        <v>0.99003928600189461</v>
      </c>
      <c r="G361" s="1014">
        <v>1.0066205446869985</v>
      </c>
      <c r="H361" s="1014">
        <v>0.98224547159463405</v>
      </c>
      <c r="I361" s="1014">
        <v>1.0208718119393125</v>
      </c>
      <c r="K361">
        <v>2.3709206067745172</v>
      </c>
      <c r="L361">
        <v>0</v>
      </c>
      <c r="M361">
        <v>1.5105980582037742E-3</v>
      </c>
      <c r="N361">
        <v>0.14321373916061045</v>
      </c>
      <c r="O361">
        <v>2.0229725259371611E-2</v>
      </c>
      <c r="P361">
        <v>2.8392784690845784E-2</v>
      </c>
      <c r="Q361">
        <v>5.3663917911218398E-3</v>
      </c>
      <c r="R361">
        <v>1.4902981018001308E-3</v>
      </c>
      <c r="S361">
        <v>0.25236765908451242</v>
      </c>
      <c r="T361">
        <v>1.3582680799088667</v>
      </c>
      <c r="U361">
        <v>0.2047087981210827</v>
      </c>
      <c r="V361">
        <v>0.24446081024795063</v>
      </c>
      <c r="W361">
        <v>9.3327369105375618E-2</v>
      </c>
      <c r="X361">
        <v>1.6549449204720137E-2</v>
      </c>
      <c r="Y361">
        <v>4.0561001564627316E-3</v>
      </c>
    </row>
    <row r="362" spans="1:25">
      <c r="A362" s="1010"/>
      <c r="B362" s="1351">
        <v>112</v>
      </c>
      <c r="C362" s="1014">
        <v>1.0017981692778353</v>
      </c>
      <c r="D362" s="1014">
        <v>0.99712308615756351</v>
      </c>
      <c r="E362" s="1014">
        <v>0.9767874770567696</v>
      </c>
      <c r="F362" s="1014">
        <v>0.96475680541077113</v>
      </c>
      <c r="G362" s="1014">
        <v>1.0074327737446642</v>
      </c>
      <c r="H362" s="1014">
        <v>0.963695051057602</v>
      </c>
      <c r="I362" s="1014">
        <v>0.97492172286758771</v>
      </c>
      <c r="K362">
        <v>2.3374599267738625</v>
      </c>
      <c r="L362">
        <v>0</v>
      </c>
      <c r="M362">
        <v>1.6581941579084188E-3</v>
      </c>
      <c r="N362">
        <v>0.14060990838306689</v>
      </c>
      <c r="O362">
        <v>2.0945850126283017E-2</v>
      </c>
      <c r="P362">
        <v>2.7220424422483059E-2</v>
      </c>
      <c r="Q362">
        <v>5.3538891528115296E-3</v>
      </c>
      <c r="R362">
        <v>1.6354818132270053E-3</v>
      </c>
      <c r="S362">
        <v>0.24885571519352051</v>
      </c>
      <c r="T362">
        <v>1.3228144733107263</v>
      </c>
      <c r="U362">
        <v>0.21151384856065678</v>
      </c>
      <c r="V362">
        <v>0.24677348069222912</v>
      </c>
      <c r="W362">
        <v>9.3666289690483295E-2</v>
      </c>
      <c r="X362">
        <v>1.5277517227110383E-2</v>
      </c>
      <c r="Y362">
        <v>4.4512423591690749E-3</v>
      </c>
    </row>
    <row r="363" spans="1:25">
      <c r="A363" s="1010"/>
      <c r="B363" s="1351">
        <v>113</v>
      </c>
      <c r="C363" s="1014">
        <v>0.98412407361725462</v>
      </c>
      <c r="D363" s="1014">
        <v>0.9712903950414058</v>
      </c>
      <c r="E363" s="1014">
        <v>0.97341349239647967</v>
      </c>
      <c r="F363" s="1014">
        <v>0.99514421232906114</v>
      </c>
      <c r="G363" s="1014">
        <v>1.0337182590801841</v>
      </c>
      <c r="H363" s="1014">
        <v>0.98623506159975804</v>
      </c>
      <c r="I363" s="1014">
        <v>1.0270575639874993</v>
      </c>
      <c r="K363">
        <v>2.4248634257045669</v>
      </c>
      <c r="L363">
        <v>0</v>
      </c>
      <c r="M363">
        <v>1.7496132172555416E-3</v>
      </c>
      <c r="N363">
        <v>0.14690118740245664</v>
      </c>
      <c r="O363">
        <v>2.1443225277736132E-2</v>
      </c>
      <c r="P363">
        <v>2.8147938722101265E-2</v>
      </c>
      <c r="Q363">
        <v>5.4622062168814909E-3</v>
      </c>
      <c r="R363">
        <v>1.7261964019146983E-3</v>
      </c>
      <c r="S363">
        <v>0.27242550075624616</v>
      </c>
      <c r="T363">
        <v>1.3644075498317678</v>
      </c>
      <c r="U363">
        <v>0.2153007992751628</v>
      </c>
      <c r="V363">
        <v>0.25239624593087767</v>
      </c>
      <c r="W363">
        <v>9.8057524956686681E-2</v>
      </c>
      <c r="X363">
        <v>1.5646526584470251E-2</v>
      </c>
      <c r="Y363">
        <v>4.6981375655208513E-3</v>
      </c>
    </row>
    <row r="364" spans="1:25">
      <c r="A364" s="1010"/>
      <c r="B364" s="1351">
        <v>114</v>
      </c>
      <c r="C364" s="1014">
        <v>0.96482160014056628</v>
      </c>
      <c r="D364" s="1014">
        <v>1.0146398385787092</v>
      </c>
      <c r="E364" s="1014">
        <v>0.95755264558525366</v>
      </c>
      <c r="F364" s="1014">
        <v>1.0016202282189772</v>
      </c>
      <c r="G364" s="1014">
        <v>1.0175024186792625</v>
      </c>
      <c r="H364" s="1014">
        <v>0.99680968532155589</v>
      </c>
      <c r="I364" s="1014">
        <v>0.98113216619160515</v>
      </c>
      <c r="K364">
        <v>2.4261509809814816</v>
      </c>
      <c r="L364">
        <v>0</v>
      </c>
      <c r="M364">
        <v>1.8459290705950366E-3</v>
      </c>
      <c r="N364">
        <v>0.14773958981545429</v>
      </c>
      <c r="O364">
        <v>2.1652312034227683E-2</v>
      </c>
      <c r="P364">
        <v>2.7798540574602501E-2</v>
      </c>
      <c r="Q364">
        <v>5.4265536966287831E-3</v>
      </c>
      <c r="R364">
        <v>1.8214852561292648E-3</v>
      </c>
      <c r="S364">
        <v>0.26046461315892216</v>
      </c>
      <c r="T364">
        <v>1.3729454795971283</v>
      </c>
      <c r="U364">
        <v>0.21955228827388695</v>
      </c>
      <c r="V364">
        <v>0.25095248249093144</v>
      </c>
      <c r="W364">
        <v>9.9577232688665487E-2</v>
      </c>
      <c r="X364">
        <v>1.5108850050767697E-2</v>
      </c>
      <c r="Y364">
        <v>4.9574824147305512E-3</v>
      </c>
    </row>
    <row r="365" spans="1:25">
      <c r="A365" s="1010"/>
      <c r="B365" s="1351">
        <v>115</v>
      </c>
      <c r="C365" s="1014">
        <v>0.99997613182598055</v>
      </c>
      <c r="D365" s="1014">
        <v>0.99399930356398547</v>
      </c>
      <c r="E365" s="1014">
        <v>0.98710328235827705</v>
      </c>
      <c r="F365" s="1014">
        <v>1.0238318337223435</v>
      </c>
      <c r="G365" s="1014">
        <v>0.96857979051958198</v>
      </c>
      <c r="H365" s="1014">
        <v>1.009396249269001</v>
      </c>
      <c r="I365" s="1014">
        <v>0.9790503670523576</v>
      </c>
      <c r="K365">
        <v>2.434415029919291</v>
      </c>
      <c r="L365">
        <v>0</v>
      </c>
      <c r="M365">
        <v>1.7044375156708902E-3</v>
      </c>
      <c r="N365">
        <v>0.14920656132761467</v>
      </c>
      <c r="O365">
        <v>2.1005341126543745E-2</v>
      </c>
      <c r="P365">
        <v>2.8527149874292109E-2</v>
      </c>
      <c r="Q365">
        <v>5.4256249310960679E-3</v>
      </c>
      <c r="R365">
        <v>1.6821487706258245E-3</v>
      </c>
      <c r="S365">
        <v>0.25465314561594299</v>
      </c>
      <c r="T365">
        <v>1.4040420559444269</v>
      </c>
      <c r="U365">
        <v>0.21193440446089595</v>
      </c>
      <c r="V365">
        <v>0.24021151377284916</v>
      </c>
      <c r="W365">
        <v>9.8776647975490836E-2</v>
      </c>
      <c r="X365">
        <v>1.6076619201730018E-2</v>
      </c>
      <c r="Y365">
        <v>4.5782544334502882E-3</v>
      </c>
    </row>
    <row r="366" spans="1:25">
      <c r="A366" s="1010"/>
      <c r="B366" s="1351">
        <v>116</v>
      </c>
      <c r="C366" s="1014">
        <v>1.0042211107447183</v>
      </c>
      <c r="D366" s="1014">
        <v>1.0300808855840571</v>
      </c>
      <c r="E366" s="1014">
        <v>1.037116026275327</v>
      </c>
      <c r="F366" s="1014">
        <v>0.97674017323447804</v>
      </c>
      <c r="G366" s="1014">
        <v>0.9850136331388698</v>
      </c>
      <c r="H366" s="1014">
        <v>1.0142808487624304</v>
      </c>
      <c r="I366" s="1014">
        <v>0.99284444008119888</v>
      </c>
      <c r="K366">
        <v>2.3796696071471568</v>
      </c>
      <c r="L366">
        <v>0</v>
      </c>
      <c r="M366">
        <v>1.5250833810478205E-3</v>
      </c>
      <c r="N366">
        <v>0.15527140251451077</v>
      </c>
      <c r="O366">
        <v>2.0786012075702694E-2</v>
      </c>
      <c r="P366">
        <v>2.8714031944373591E-2</v>
      </c>
      <c r="Q366">
        <v>5.6439010106032654E-3</v>
      </c>
      <c r="R366">
        <v>1.5052360743166781E-3</v>
      </c>
      <c r="S366">
        <v>0.25342878575505484</v>
      </c>
      <c r="T366">
        <v>1.3405214542126098</v>
      </c>
      <c r="U366">
        <v>0.21120907667270383</v>
      </c>
      <c r="V366">
        <v>0.24258165071500626</v>
      </c>
      <c r="W366">
        <v>9.9809101677857087E-2</v>
      </c>
      <c r="X366">
        <v>1.7627281482112907E-2</v>
      </c>
      <c r="Y366">
        <v>4.0967563933514556E-3</v>
      </c>
    </row>
    <row r="367" spans="1:25">
      <c r="A367" s="1010"/>
      <c r="B367" s="1351">
        <v>117</v>
      </c>
      <c r="C367" s="1014">
        <v>1.0044665440773946</v>
      </c>
      <c r="D367" s="1014">
        <v>0.99378737877875456</v>
      </c>
      <c r="E367" s="1014">
        <v>1.0394336219507587</v>
      </c>
      <c r="F367" s="1014">
        <v>0.99936624565208754</v>
      </c>
      <c r="G367" s="1014">
        <v>1.0051468726156036</v>
      </c>
      <c r="H367" s="1014">
        <v>1.0139927847579948</v>
      </c>
      <c r="I367" s="1014">
        <v>1.0024808016335329</v>
      </c>
      <c r="K367">
        <v>2.4246556386814158</v>
      </c>
      <c r="L367">
        <v>0</v>
      </c>
      <c r="M367">
        <v>1.5289430051579208E-3</v>
      </c>
      <c r="N367">
        <v>0.15675447320361463</v>
      </c>
      <c r="O367">
        <v>2.0947111661143172E-2</v>
      </c>
      <c r="P367">
        <v>2.9344549255528363E-2</v>
      </c>
      <c r="Q367">
        <v>5.7006318647359975E-3</v>
      </c>
      <c r="R367">
        <v>1.5090398169363187E-3</v>
      </c>
      <c r="S367">
        <v>0.26043145003532897</v>
      </c>
      <c r="T367">
        <v>1.3716249406421424</v>
      </c>
      <c r="U367">
        <v>0.21116540130735126</v>
      </c>
      <c r="V367">
        <v>0.2459930654556497</v>
      </c>
      <c r="W367">
        <v>0.10062783567920945</v>
      </c>
      <c r="X367">
        <v>1.7978973838076364E-2</v>
      </c>
      <c r="Y367">
        <v>4.1071089268587E-3</v>
      </c>
    </row>
    <row r="368" spans="1:25">
      <c r="A368" s="1010"/>
      <c r="B368" s="1351">
        <v>118</v>
      </c>
      <c r="C368" s="1014">
        <v>0.99475482592032527</v>
      </c>
      <c r="D368" s="1014">
        <v>0.99300092677510454</v>
      </c>
      <c r="E368" s="1014">
        <v>0.96512218735258393</v>
      </c>
      <c r="F368" s="1014">
        <v>0.99712194438956447</v>
      </c>
      <c r="G368" s="1014">
        <v>1.030663851989593</v>
      </c>
      <c r="H368" s="1014">
        <v>1.0365174832779995</v>
      </c>
      <c r="I368" s="1014">
        <v>0.98418051441128429</v>
      </c>
      <c r="K368">
        <v>2.4171655288079781</v>
      </c>
      <c r="L368">
        <v>0</v>
      </c>
      <c r="M368">
        <v>1.8415897679398639E-3</v>
      </c>
      <c r="N368">
        <v>0.150889230351507</v>
      </c>
      <c r="O368">
        <v>2.1105632274051867E-2</v>
      </c>
      <c r="P368">
        <v>2.7785914719763674E-2</v>
      </c>
      <c r="Q368">
        <v>5.3308256569713688E-3</v>
      </c>
      <c r="R368">
        <v>1.8181376278457221E-3</v>
      </c>
      <c r="S368">
        <v>0.25956588423591526</v>
      </c>
      <c r="T368">
        <v>1.366941486308195</v>
      </c>
      <c r="U368">
        <v>0.21297157290891788</v>
      </c>
      <c r="V368">
        <v>0.25122885196257727</v>
      </c>
      <c r="W368">
        <v>0.10122942080763331</v>
      </c>
      <c r="X368">
        <v>1.5191790448451233E-2</v>
      </c>
      <c r="Y368">
        <v>4.9483712740881125E-3</v>
      </c>
    </row>
    <row r="369" spans="1:25">
      <c r="A369" s="1010"/>
      <c r="B369" s="1351">
        <v>119</v>
      </c>
      <c r="C369" s="1014">
        <v>1.0308179280236685</v>
      </c>
      <c r="D369" s="1014">
        <v>0.97880501436023482</v>
      </c>
      <c r="E369" s="1014">
        <v>0.98204604371150916</v>
      </c>
      <c r="F369" s="1014">
        <v>1.0173575744991326</v>
      </c>
      <c r="G369" s="1014">
        <v>0.96152078044926304</v>
      </c>
      <c r="H369" s="1014">
        <v>0.99881547876899479</v>
      </c>
      <c r="I369" s="1014">
        <v>0.98214254574410431</v>
      </c>
      <c r="K369">
        <v>2.3984033689568496</v>
      </c>
      <c r="L369">
        <v>0</v>
      </c>
      <c r="M369">
        <v>1.6589334251397236E-3</v>
      </c>
      <c r="N369">
        <v>0.14299857710174407</v>
      </c>
      <c r="O369">
        <v>2.0442775720584616E-2</v>
      </c>
      <c r="P369">
        <v>2.8092246423526944E-2</v>
      </c>
      <c r="Q369">
        <v>5.253312277740012E-3</v>
      </c>
      <c r="R369">
        <v>1.6370099239655792E-3</v>
      </c>
      <c r="S369">
        <v>0.2488358178428702</v>
      </c>
      <c r="T369">
        <v>1.3950525897857748</v>
      </c>
      <c r="U369">
        <v>0.20557665519994509</v>
      </c>
      <c r="V369">
        <v>0.23715675981668174</v>
      </c>
      <c r="W369">
        <v>9.4955358462860004E-2</v>
      </c>
      <c r="X369">
        <v>1.5605798453436437E-2</v>
      </c>
      <c r="Y369">
        <v>4.4554013728579037E-3</v>
      </c>
    </row>
    <row r="370" spans="1:25">
      <c r="A370" s="1010"/>
      <c r="B370" s="1351">
        <v>120</v>
      </c>
      <c r="C370" s="1014">
        <v>0.99673882823110893</v>
      </c>
      <c r="D370" s="1014">
        <v>1.0095486915959953</v>
      </c>
      <c r="E370" s="1014">
        <v>1.0038459578795791</v>
      </c>
      <c r="F370" s="1014">
        <v>1.035631143329975</v>
      </c>
      <c r="G370" s="1014">
        <v>1.0006872111560539</v>
      </c>
      <c r="H370" s="1014">
        <v>1.0373732059834322</v>
      </c>
      <c r="I370" s="1014">
        <v>1.0003331230779762</v>
      </c>
      <c r="K370">
        <v>2.4758576027869781</v>
      </c>
      <c r="L370">
        <v>0</v>
      </c>
      <c r="M370">
        <v>1.6916381656963148E-3</v>
      </c>
      <c r="N370">
        <v>0.15582775035693416</v>
      </c>
      <c r="O370">
        <v>2.101284025786565E-2</v>
      </c>
      <c r="P370">
        <v>2.9294815137760621E-2</v>
      </c>
      <c r="Q370">
        <v>5.5199110381809269E-3</v>
      </c>
      <c r="R370">
        <v>1.6701133884017081E-3</v>
      </c>
      <c r="S370">
        <v>0.26153780088447132</v>
      </c>
      <c r="T370">
        <v>1.4205978296550776</v>
      </c>
      <c r="U370">
        <v>0.21268012168312844</v>
      </c>
      <c r="V370">
        <v>0.24583886220761608</v>
      </c>
      <c r="W370">
        <v>0.10213486411663436</v>
      </c>
      <c r="X370">
        <v>1.6888834136105226E-2</v>
      </c>
      <c r="Y370">
        <v>4.5454980904989272E-3</v>
      </c>
    </row>
    <row r="371" spans="1:25">
      <c r="A371" s="1010"/>
      <c r="B371" s="1351">
        <v>121</v>
      </c>
      <c r="C371" s="1014">
        <v>1.0071367485410303</v>
      </c>
      <c r="D371" s="1014">
        <v>0.98416976862963568</v>
      </c>
      <c r="E371" s="1014">
        <v>1.0242233828689216</v>
      </c>
      <c r="F371" s="1014">
        <v>0.97565559289921577</v>
      </c>
      <c r="G371" s="1014">
        <v>1.0425409348483854</v>
      </c>
      <c r="H371" s="1014">
        <v>0.96910476253030686</v>
      </c>
      <c r="I371" s="1014">
        <v>1.0081001683002659</v>
      </c>
      <c r="K371">
        <v>2.3795234442435369</v>
      </c>
      <c r="L371">
        <v>0</v>
      </c>
      <c r="M371">
        <v>1.5075507360905762E-3</v>
      </c>
      <c r="N371">
        <v>0.14754497322292737</v>
      </c>
      <c r="O371">
        <v>2.0926213160757507E-2</v>
      </c>
      <c r="P371">
        <v>2.8618182407599987E-2</v>
      </c>
      <c r="Q371">
        <v>5.6100272693793644E-3</v>
      </c>
      <c r="R371">
        <v>1.4870170259253764E-3</v>
      </c>
      <c r="S371">
        <v>0.25850734805128389</v>
      </c>
      <c r="T371">
        <v>1.3387592505721082</v>
      </c>
      <c r="U371">
        <v>0.21055367143733916</v>
      </c>
      <c r="V371">
        <v>0.25226297629700023</v>
      </c>
      <c r="W371">
        <v>9.5554600365670414E-2</v>
      </c>
      <c r="X371">
        <v>1.7159565020098536E-2</v>
      </c>
      <c r="Y371">
        <v>4.047170149538021E-3</v>
      </c>
    </row>
    <row r="372" spans="1:25">
      <c r="A372" s="1010"/>
      <c r="B372" s="1351">
        <v>122</v>
      </c>
      <c r="C372" s="1014">
        <v>1.0032168224192446</v>
      </c>
      <c r="D372" s="1014">
        <v>0.96891888467051979</v>
      </c>
      <c r="E372" s="1014">
        <v>1.002390877945337</v>
      </c>
      <c r="F372" s="1014">
        <v>0.96687093324218421</v>
      </c>
      <c r="G372" s="1014">
        <v>1.015483053992202</v>
      </c>
      <c r="H372" s="1014">
        <v>1.0092977484591488</v>
      </c>
      <c r="I372" s="1014">
        <v>1.0079670074121589</v>
      </c>
      <c r="K372">
        <v>2.3770469129288361</v>
      </c>
      <c r="L372">
        <v>0</v>
      </c>
      <c r="M372">
        <v>1.6550630635290284E-3</v>
      </c>
      <c r="N372">
        <v>0.15173556181842898</v>
      </c>
      <c r="O372">
        <v>2.1065710116940053E-2</v>
      </c>
      <c r="P372">
        <v>2.8028503833868158E-2</v>
      </c>
      <c r="Q372">
        <v>5.525725565034903E-3</v>
      </c>
      <c r="R372">
        <v>1.6334178706323491E-3</v>
      </c>
      <c r="S372">
        <v>0.26482345413579383</v>
      </c>
      <c r="T372">
        <v>1.3262475022832039</v>
      </c>
      <c r="U372">
        <v>0.21130183855893858</v>
      </c>
      <c r="V372">
        <v>0.24796636800214153</v>
      </c>
      <c r="W372">
        <v>9.9538537351079495E-2</v>
      </c>
      <c r="X372">
        <v>1.6389731468495476E-2</v>
      </c>
      <c r="Y372">
        <v>4.4456249878049138E-3</v>
      </c>
    </row>
    <row r="373" spans="1:25">
      <c r="A373" s="1010"/>
      <c r="B373" s="1351">
        <v>123</v>
      </c>
      <c r="C373" s="1014">
        <v>1.004650325674483</v>
      </c>
      <c r="D373" s="1014">
        <v>0.98203585109952163</v>
      </c>
      <c r="E373" s="1014">
        <v>0.99837258227416825</v>
      </c>
      <c r="F373" s="1014">
        <v>1.0071630362725159</v>
      </c>
      <c r="G373" s="1014">
        <v>0.98231953330567268</v>
      </c>
      <c r="H373" s="1014">
        <v>0.98000303690249579</v>
      </c>
      <c r="I373" s="1014">
        <v>1.0370080275845774</v>
      </c>
      <c r="K373">
        <v>2.4202168285851267</v>
      </c>
      <c r="L373">
        <v>0</v>
      </c>
      <c r="M373">
        <v>1.6133845452067901E-3</v>
      </c>
      <c r="N373">
        <v>0.14607180972334041</v>
      </c>
      <c r="O373">
        <v>2.0970848577495354E-2</v>
      </c>
      <c r="P373">
        <v>2.8652364260389734E-2</v>
      </c>
      <c r="Q373">
        <v>5.4786735144753667E-3</v>
      </c>
      <c r="R373">
        <v>1.5916536964418759E-3</v>
      </c>
      <c r="S373">
        <v>0.26761351607921996</v>
      </c>
      <c r="T373">
        <v>1.3814282520271834</v>
      </c>
      <c r="U373">
        <v>0.21098666604799218</v>
      </c>
      <c r="V373">
        <v>0.24222870198604909</v>
      </c>
      <c r="W373">
        <v>9.6052170162695516E-2</v>
      </c>
      <c r="X373">
        <v>1.6423600381831594E-2</v>
      </c>
      <c r="Y373">
        <v>4.3319566732147674E-3</v>
      </c>
    </row>
    <row r="374" spans="1:25">
      <c r="A374" s="1010"/>
      <c r="B374" s="1351">
        <v>124</v>
      </c>
      <c r="C374" s="1014">
        <v>0.96944382243159399</v>
      </c>
      <c r="D374" s="1014">
        <v>0.98607210465126305</v>
      </c>
      <c r="E374" s="1014">
        <v>1.0230758113562304</v>
      </c>
      <c r="F374" s="1014">
        <v>1.0302391900070225</v>
      </c>
      <c r="G374" s="1014">
        <v>1.0005379052098533</v>
      </c>
      <c r="H374" s="1014">
        <v>0.98028225715941486</v>
      </c>
      <c r="I374" s="1014">
        <v>1.0077672780626497</v>
      </c>
      <c r="K374">
        <v>2.4837150442780001</v>
      </c>
      <c r="L374">
        <v>0</v>
      </c>
      <c r="M374">
        <v>1.5873444630104883E-3</v>
      </c>
      <c r="N374">
        <v>0.1548420535868866</v>
      </c>
      <c r="O374">
        <v>2.1729820065626845E-2</v>
      </c>
      <c r="P374">
        <v>2.9829396543279239E-2</v>
      </c>
      <c r="Q374">
        <v>5.8188342433342557E-3</v>
      </c>
      <c r="R374">
        <v>1.5659704407322784E-3</v>
      </c>
      <c r="S374">
        <v>0.26919010309163693</v>
      </c>
      <c r="T374">
        <v>1.4136311956198135</v>
      </c>
      <c r="U374">
        <v>0.2187361437249685</v>
      </c>
      <c r="V374">
        <v>0.24750856230565835</v>
      </c>
      <c r="W374">
        <v>0.10034756787759397</v>
      </c>
      <c r="X374">
        <v>1.7840685923820623E-2</v>
      </c>
      <c r="Y374">
        <v>4.2620553176562137E-3</v>
      </c>
    </row>
    <row r="375" spans="1:25">
      <c r="A375" s="1010"/>
      <c r="B375" s="1351">
        <v>125</v>
      </c>
      <c r="C375" s="1014">
        <v>0.95588279457781788</v>
      </c>
      <c r="D375" s="1014">
        <v>0.97638422790641544</v>
      </c>
      <c r="E375" s="1014">
        <v>0.9901472152270353</v>
      </c>
      <c r="F375" s="1014">
        <v>1.0066867737494485</v>
      </c>
      <c r="G375" s="1014">
        <v>1.015970272407531</v>
      </c>
      <c r="H375" s="1014">
        <v>0.9612169109128933</v>
      </c>
      <c r="I375" s="1014">
        <v>0.98248710747205414</v>
      </c>
      <c r="K375">
        <v>2.444931092549405</v>
      </c>
      <c r="L375">
        <v>0</v>
      </c>
      <c r="M375">
        <v>1.69393554494468E-3</v>
      </c>
      <c r="N375">
        <v>0.14955896966685026</v>
      </c>
      <c r="O375">
        <v>2.2063014321118953E-2</v>
      </c>
      <c r="P375">
        <v>2.8703504177951422E-2</v>
      </c>
      <c r="Q375">
        <v>5.7163931632826627E-3</v>
      </c>
      <c r="R375">
        <v>1.6706738317518982E-3</v>
      </c>
      <c r="S375">
        <v>0.26553731114260876</v>
      </c>
      <c r="T375">
        <v>1.3805961273128013</v>
      </c>
      <c r="U375">
        <v>0.22172146337929416</v>
      </c>
      <c r="V375">
        <v>0.25117384533369203</v>
      </c>
      <c r="W375">
        <v>9.8829370395940266E-2</v>
      </c>
      <c r="X375">
        <v>1.650733193650681E-2</v>
      </c>
      <c r="Y375">
        <v>4.5470234325480424E-3</v>
      </c>
    </row>
    <row r="376" spans="1:25">
      <c r="A376" s="1010"/>
      <c r="B376" s="1351">
        <v>126</v>
      </c>
      <c r="C376" s="1014">
        <v>1.0257077854586383</v>
      </c>
      <c r="D376" s="1014">
        <v>0.97922966052254601</v>
      </c>
      <c r="E376" s="1014">
        <v>0.98404266328890067</v>
      </c>
      <c r="F376" s="1014">
        <v>0.97545302701821079</v>
      </c>
      <c r="G376" s="1014">
        <v>0.99336595536924321</v>
      </c>
      <c r="H376" s="1014">
        <v>0.98222881290030495</v>
      </c>
      <c r="I376" s="1014">
        <v>1.0378803679331579</v>
      </c>
      <c r="K376">
        <v>2.3587163682095746</v>
      </c>
      <c r="L376">
        <v>0</v>
      </c>
      <c r="M376">
        <v>1.6325983094511681E-3</v>
      </c>
      <c r="N376">
        <v>0.14154903005355898</v>
      </c>
      <c r="O376">
        <v>2.0543956946330325E-2</v>
      </c>
      <c r="P376">
        <v>2.7639928754867885E-2</v>
      </c>
      <c r="Q376">
        <v>5.2900198153890358E-3</v>
      </c>
      <c r="R376">
        <v>1.6106584979887534E-3</v>
      </c>
      <c r="S376">
        <v>0.2627929815334743</v>
      </c>
      <c r="T376">
        <v>1.3376329138860192</v>
      </c>
      <c r="U376">
        <v>0.20660748719456762</v>
      </c>
      <c r="V376">
        <v>0.24289195450330042</v>
      </c>
      <c r="W376">
        <v>9.3879838313303265E-2</v>
      </c>
      <c r="X376">
        <v>1.5526515542131303E-2</v>
      </c>
      <c r="Y376">
        <v>4.3836814780942217E-3</v>
      </c>
    </row>
    <row r="377" spans="1:25">
      <c r="A377" s="1010"/>
      <c r="B377" s="1351">
        <v>127</v>
      </c>
      <c r="C377" s="1014">
        <v>1.0024588039943911</v>
      </c>
      <c r="D377" s="1014">
        <v>0.97932153060617055</v>
      </c>
      <c r="E377" s="1014">
        <v>0.99077730833102651</v>
      </c>
      <c r="F377" s="1014">
        <v>0.99487360253281321</v>
      </c>
      <c r="G377" s="1014">
        <v>0.98847787662101949</v>
      </c>
      <c r="H377" s="1014">
        <v>1.0219719223882575</v>
      </c>
      <c r="I377" s="1014">
        <v>0.99555998324479567</v>
      </c>
      <c r="K377">
        <v>2.4079287184419464</v>
      </c>
      <c r="L377">
        <v>0</v>
      </c>
      <c r="M377">
        <v>1.7139524617389549E-3</v>
      </c>
      <c r="N377">
        <v>0.1517403257510643</v>
      </c>
      <c r="O377">
        <v>2.1024447916540952E-2</v>
      </c>
      <c r="P377">
        <v>2.8196483607639607E-2</v>
      </c>
      <c r="Q377">
        <v>5.4507763840881641E-3</v>
      </c>
      <c r="R377">
        <v>1.6918150916103124E-3</v>
      </c>
      <c r="S377">
        <v>0.26133816353472211</v>
      </c>
      <c r="T377">
        <v>1.3644087721723044</v>
      </c>
      <c r="U377">
        <v>0.21142203723097772</v>
      </c>
      <c r="V377">
        <v>0.24344315089929131</v>
      </c>
      <c r="W377">
        <v>0.10023299455032933</v>
      </c>
      <c r="X377">
        <v>1.6089140792446416E-2</v>
      </c>
      <c r="Y377">
        <v>4.6045629726682085E-3</v>
      </c>
    </row>
    <row r="378" spans="1:25">
      <c r="A378" s="1010"/>
      <c r="B378" s="1351">
        <v>128</v>
      </c>
      <c r="C378" s="1014">
        <v>1.002511589216639</v>
      </c>
      <c r="D378" s="1014">
        <v>1.0405361433659512</v>
      </c>
      <c r="E378" s="1014">
        <v>0.99322178922724669</v>
      </c>
      <c r="F378" s="1014">
        <v>0.98351657722841956</v>
      </c>
      <c r="G378" s="1014">
        <v>1.0061324528741897</v>
      </c>
      <c r="H378" s="1014">
        <v>0.99268134346942838</v>
      </c>
      <c r="I378" s="1014">
        <v>0.96617163030357656</v>
      </c>
      <c r="K378">
        <v>2.3665634264353987</v>
      </c>
      <c r="L378">
        <v>0</v>
      </c>
      <c r="M378">
        <v>1.634385132914975E-3</v>
      </c>
      <c r="N378">
        <v>0.14571297164683367</v>
      </c>
      <c r="O378">
        <v>2.0746376849612499E-2</v>
      </c>
      <c r="P378">
        <v>2.7838895075326216E-2</v>
      </c>
      <c r="Q378">
        <v>5.3919752676814345E-3</v>
      </c>
      <c r="R378">
        <v>1.6126525791999673E-3</v>
      </c>
      <c r="S378">
        <v>0.24371248050444835</v>
      </c>
      <c r="T378">
        <v>1.3488852150132324</v>
      </c>
      <c r="U378">
        <v>0.2114192295489985</v>
      </c>
      <c r="V378">
        <v>0.24644663779946627</v>
      </c>
      <c r="W378">
        <v>9.6110964560401191E-2</v>
      </c>
      <c r="X378">
        <v>1.5931304013308202E-2</v>
      </c>
      <c r="Y378">
        <v>4.3891087098024504E-3</v>
      </c>
    </row>
    <row r="379" spans="1:25">
      <c r="A379" s="1010"/>
      <c r="B379" s="1351">
        <v>129</v>
      </c>
      <c r="C379" s="1014">
        <v>1.0201875972132801</v>
      </c>
      <c r="D379" s="1014">
        <v>0.99957604972806746</v>
      </c>
      <c r="E379" s="1014">
        <v>0.97010130210629653</v>
      </c>
      <c r="F379" s="1014">
        <v>0.97199836083616586</v>
      </c>
      <c r="G379" s="1014">
        <v>0.98284928940451211</v>
      </c>
      <c r="H379" s="1014">
        <v>1.0097497266936313</v>
      </c>
      <c r="I379" s="1014">
        <v>1.0097120968332154</v>
      </c>
      <c r="K379">
        <v>2.3508376175128385</v>
      </c>
      <c r="L379">
        <v>0</v>
      </c>
      <c r="M379">
        <v>1.728912411701467E-3</v>
      </c>
      <c r="N379">
        <v>0.14376013565946522</v>
      </c>
      <c r="O379">
        <v>2.0552843538313138E-2</v>
      </c>
      <c r="P379">
        <v>2.7193895529879102E-2</v>
      </c>
      <c r="Q379">
        <v>5.2177241806547524E-3</v>
      </c>
      <c r="R379">
        <v>1.7063115256241996E-3</v>
      </c>
      <c r="S379">
        <v>0.2565977622833554</v>
      </c>
      <c r="T379">
        <v>1.3326038578368129</v>
      </c>
      <c r="U379">
        <v>0.20767889190294753</v>
      </c>
      <c r="V379">
        <v>0.24147452488099203</v>
      </c>
      <c r="W379">
        <v>9.615422515143246E-2</v>
      </c>
      <c r="X379">
        <v>1.4982339947757972E-2</v>
      </c>
      <c r="Y379">
        <v>4.6440174873058201E-3</v>
      </c>
    </row>
    <row r="380" spans="1:25">
      <c r="A380" s="1010"/>
      <c r="B380" s="1351">
        <v>130</v>
      </c>
      <c r="C380" s="1014">
        <v>0.99765432690139155</v>
      </c>
      <c r="D380" s="1014">
        <v>1.0234308079910892</v>
      </c>
      <c r="E380" s="1014">
        <v>0.97704850038497759</v>
      </c>
      <c r="F380" s="1014">
        <v>1.0105809456709414</v>
      </c>
      <c r="G380" s="1014">
        <v>1.0055834836513997</v>
      </c>
      <c r="H380" s="1014">
        <v>1.0046901855058672</v>
      </c>
      <c r="I380" s="1014">
        <v>0.9993563546655444</v>
      </c>
      <c r="K380">
        <v>2.4197691705842002</v>
      </c>
      <c r="L380">
        <v>0</v>
      </c>
      <c r="M380">
        <v>1.7250656489150736E-3</v>
      </c>
      <c r="N380">
        <v>0.1464789659533221</v>
      </c>
      <c r="O380">
        <v>2.0912866835253358E-2</v>
      </c>
      <c r="P380">
        <v>2.817941085495659E-2</v>
      </c>
      <c r="Q380">
        <v>5.3468792122304629E-3</v>
      </c>
      <c r="R380">
        <v>1.7024014858715434E-3</v>
      </c>
      <c r="S380">
        <v>0.25629465055243267</v>
      </c>
      <c r="T380">
        <v>1.3856513597498255</v>
      </c>
      <c r="U380">
        <v>0.21239328038520147</v>
      </c>
      <c r="V380">
        <v>0.24671509989470361</v>
      </c>
      <c r="W380">
        <v>9.7560505074479831E-2</v>
      </c>
      <c r="X380">
        <v>1.562544058679384E-2</v>
      </c>
      <c r="Y380">
        <v>4.6333756480433485E-3</v>
      </c>
    </row>
    <row r="381" spans="1:25">
      <c r="A381" s="1010"/>
      <c r="B381" s="1351">
        <v>131</v>
      </c>
      <c r="C381" s="1014">
        <v>0.99769615444090198</v>
      </c>
      <c r="D381" s="1014">
        <v>0.97794750476945336</v>
      </c>
      <c r="E381" s="1014">
        <v>1.0021172751085956</v>
      </c>
      <c r="F381" s="1014">
        <v>0.97180774896467448</v>
      </c>
      <c r="G381" s="1014">
        <v>1.0037768012674557</v>
      </c>
      <c r="H381" s="1014">
        <v>0.9944811753055296</v>
      </c>
      <c r="I381" s="1014">
        <v>0.97088649032973051</v>
      </c>
      <c r="K381">
        <v>2.3695942293335306</v>
      </c>
      <c r="L381">
        <v>0</v>
      </c>
      <c r="M381">
        <v>1.6373770298381239E-3</v>
      </c>
      <c r="N381">
        <v>0.14996048567982995</v>
      </c>
      <c r="O381">
        <v>2.1138913688800508E-2</v>
      </c>
      <c r="P381">
        <v>2.7961564428776241E-2</v>
      </c>
      <c r="Q381">
        <v>5.5434046660478636E-3</v>
      </c>
      <c r="R381">
        <v>1.6156440966328116E-3</v>
      </c>
      <c r="S381">
        <v>0.25406315436134752</v>
      </c>
      <c r="T381">
        <v>1.333013531300042</v>
      </c>
      <c r="U381">
        <v>0.21247012182919151</v>
      </c>
      <c r="V381">
        <v>0.24631255158068205</v>
      </c>
      <c r="W381">
        <v>9.8390057218268961E-2</v>
      </c>
      <c r="X381">
        <v>1.6364926879646659E-2</v>
      </c>
      <c r="Y381">
        <v>4.3972506341011987E-3</v>
      </c>
    </row>
    <row r="382" spans="1:25">
      <c r="A382" s="1010"/>
      <c r="B382" s="1351">
        <v>132</v>
      </c>
      <c r="C382" s="1014">
        <v>1.0226992071286864</v>
      </c>
      <c r="D382" s="1014">
        <v>1.0201169893078417</v>
      </c>
      <c r="E382" s="1014">
        <v>1.003249024030394</v>
      </c>
      <c r="F382" s="1014">
        <v>0.99867858407980226</v>
      </c>
      <c r="G382" s="1014">
        <v>1.0079380768077588</v>
      </c>
      <c r="H382" s="1014">
        <v>1.0024297939621609</v>
      </c>
      <c r="I382" s="1014">
        <v>1.021242022470114</v>
      </c>
      <c r="K382">
        <v>2.3956008727222988</v>
      </c>
      <c r="L382">
        <v>0</v>
      </c>
      <c r="M382">
        <v>1.5914863745430737E-3</v>
      </c>
      <c r="N382">
        <v>0.14627229039881309</v>
      </c>
      <c r="O382">
        <v>2.0432194671414852E-2</v>
      </c>
      <c r="P382">
        <v>2.8432856379224158E-2</v>
      </c>
      <c r="Q382">
        <v>5.3641666333407523E-3</v>
      </c>
      <c r="R382">
        <v>1.5705300470363844E-3</v>
      </c>
      <c r="S382">
        <v>0.25592692490926106</v>
      </c>
      <c r="T382">
        <v>1.369896295312969</v>
      </c>
      <c r="U382">
        <v>0.20727941530441082</v>
      </c>
      <c r="V382">
        <v>0.24549003878396342</v>
      </c>
      <c r="W382">
        <v>9.5905811986387285E-2</v>
      </c>
      <c r="X382">
        <v>1.6347369607076698E-2</v>
      </c>
      <c r="Y382">
        <v>4.2744650629421748E-3</v>
      </c>
    </row>
    <row r="383" spans="1:25">
      <c r="A383" s="1010"/>
      <c r="B383" s="1351">
        <v>133</v>
      </c>
      <c r="C383" s="1014">
        <v>1.0140160536791332</v>
      </c>
      <c r="D383" s="1014">
        <v>1.0255381625215303</v>
      </c>
      <c r="E383" s="1014">
        <v>1.0255864121059899</v>
      </c>
      <c r="F383" s="1014">
        <v>1.012814533711365</v>
      </c>
      <c r="G383" s="1014">
        <v>1.0412366974419258</v>
      </c>
      <c r="H383" s="1014">
        <v>0.9694164032005409</v>
      </c>
      <c r="I383" s="1014">
        <v>1.0223668323364792</v>
      </c>
      <c r="K383">
        <v>2.421866169359137</v>
      </c>
      <c r="L383">
        <v>0</v>
      </c>
      <c r="M383">
        <v>1.4800916858407958E-3</v>
      </c>
      <c r="N383">
        <v>0.1454548440632164</v>
      </c>
      <c r="O383">
        <v>2.0597714613161514E-2</v>
      </c>
      <c r="P383">
        <v>2.9279687583005261E-2</v>
      </c>
      <c r="Q383">
        <v>5.5294287719943862E-3</v>
      </c>
      <c r="R383">
        <v>1.4599384645597071E-3</v>
      </c>
      <c r="S383">
        <v>0.25508645273996472</v>
      </c>
      <c r="T383">
        <v>1.3897774058659045</v>
      </c>
      <c r="U383">
        <v>0.20912984171799645</v>
      </c>
      <c r="V383">
        <v>0.25161490120120678</v>
      </c>
      <c r="W383">
        <v>9.4126167995987511E-2</v>
      </c>
      <c r="X383">
        <v>1.731640679603353E-2</v>
      </c>
      <c r="Y383">
        <v>3.9734712319460259E-3</v>
      </c>
    </row>
    <row r="384" spans="1:25">
      <c r="A384" s="1010"/>
      <c r="B384" s="1351">
        <v>134</v>
      </c>
      <c r="C384" s="1014">
        <v>1.010094908852381</v>
      </c>
      <c r="D384" s="1014">
        <v>1.0153562876922313</v>
      </c>
      <c r="E384" s="1014">
        <v>1.0254325307439054</v>
      </c>
      <c r="F384" s="1014">
        <v>1.0325149230360997</v>
      </c>
      <c r="G384" s="1014">
        <v>1.0394717317928504</v>
      </c>
      <c r="H384" s="1014">
        <v>1.0087839216214032</v>
      </c>
      <c r="I384" s="1014">
        <v>0.96155603252184774</v>
      </c>
      <c r="K384">
        <v>2.451930195458297</v>
      </c>
      <c r="L384">
        <v>0</v>
      </c>
      <c r="M384">
        <v>1.550070891064205E-3</v>
      </c>
      <c r="N384">
        <v>0.1523433473879274</v>
      </c>
      <c r="O384">
        <v>2.0723013270985319E-2</v>
      </c>
      <c r="P384">
        <v>2.9525596993095513E-2</v>
      </c>
      <c r="Q384">
        <v>5.5622166287928876E-3</v>
      </c>
      <c r="R384">
        <v>1.5297884778010921E-3</v>
      </c>
      <c r="S384">
        <v>0.24523083292932446</v>
      </c>
      <c r="T384">
        <v>1.416806696286975</v>
      </c>
      <c r="U384">
        <v>0.20994115197483346</v>
      </c>
      <c r="V384">
        <v>0.25155323798243473</v>
      </c>
      <c r="W384">
        <v>9.8592666673399235E-2</v>
      </c>
      <c r="X384">
        <v>1.750813780185325E-2</v>
      </c>
      <c r="Y384">
        <v>4.1635799419383977E-3</v>
      </c>
    </row>
    <row r="385" spans="1:25">
      <c r="A385" s="1010"/>
      <c r="B385" s="1351">
        <v>135</v>
      </c>
      <c r="C385" s="1014">
        <v>1.0039134883100036</v>
      </c>
      <c r="D385" s="1014">
        <v>1.0158362183647385</v>
      </c>
      <c r="E385" s="1014">
        <v>1.0010486426467067</v>
      </c>
      <c r="F385" s="1014">
        <v>1.0403474799223957</v>
      </c>
      <c r="G385" s="1014">
        <v>0.99493408868001731</v>
      </c>
      <c r="H385" s="1014">
        <v>0.96901430341305272</v>
      </c>
      <c r="I385" s="1014">
        <v>0.98380697159119967</v>
      </c>
      <c r="K385">
        <v>2.4459039284838324</v>
      </c>
      <c r="L385">
        <v>0</v>
      </c>
      <c r="M385">
        <v>1.5758520996049913E-3</v>
      </c>
      <c r="N385">
        <v>0.14380965766696693</v>
      </c>
      <c r="O385">
        <v>2.0832347009959364E-2</v>
      </c>
      <c r="P385">
        <v>2.910843474143246E-2</v>
      </c>
      <c r="Q385">
        <v>5.4571516445706724E-3</v>
      </c>
      <c r="R385">
        <v>1.5543860817894618E-3</v>
      </c>
      <c r="S385">
        <v>0.24889231671390888</v>
      </c>
      <c r="T385">
        <v>1.4270043583194485</v>
      </c>
      <c r="U385">
        <v>0.21115063420406963</v>
      </c>
      <c r="V385">
        <v>0.24441904625130151</v>
      </c>
      <c r="W385">
        <v>9.4414330783177958E-2</v>
      </c>
      <c r="X385">
        <v>1.6606590655412385E-2</v>
      </c>
      <c r="Y385">
        <v>4.2305265113967653E-3</v>
      </c>
    </row>
    <row r="386" spans="1:25">
      <c r="A386" s="1010"/>
      <c r="B386" s="1351">
        <v>136</v>
      </c>
      <c r="C386" s="1014">
        <v>1.0327904261974514</v>
      </c>
      <c r="D386" s="1014">
        <v>0.99761852054297295</v>
      </c>
      <c r="E386" s="1014">
        <v>1.0151153637033055</v>
      </c>
      <c r="F386" s="1014">
        <v>1.0226943489591869</v>
      </c>
      <c r="G386" s="1014">
        <v>0.99651735380712303</v>
      </c>
      <c r="H386" s="1014">
        <v>1.0112404438869165</v>
      </c>
      <c r="I386" s="1014">
        <v>0.95485241081623051</v>
      </c>
      <c r="K386">
        <v>2.4124852851917327</v>
      </c>
      <c r="L386">
        <v>0</v>
      </c>
      <c r="M386">
        <v>1.5587083763428692E-3</v>
      </c>
      <c r="N386">
        <v>0.14850250913351953</v>
      </c>
      <c r="O386">
        <v>2.0339707536603521E-2</v>
      </c>
      <c r="P386">
        <v>2.8864024679449502E-2</v>
      </c>
      <c r="Q386">
        <v>5.4036338161250882E-3</v>
      </c>
      <c r="R386">
        <v>1.5383624879868928E-3</v>
      </c>
      <c r="S386">
        <v>0.24038915481830297</v>
      </c>
      <c r="T386">
        <v>1.4031018861281774</v>
      </c>
      <c r="U386">
        <v>0.20529345335960317</v>
      </c>
      <c r="V386">
        <v>0.24290145052360426</v>
      </c>
      <c r="W386">
        <v>9.6688716710393807E-2</v>
      </c>
      <c r="X386">
        <v>1.6834178803068502E-2</v>
      </c>
      <c r="Y386">
        <v>4.1869155712424486E-3</v>
      </c>
    </row>
    <row r="387" spans="1:25">
      <c r="A387" s="1010"/>
      <c r="B387" s="1351">
        <v>137</v>
      </c>
      <c r="C387" s="1014">
        <v>0.98731373181995163</v>
      </c>
      <c r="D387" s="1014">
        <v>1.0026924209493007</v>
      </c>
      <c r="E387" s="1014">
        <v>1.0320577213003015</v>
      </c>
      <c r="F387" s="1014">
        <v>0.98337280790331971</v>
      </c>
      <c r="G387" s="1014">
        <v>1.0351327919313487</v>
      </c>
      <c r="H387" s="1014">
        <v>1.0200108583967336</v>
      </c>
      <c r="I387" s="1014">
        <v>0.96806471702945229</v>
      </c>
      <c r="K387">
        <v>2.4111822011091215</v>
      </c>
      <c r="L387">
        <v>0</v>
      </c>
      <c r="M387">
        <v>1.5858783285692471E-3</v>
      </c>
      <c r="N387">
        <v>0.15903025268793733</v>
      </c>
      <c r="O387">
        <v>2.1264265090197791E-2</v>
      </c>
      <c r="P387">
        <v>2.8943978835789991E-2</v>
      </c>
      <c r="Q387">
        <v>5.7450271998478767E-3</v>
      </c>
      <c r="R387">
        <v>1.5653557802059567E-3</v>
      </c>
      <c r="S387">
        <v>0.25516416192882346</v>
      </c>
      <c r="T387">
        <v>1.3495160727743423</v>
      </c>
      <c r="U387">
        <v>0.21480834983011143</v>
      </c>
      <c r="V387">
        <v>0.25221462472362433</v>
      </c>
      <c r="W387">
        <v>0.1025248227813616</v>
      </c>
      <c r="X387">
        <v>1.7730785391121297E-2</v>
      </c>
      <c r="Y387">
        <v>4.2603824143263519E-3</v>
      </c>
    </row>
    <row r="388" spans="1:25">
      <c r="A388" s="1010"/>
      <c r="B388" s="1351">
        <v>138</v>
      </c>
      <c r="C388" s="1014">
        <v>1.0115274971376886</v>
      </c>
      <c r="D388" s="1014">
        <v>0.96095140822235825</v>
      </c>
      <c r="E388" s="1014">
        <v>1.0163783694059054</v>
      </c>
      <c r="F388" s="1014">
        <v>1.0134926348035711</v>
      </c>
      <c r="G388" s="1014">
        <v>1.0260595514187925</v>
      </c>
      <c r="H388" s="1014">
        <v>1.0276573925123984</v>
      </c>
      <c r="I388" s="1014">
        <v>0.9763687844868888</v>
      </c>
      <c r="K388">
        <v>2.4403692600651095</v>
      </c>
      <c r="L388">
        <v>0</v>
      </c>
      <c r="M388">
        <v>1.6264122346439933E-3</v>
      </c>
      <c r="N388">
        <v>0.15557742373110217</v>
      </c>
      <c r="O388">
        <v>2.0939893635068672E-2</v>
      </c>
      <c r="P388">
        <v>2.9094612167834266E-2</v>
      </c>
      <c r="Q388">
        <v>5.5700906276828013E-3</v>
      </c>
      <c r="R388">
        <v>1.6055217507267847E-3</v>
      </c>
      <c r="S388">
        <v>0.25711078502196916</v>
      </c>
      <c r="T388">
        <v>1.3905052184874314</v>
      </c>
      <c r="U388">
        <v>0.2096131261665615</v>
      </c>
      <c r="V388">
        <v>0.24920988025258281</v>
      </c>
      <c r="W388">
        <v>0.1012200606924674</v>
      </c>
      <c r="X388">
        <v>1.7179358820948142E-2</v>
      </c>
      <c r="Y388">
        <v>4.3697009453754218E-3</v>
      </c>
    </row>
    <row r="389" spans="1:25">
      <c r="A389" s="1010"/>
      <c r="B389" s="1351">
        <v>139</v>
      </c>
      <c r="C389" s="1014">
        <v>1.0385556203357251</v>
      </c>
      <c r="D389" s="1014">
        <v>0.99066172064607982</v>
      </c>
      <c r="E389" s="1014">
        <v>1.0135351809979072</v>
      </c>
      <c r="F389" s="1014">
        <v>1.0188977630487648</v>
      </c>
      <c r="G389" s="1014">
        <v>1.0161728399564673</v>
      </c>
      <c r="H389" s="1014">
        <v>0.99730604281323609</v>
      </c>
      <c r="I389" s="1014">
        <v>0.96190886982848189</v>
      </c>
      <c r="K389">
        <v>2.4042491472376097</v>
      </c>
      <c r="L389">
        <v>0</v>
      </c>
      <c r="M389">
        <v>1.5360897736828604E-3</v>
      </c>
      <c r="N389">
        <v>0.14562437877830686</v>
      </c>
      <c r="O389">
        <v>2.0256947953224032E-2</v>
      </c>
      <c r="P389">
        <v>2.878637482934138E-2</v>
      </c>
      <c r="Q389">
        <v>5.3731731666658037E-3</v>
      </c>
      <c r="R389">
        <v>1.5157589784714329E-3</v>
      </c>
      <c r="S389">
        <v>0.24055365311069485</v>
      </c>
      <c r="T389">
        <v>1.3978581779994512</v>
      </c>
      <c r="U389">
        <v>0.20414862305144546</v>
      </c>
      <c r="V389">
        <v>0.24592693953658448</v>
      </c>
      <c r="W389">
        <v>9.4902879103686166E-2</v>
      </c>
      <c r="X389">
        <v>1.6712934233831887E-2</v>
      </c>
      <c r="Y389">
        <v>4.1253962695862768E-3</v>
      </c>
    </row>
    <row r="390" spans="1:25">
      <c r="A390" s="1010"/>
      <c r="B390" s="1351">
        <v>140</v>
      </c>
      <c r="C390" s="1014">
        <v>1.0079821589738722</v>
      </c>
      <c r="D390" s="1014">
        <v>0.98539800208824802</v>
      </c>
      <c r="E390" s="1014">
        <v>1.005011226561183</v>
      </c>
      <c r="F390" s="1014">
        <v>0.9927394045380229</v>
      </c>
      <c r="G390" s="1014">
        <v>1.0066186897934544</v>
      </c>
      <c r="H390" s="1014">
        <v>1.0008353206219167</v>
      </c>
      <c r="I390" s="1014">
        <v>1.0046016746993507</v>
      </c>
      <c r="K390">
        <v>2.401253725623377</v>
      </c>
      <c r="L390">
        <v>0</v>
      </c>
      <c r="M390">
        <v>1.6185516791104014E-3</v>
      </c>
      <c r="N390">
        <v>0.14955052952404227</v>
      </c>
      <c r="O390">
        <v>2.0890206560566948E-2</v>
      </c>
      <c r="P390">
        <v>2.846229506269609E-2</v>
      </c>
      <c r="Q390">
        <v>5.4941118929765108E-3</v>
      </c>
      <c r="R390">
        <v>1.5972050076849282E-3</v>
      </c>
      <c r="S390">
        <v>0.25977462659989231</v>
      </c>
      <c r="T390">
        <v>1.3617873379260153</v>
      </c>
      <c r="U390">
        <v>0.21031177912855836</v>
      </c>
      <c r="V390">
        <v>0.24614919692612336</v>
      </c>
      <c r="W390">
        <v>9.795293169159465E-2</v>
      </c>
      <c r="X390">
        <v>1.6554991469905512E-2</v>
      </c>
      <c r="Y390">
        <v>4.3470655124290963E-3</v>
      </c>
    </row>
    <row r="391" spans="1:25">
      <c r="A391" s="1010"/>
      <c r="B391" s="1351">
        <v>141</v>
      </c>
      <c r="C391" s="1014">
        <v>0.98230748272774471</v>
      </c>
      <c r="D391" s="1014">
        <v>1.0209047957427981</v>
      </c>
      <c r="E391" s="1014">
        <v>1.0170892397688176</v>
      </c>
      <c r="F391" s="1014">
        <v>0.95646108045536349</v>
      </c>
      <c r="G391" s="1014">
        <v>0.99031234848928906</v>
      </c>
      <c r="H391" s="1014">
        <v>0.97923778637372916</v>
      </c>
      <c r="I391" s="1014">
        <v>1.001110768837568</v>
      </c>
      <c r="K391">
        <v>2.3570043090428854</v>
      </c>
      <c r="L391">
        <v>0</v>
      </c>
      <c r="M391">
        <v>1.5724476889570076E-3</v>
      </c>
      <c r="N391">
        <v>0.15064136094453184</v>
      </c>
      <c r="O391">
        <v>2.1278061312595214E-2</v>
      </c>
      <c r="P391">
        <v>2.8084925776286955E-2</v>
      </c>
      <c r="Q391">
        <v>5.6640531201322813E-3</v>
      </c>
      <c r="R391">
        <v>1.5512516718435901E-3</v>
      </c>
      <c r="S391">
        <v>0.25920954352441888</v>
      </c>
      <c r="T391">
        <v>1.3122730557219453</v>
      </c>
      <c r="U391">
        <v>0.21585082142157344</v>
      </c>
      <c r="V391">
        <v>0.24494093869184813</v>
      </c>
      <c r="W391">
        <v>9.7967756369663206E-2</v>
      </c>
      <c r="X391">
        <v>1.6892992496222815E-2</v>
      </c>
      <c r="Y391">
        <v>4.2219956807820628E-3</v>
      </c>
    </row>
    <row r="392" spans="1:25">
      <c r="A392" s="1010"/>
      <c r="B392" s="1351">
        <v>142</v>
      </c>
      <c r="C392" s="1014">
        <v>1.0037371851320565</v>
      </c>
      <c r="D392" s="1014">
        <v>1.0250715889923643</v>
      </c>
      <c r="E392" s="1014">
        <v>0.97589700620532382</v>
      </c>
      <c r="F392" s="1014">
        <v>1.0214453001167425</v>
      </c>
      <c r="G392" s="1014">
        <v>1.0102624591953895</v>
      </c>
      <c r="H392" s="1014">
        <v>0.97565765153480166</v>
      </c>
      <c r="I392" s="1014">
        <v>0.98529109618542554</v>
      </c>
      <c r="K392">
        <v>2.4168257730278069</v>
      </c>
      <c r="L392">
        <v>0</v>
      </c>
      <c r="M392">
        <v>1.6684432249921089E-3</v>
      </c>
      <c r="N392">
        <v>0.14112225300109404</v>
      </c>
      <c r="O392">
        <v>2.0778051838650526E-2</v>
      </c>
      <c r="P392">
        <v>2.8238425166843495E-2</v>
      </c>
      <c r="Q392">
        <v>5.3061844154356358E-3</v>
      </c>
      <c r="R392">
        <v>1.6458706972046749E-3</v>
      </c>
      <c r="S392">
        <v>0.24853776341791112</v>
      </c>
      <c r="T392">
        <v>1.4005226322628865</v>
      </c>
      <c r="U392">
        <v>0.21110222595358888</v>
      </c>
      <c r="V392">
        <v>0.24714007272978761</v>
      </c>
      <c r="W392">
        <v>9.4058291563289792E-2</v>
      </c>
      <c r="X392">
        <v>1.5562927729441905E-2</v>
      </c>
      <c r="Y392">
        <v>4.4795174766616083E-3</v>
      </c>
    </row>
    <row r="393" spans="1:25">
      <c r="A393" s="1010"/>
      <c r="B393" s="1351">
        <v>143</v>
      </c>
      <c r="C393" s="1014">
        <v>1.0226536005122908</v>
      </c>
      <c r="D393" s="1014">
        <v>1.0056845671986543</v>
      </c>
      <c r="E393" s="1014">
        <v>0.98358353216791083</v>
      </c>
      <c r="F393" s="1014">
        <v>0.99333035295629168</v>
      </c>
      <c r="G393" s="1014">
        <v>0.96462914981782688</v>
      </c>
      <c r="H393" s="1014">
        <v>1.021896318536238</v>
      </c>
      <c r="I393" s="1014">
        <v>1.0085614082038519</v>
      </c>
      <c r="K393">
        <v>2.3815260132954372</v>
      </c>
      <c r="L393">
        <v>0</v>
      </c>
      <c r="M393">
        <v>1.6952516697540925E-3</v>
      </c>
      <c r="N393">
        <v>0.14685480828445727</v>
      </c>
      <c r="O393">
        <v>2.0484525750437032E-2</v>
      </c>
      <c r="P393">
        <v>2.7814161685697131E-2</v>
      </c>
      <c r="Q393">
        <v>5.2722607120577122E-3</v>
      </c>
      <c r="R393">
        <v>1.6733542186812514E-3</v>
      </c>
      <c r="S393">
        <v>0.25603583962371224</v>
      </c>
      <c r="T393">
        <v>1.3621381530340515</v>
      </c>
      <c r="U393">
        <v>0.20722299583047618</v>
      </c>
      <c r="V393">
        <v>0.23816555781378179</v>
      </c>
      <c r="W393">
        <v>9.7425724452748233E-2</v>
      </c>
      <c r="X393">
        <v>1.5579564996910256E-2</v>
      </c>
      <c r="Y393">
        <v>4.5543185621804297E-3</v>
      </c>
    </row>
    <row r="394" spans="1:25">
      <c r="A394" s="1010"/>
      <c r="B394" s="1351">
        <v>144</v>
      </c>
      <c r="C394" s="1014">
        <v>0.99969375161322171</v>
      </c>
      <c r="D394" s="1014">
        <v>0.98315499046509258</v>
      </c>
      <c r="E394" s="1014">
        <v>0.9963156200492872</v>
      </c>
      <c r="F394" s="1014">
        <v>1.0266679702051609</v>
      </c>
      <c r="G394" s="1014">
        <v>1.0198113135020943</v>
      </c>
      <c r="H394" s="1014">
        <v>1.0053085495095775</v>
      </c>
      <c r="I394" s="1014">
        <v>1.0135284039661454</v>
      </c>
      <c r="K394">
        <v>2.459861735706053</v>
      </c>
      <c r="L394">
        <v>0</v>
      </c>
      <c r="M394">
        <v>1.6699414562821176E-3</v>
      </c>
      <c r="N394">
        <v>0.15030711250757195</v>
      </c>
      <c r="O394">
        <v>2.106817376673888E-2</v>
      </c>
      <c r="P394">
        <v>2.9040048374224987E-2</v>
      </c>
      <c r="Q394">
        <v>5.4927145833993003E-3</v>
      </c>
      <c r="R394">
        <v>1.6480150181126072E-3</v>
      </c>
      <c r="S394">
        <v>0.26487322543456376</v>
      </c>
      <c r="T394">
        <v>1.4081356354038994</v>
      </c>
      <c r="U394">
        <v>0.21202572705299413</v>
      </c>
      <c r="V394">
        <v>0.2489470068807785</v>
      </c>
      <c r="W394">
        <v>9.8958331264351981E-2</v>
      </c>
      <c r="X394">
        <v>1.6550333264399055E-2</v>
      </c>
      <c r="Y394">
        <v>4.4853536112978024E-3</v>
      </c>
    </row>
    <row r="395" spans="1:25">
      <c r="A395" s="1010"/>
      <c r="B395" s="1351">
        <v>145</v>
      </c>
      <c r="C395" s="1014">
        <v>0.99898340281887088</v>
      </c>
      <c r="D395" s="1014">
        <v>0.98110035595962342</v>
      </c>
      <c r="E395" s="1014">
        <v>1.0121150273764272</v>
      </c>
      <c r="F395" s="1014">
        <v>0.99435003222787088</v>
      </c>
      <c r="G395" s="1014">
        <v>1.0300746281942343</v>
      </c>
      <c r="H395" s="1014">
        <v>1.0328169936451157</v>
      </c>
      <c r="I395" s="1014">
        <v>1.0049302797952748</v>
      </c>
      <c r="K395">
        <v>2.4289829750476435</v>
      </c>
      <c r="L395">
        <v>0</v>
      </c>
      <c r="M395">
        <v>1.6622315593519568E-3</v>
      </c>
      <c r="N395">
        <v>0.15698119251669979</v>
      </c>
      <c r="O395">
        <v>2.1103407851542196E-2</v>
      </c>
      <c r="P395">
        <v>2.8813650933096003E-2</v>
      </c>
      <c r="Q395">
        <v>5.5897686739308861E-3</v>
      </c>
      <c r="R395">
        <v>1.6409876535535487E-3</v>
      </c>
      <c r="S395">
        <v>0.26558576035758613</v>
      </c>
      <c r="T395">
        <v>1.3641497473501427</v>
      </c>
      <c r="U395">
        <v>0.21223058885932808</v>
      </c>
      <c r="V395">
        <v>0.25068562627086033</v>
      </c>
      <c r="W395">
        <v>0.10238959126489632</v>
      </c>
      <c r="X395">
        <v>1.700865743382184E-2</v>
      </c>
      <c r="Y395">
        <v>4.4662274415381504E-3</v>
      </c>
    </row>
    <row r="396" spans="1:25">
      <c r="A396" s="1010"/>
      <c r="B396" s="1351">
        <v>146</v>
      </c>
      <c r="C396" s="1014">
        <v>0.99935978478897347</v>
      </c>
      <c r="D396" s="1014">
        <v>1.020609108092541</v>
      </c>
      <c r="E396" s="1014">
        <v>0.97524553130107872</v>
      </c>
      <c r="F396" s="1014">
        <v>0.95649960630468556</v>
      </c>
      <c r="G396" s="1014">
        <v>1.0080579467592943</v>
      </c>
      <c r="H396" s="1014">
        <v>1.0090526921779548</v>
      </c>
      <c r="I396" s="1014">
        <v>0.95981559632101787</v>
      </c>
      <c r="K396">
        <v>2.3345027286210915</v>
      </c>
      <c r="L396">
        <v>0</v>
      </c>
      <c r="M396">
        <v>1.7371104870170344E-3</v>
      </c>
      <c r="N396">
        <v>0.14670747886868804</v>
      </c>
      <c r="O396">
        <v>2.0888675205145563E-2</v>
      </c>
      <c r="P396">
        <v>2.7014061411290344E-2</v>
      </c>
      <c r="Q396">
        <v>5.3308950188086729E-3</v>
      </c>
      <c r="R396">
        <v>1.7143867468301661E-3</v>
      </c>
      <c r="S396">
        <v>0.24641232649612826</v>
      </c>
      <c r="T396">
        <v>1.3114609754944047</v>
      </c>
      <c r="U396">
        <v>0.21202467737545361</v>
      </c>
      <c r="V396">
        <v>0.24703794216956795</v>
      </c>
      <c r="W396">
        <v>9.7819464432198189E-2</v>
      </c>
      <c r="X396">
        <v>1.5162960312161185E-2</v>
      </c>
      <c r="Y396">
        <v>4.6659955774325064E-3</v>
      </c>
    </row>
    <row r="397" spans="1:25">
      <c r="A397" s="1010"/>
      <c r="B397" s="1351">
        <v>147</v>
      </c>
      <c r="C397" s="1014">
        <v>0.95814803003294047</v>
      </c>
      <c r="D397" s="1014">
        <v>1.032934198869367</v>
      </c>
      <c r="E397" s="1014">
        <v>1.035312007742671</v>
      </c>
      <c r="F397" s="1014">
        <v>1.0104682229916928</v>
      </c>
      <c r="G397" s="1014">
        <v>0.97974648824678401</v>
      </c>
      <c r="H397" s="1014">
        <v>0.98653800934853597</v>
      </c>
      <c r="I397" s="1014">
        <v>1.0008006068807753</v>
      </c>
      <c r="K397">
        <v>2.4568661239782172</v>
      </c>
      <c r="L397">
        <v>0</v>
      </c>
      <c r="M397">
        <v>1.5596089578884425E-3</v>
      </c>
      <c r="N397">
        <v>0.15786715261501005</v>
      </c>
      <c r="O397">
        <v>2.1771017933880091E-2</v>
      </c>
      <c r="P397">
        <v>2.9656702263225726E-2</v>
      </c>
      <c r="Q397">
        <v>5.9008553095837336E-3</v>
      </c>
      <c r="R397">
        <v>1.5387415686519631E-3</v>
      </c>
      <c r="S397">
        <v>0.26491127984847951</v>
      </c>
      <c r="T397">
        <v>1.3867716210146719</v>
      </c>
      <c r="U397">
        <v>0.22135871178197578</v>
      </c>
      <c r="V397">
        <v>0.24467849113093654</v>
      </c>
      <c r="W397">
        <v>0.10158346546909722</v>
      </c>
      <c r="X397">
        <v>1.8199746696745026E-2</v>
      </c>
      <c r="Y397">
        <v>4.1879473038488628E-3</v>
      </c>
    </row>
    <row r="398" spans="1:25">
      <c r="A398" s="1010"/>
      <c r="B398" s="1351">
        <v>148</v>
      </c>
      <c r="C398" s="1014">
        <v>1.020239822496309</v>
      </c>
      <c r="D398" s="1014">
        <v>1.0009706434173782</v>
      </c>
      <c r="E398" s="1014">
        <v>0.97119636045746893</v>
      </c>
      <c r="F398" s="1014">
        <v>1.0168424117988373</v>
      </c>
      <c r="G398" s="1014">
        <v>1.0274707060310306</v>
      </c>
      <c r="H398" s="1014">
        <v>0.99926500690727915</v>
      </c>
      <c r="I398" s="1014">
        <v>1.0129538412379984</v>
      </c>
      <c r="K398">
        <v>2.4185212123871773</v>
      </c>
      <c r="L398">
        <v>0</v>
      </c>
      <c r="M398">
        <v>1.7064853716587916E-3</v>
      </c>
      <c r="N398">
        <v>0.14234677022384976</v>
      </c>
      <c r="O398">
        <v>2.0546197433674061E-2</v>
      </c>
      <c r="P398">
        <v>2.813626860089586E-2</v>
      </c>
      <c r="Q398">
        <v>5.2218760597820294E-3</v>
      </c>
      <c r="R398">
        <v>1.683943596741549E-3</v>
      </c>
      <c r="S398">
        <v>0.25635342442859321</v>
      </c>
      <c r="T398">
        <v>1.3941087155273018</v>
      </c>
      <c r="U398">
        <v>0.20767191237775548</v>
      </c>
      <c r="V398">
        <v>0.24909369096373948</v>
      </c>
      <c r="W398">
        <v>9.5145491272146554E-2</v>
      </c>
      <c r="X398">
        <v>1.5336267915882724E-2</v>
      </c>
      <c r="Y398">
        <v>4.5831393584730212E-3</v>
      </c>
    </row>
    <row r="399" spans="1:25">
      <c r="A399" s="1010"/>
      <c r="B399" s="1351">
        <v>149</v>
      </c>
      <c r="C399" s="1014">
        <v>0.97813483002942303</v>
      </c>
      <c r="D399" s="1014">
        <v>1.0053658867398827</v>
      </c>
      <c r="E399" s="1014">
        <v>1.0140743416267803</v>
      </c>
      <c r="F399" s="1014">
        <v>0.99070973903756532</v>
      </c>
      <c r="G399" s="1014">
        <v>0.9949702170515613</v>
      </c>
      <c r="H399" s="1014">
        <v>1.0007921969479798</v>
      </c>
      <c r="I399" s="1014">
        <v>1.0157492665698682</v>
      </c>
      <c r="K399">
        <v>2.4230126963921763</v>
      </c>
      <c r="L399">
        <v>0</v>
      </c>
      <c r="M399">
        <v>1.6295535137471433E-3</v>
      </c>
      <c r="N399">
        <v>0.1547437511176851</v>
      </c>
      <c r="O399">
        <v>2.1439010584200655E-2</v>
      </c>
      <c r="P399">
        <v>2.8818924929160133E-2</v>
      </c>
      <c r="Q399">
        <v>5.6897756558838448E-3</v>
      </c>
      <c r="R399">
        <v>1.6080608158183887E-3</v>
      </c>
      <c r="S399">
        <v>0.26803657349916404</v>
      </c>
      <c r="T399">
        <v>1.3591977176434091</v>
      </c>
      <c r="U399">
        <v>0.21676106426046193</v>
      </c>
      <c r="V399">
        <v>0.24601751391654295</v>
      </c>
      <c r="W399">
        <v>0.10081397999154816</v>
      </c>
      <c r="X399">
        <v>1.7139266048496218E-2</v>
      </c>
      <c r="Y399">
        <v>4.3766114435521862E-3</v>
      </c>
    </row>
    <row r="400" spans="1:25">
      <c r="A400" s="1010"/>
      <c r="B400" s="1351">
        <v>150</v>
      </c>
      <c r="C400" s="1014">
        <v>1.0278214476004128</v>
      </c>
      <c r="D400" s="1014">
        <v>1.0161139703603528</v>
      </c>
      <c r="E400" s="1014">
        <v>1.00281044961813</v>
      </c>
      <c r="F400" s="1014">
        <v>0.98116000805532599</v>
      </c>
      <c r="G400" s="1014">
        <v>0.99263638248259711</v>
      </c>
      <c r="H400" s="1014">
        <v>0.99006058354056758</v>
      </c>
      <c r="I400" s="1014">
        <v>1.0007522109590548</v>
      </c>
      <c r="K400">
        <v>2.3557188378731664</v>
      </c>
      <c r="L400">
        <v>0</v>
      </c>
      <c r="M400">
        <v>1.5667940545573604E-3</v>
      </c>
      <c r="N400">
        <v>0.14378822498580465</v>
      </c>
      <c r="O400">
        <v>2.0347679947056399E-2</v>
      </c>
      <c r="P400">
        <v>2.7946221075077368E-2</v>
      </c>
      <c r="Q400">
        <v>5.3396280305905951E-3</v>
      </c>
      <c r="R400">
        <v>1.5459051164730018E-3</v>
      </c>
      <c r="S400">
        <v>0.24900717947668155</v>
      </c>
      <c r="T400">
        <v>1.3458565962210018</v>
      </c>
      <c r="U400">
        <v>0.20624496046658525</v>
      </c>
      <c r="V400">
        <v>0.24257469303342044</v>
      </c>
      <c r="W400">
        <v>9.4301613195454992E-2</v>
      </c>
      <c r="X400">
        <v>1.6125486260023851E-2</v>
      </c>
      <c r="Y400">
        <v>4.2074441195548255E-3</v>
      </c>
    </row>
    <row r="401" spans="1:25">
      <c r="A401" s="1010"/>
      <c r="B401" s="1351">
        <v>151</v>
      </c>
      <c r="C401" s="1014">
        <v>1.0089811892518941</v>
      </c>
      <c r="D401" s="1014">
        <v>0.98848269029889491</v>
      </c>
      <c r="E401" s="1014">
        <v>1.007486612395422</v>
      </c>
      <c r="F401" s="1014">
        <v>1.0054904692743631</v>
      </c>
      <c r="G401" s="1014">
        <v>1.0115677309287709</v>
      </c>
      <c r="H401" s="1014">
        <v>0.97725603113685</v>
      </c>
      <c r="I401" s="1014">
        <v>0.99976231263009707</v>
      </c>
      <c r="K401">
        <v>2.4098063438058532</v>
      </c>
      <c r="L401">
        <v>0</v>
      </c>
      <c r="M401">
        <v>1.5696807283888297E-3</v>
      </c>
      <c r="N401">
        <v>0.14607607704040126</v>
      </c>
      <c r="O401">
        <v>2.0856811159277858E-2</v>
      </c>
      <c r="P401">
        <v>2.8709878102923733E-2</v>
      </c>
      <c r="Q401">
        <v>5.4989473483779902E-3</v>
      </c>
      <c r="R401">
        <v>1.5484791016021258E-3</v>
      </c>
      <c r="S401">
        <v>0.25588923411156528</v>
      </c>
      <c r="T401">
        <v>1.3793324727637835</v>
      </c>
      <c r="U401">
        <v>0.21011193578990972</v>
      </c>
      <c r="V401">
        <v>0.24692396648636902</v>
      </c>
      <c r="W401">
        <v>9.5537258425342927E-2</v>
      </c>
      <c r="X401">
        <v>1.6676514546123476E-2</v>
      </c>
      <c r="Y401">
        <v>4.21444965856233E-3</v>
      </c>
    </row>
    <row r="402" spans="1:25">
      <c r="A402" s="1010"/>
      <c r="B402" s="1351">
        <v>152</v>
      </c>
      <c r="C402" s="1014">
        <v>0.99117861933589946</v>
      </c>
      <c r="D402" s="1014">
        <v>1.0239692620561867</v>
      </c>
      <c r="E402" s="1014">
        <v>0.99298281576053948</v>
      </c>
      <c r="F402" s="1014">
        <v>1.0220055607438214</v>
      </c>
      <c r="G402" s="1014">
        <v>1.0028384463454731</v>
      </c>
      <c r="H402" s="1014">
        <v>0.98881210261517305</v>
      </c>
      <c r="I402" s="1014">
        <v>0.97409718560144942</v>
      </c>
      <c r="K402">
        <v>2.4326556808209916</v>
      </c>
      <c r="L402">
        <v>0</v>
      </c>
      <c r="M402">
        <v>1.6532719535469751E-3</v>
      </c>
      <c r="N402">
        <v>0.1472826171773749</v>
      </c>
      <c r="O402">
        <v>2.1057650562804633E-2</v>
      </c>
      <c r="P402">
        <v>2.8673174779804186E-2</v>
      </c>
      <c r="Q402">
        <v>5.4715556648504606E-3</v>
      </c>
      <c r="R402">
        <v>1.6312022376060214E-3</v>
      </c>
      <c r="S402">
        <v>0.25018932065096638</v>
      </c>
      <c r="T402">
        <v>1.4016672768836238</v>
      </c>
      <c r="U402">
        <v>0.21383573827642569</v>
      </c>
      <c r="V402">
        <v>0.24659640803258737</v>
      </c>
      <c r="W402">
        <v>9.7160162964571431E-2</v>
      </c>
      <c r="X402">
        <v>1.6304250778834822E-2</v>
      </c>
      <c r="Y402">
        <v>4.4395947650904804E-3</v>
      </c>
    </row>
    <row r="403" spans="1:25">
      <c r="A403" s="1010"/>
      <c r="B403" s="1351">
        <v>153</v>
      </c>
      <c r="C403" s="1014">
        <v>1.0023832928442449</v>
      </c>
      <c r="D403" s="1014">
        <v>0.9800046061975155</v>
      </c>
      <c r="E403" s="1014">
        <v>1.0307773476831206</v>
      </c>
      <c r="F403" s="1014">
        <v>0.98731377561093769</v>
      </c>
      <c r="G403" s="1014">
        <v>0.99136466128181466</v>
      </c>
      <c r="H403" s="1014">
        <v>0.96295326798587244</v>
      </c>
      <c r="I403" s="1014">
        <v>1.0066545727039589</v>
      </c>
      <c r="K403">
        <v>2.3908184441728886</v>
      </c>
      <c r="L403">
        <v>0</v>
      </c>
      <c r="M403">
        <v>1.4860632794095421E-3</v>
      </c>
      <c r="N403">
        <v>0.14833156409928699</v>
      </c>
      <c r="O403">
        <v>2.1049452284290913E-2</v>
      </c>
      <c r="P403">
        <v>2.888943581488659E-2</v>
      </c>
      <c r="Q403">
        <v>5.6798016042964904E-3</v>
      </c>
      <c r="R403">
        <v>1.4656929379043093E-3</v>
      </c>
      <c r="S403">
        <v>0.25944367762676157</v>
      </c>
      <c r="T403">
        <v>1.3548968895844755</v>
      </c>
      <c r="U403">
        <v>0.21157459197909037</v>
      </c>
      <c r="V403">
        <v>0.24380076570543691</v>
      </c>
      <c r="W403">
        <v>9.5698531718761193E-2</v>
      </c>
      <c r="X403">
        <v>1.7484971085677915E-2</v>
      </c>
      <c r="Y403">
        <v>3.989133011428404E-3</v>
      </c>
    </row>
    <row r="404" spans="1:25">
      <c r="A404" s="1010"/>
      <c r="B404" s="1351">
        <v>154</v>
      </c>
      <c r="C404" s="1014">
        <v>0.9789453207845551</v>
      </c>
      <c r="D404" s="1014">
        <v>1.0384539728416522</v>
      </c>
      <c r="E404" s="1014">
        <v>1.0032686949094076</v>
      </c>
      <c r="F404" s="1014">
        <v>0.96267231687887589</v>
      </c>
      <c r="G404" s="1014">
        <v>1.0072913757140036</v>
      </c>
      <c r="H404" s="1014">
        <v>0.99476297299009742</v>
      </c>
      <c r="I404" s="1014">
        <v>1.0156872621628952</v>
      </c>
      <c r="K404">
        <v>2.3738260245823888</v>
      </c>
      <c r="L404">
        <v>0</v>
      </c>
      <c r="M404">
        <v>1.6433804839960629E-3</v>
      </c>
      <c r="N404">
        <v>0.15103527851496198</v>
      </c>
      <c r="O404">
        <v>2.1261924549092277E-2</v>
      </c>
      <c r="P404">
        <v>2.8015548715804077E-2</v>
      </c>
      <c r="Q404">
        <v>5.5821099570496939E-3</v>
      </c>
      <c r="R404">
        <v>1.6215740459466091E-3</v>
      </c>
      <c r="S404">
        <v>0.26289687959616453</v>
      </c>
      <c r="T404">
        <v>1.3205065882137221</v>
      </c>
      <c r="U404">
        <v>0.21654382166093331</v>
      </c>
      <c r="V404">
        <v>0.24810647269107053</v>
      </c>
      <c r="W404">
        <v>9.9027588005929007E-2</v>
      </c>
      <c r="X404">
        <v>1.6458229114383587E-2</v>
      </c>
      <c r="Y404">
        <v>4.4133900013260882E-3</v>
      </c>
    </row>
    <row r="405" spans="1:25">
      <c r="A405" s="1010"/>
      <c r="B405" s="1351">
        <v>155</v>
      </c>
      <c r="C405" s="1014">
        <v>1.0272960502296664</v>
      </c>
      <c r="D405" s="1014">
        <v>1.0137272948113207</v>
      </c>
      <c r="E405" s="1014">
        <v>1.0076989290592278</v>
      </c>
      <c r="F405" s="1014">
        <v>0.9998341638178474</v>
      </c>
      <c r="G405" s="1014">
        <v>1.0150040368042272</v>
      </c>
      <c r="H405" s="1014">
        <v>1.0140996240381603</v>
      </c>
      <c r="I405" s="1014">
        <v>1.0107979022810278</v>
      </c>
      <c r="K405">
        <v>2.3984018433789251</v>
      </c>
      <c r="L405">
        <v>0</v>
      </c>
      <c r="M405">
        <v>1.5902671664779862E-3</v>
      </c>
      <c r="N405">
        <v>0.14816044439088516</v>
      </c>
      <c r="O405">
        <v>2.0371772773134691E-2</v>
      </c>
      <c r="P405">
        <v>2.852321421321297E-2</v>
      </c>
      <c r="Q405">
        <v>5.372207428648257E-3</v>
      </c>
      <c r="R405">
        <v>1.5695678650420018E-3</v>
      </c>
      <c r="S405">
        <v>0.25397680565787711</v>
      </c>
      <c r="T405">
        <v>1.3715777475416127</v>
      </c>
      <c r="U405">
        <v>0.20636672106837609</v>
      </c>
      <c r="V405">
        <v>0.24640728793527325</v>
      </c>
      <c r="W405">
        <v>9.6888330643977921E-2</v>
      </c>
      <c r="X405">
        <v>1.650616470662369E-2</v>
      </c>
      <c r="Y405">
        <v>4.2718463207366743E-3</v>
      </c>
    </row>
    <row r="406" spans="1:25">
      <c r="A406" s="1010"/>
      <c r="B406" s="1351">
        <v>156</v>
      </c>
      <c r="C406" s="1014">
        <v>1.0105286962706763</v>
      </c>
      <c r="D406" s="1014">
        <v>0.99929465349726565</v>
      </c>
      <c r="E406" s="1014">
        <v>1.0162167530861623</v>
      </c>
      <c r="F406" s="1014">
        <v>0.97121176314658841</v>
      </c>
      <c r="G406" s="1014">
        <v>0.97340304650209075</v>
      </c>
      <c r="H406" s="1014">
        <v>0.96667023508453209</v>
      </c>
      <c r="I406" s="1014">
        <v>1.0175154051087969</v>
      </c>
      <c r="K406">
        <v>2.3551296922042337</v>
      </c>
      <c r="L406">
        <v>0</v>
      </c>
      <c r="M406">
        <v>1.5187887046027393E-3</v>
      </c>
      <c r="N406">
        <v>0.14509245805390061</v>
      </c>
      <c r="O406">
        <v>2.078083621258172E-2</v>
      </c>
      <c r="P406">
        <v>2.8178796161274559E-2</v>
      </c>
      <c r="Q406">
        <v>5.5268908647674517E-3</v>
      </c>
      <c r="R406">
        <v>1.4980498278525994E-3</v>
      </c>
      <c r="S406">
        <v>0.25777749134417954</v>
      </c>
      <c r="T406">
        <v>1.3324927353147877</v>
      </c>
      <c r="U406">
        <v>0.20981975854526771</v>
      </c>
      <c r="V406">
        <v>0.24028330948584367</v>
      </c>
      <c r="W406">
        <v>9.4407400644456616E-2</v>
      </c>
      <c r="X406">
        <v>1.6713556654502668E-2</v>
      </c>
      <c r="Y406">
        <v>4.0771977994217452E-3</v>
      </c>
    </row>
    <row r="407" spans="1:25">
      <c r="A407" s="1010"/>
      <c r="B407" s="1351">
        <v>157</v>
      </c>
      <c r="C407" s="1014">
        <v>0.99853791049557294</v>
      </c>
      <c r="D407" s="1014">
        <v>1.0375198224186393</v>
      </c>
      <c r="E407" s="1014">
        <v>1.0061134996866308</v>
      </c>
      <c r="F407" s="1014">
        <v>1.0151266647500463</v>
      </c>
      <c r="G407" s="1014">
        <v>1.003000495969631</v>
      </c>
      <c r="H407" s="1014">
        <v>1.0142640544371491</v>
      </c>
      <c r="I407" s="1014">
        <v>0.96558008562264741</v>
      </c>
      <c r="K407">
        <v>2.4244228435655133</v>
      </c>
      <c r="L407">
        <v>0</v>
      </c>
      <c r="M407">
        <v>1.6333707769871262E-3</v>
      </c>
      <c r="N407">
        <v>0.15144980087424495</v>
      </c>
      <c r="O407">
        <v>2.0850742834516416E-2</v>
      </c>
      <c r="P407">
        <v>2.8755086591523669E-2</v>
      </c>
      <c r="Q407">
        <v>5.4897935185548178E-3</v>
      </c>
      <c r="R407">
        <v>1.6121138752325432E-3</v>
      </c>
      <c r="S407">
        <v>0.2467464645790895</v>
      </c>
      <c r="T407">
        <v>1.3925212236521429</v>
      </c>
      <c r="U407">
        <v>0.21230470074618107</v>
      </c>
      <c r="V407">
        <v>0.24611295898368932</v>
      </c>
      <c r="W407">
        <v>9.9132239318321783E-2</v>
      </c>
      <c r="X407">
        <v>1.669344683381371E-2</v>
      </c>
      <c r="Y407">
        <v>4.3876425351868364E-3</v>
      </c>
    </row>
    <row r="408" spans="1:25">
      <c r="A408" s="1010"/>
      <c r="B408" s="1351">
        <v>158</v>
      </c>
      <c r="C408" s="1014">
        <v>1.0015942626095364</v>
      </c>
      <c r="D408" s="1014">
        <v>0.99337516220310484</v>
      </c>
      <c r="E408" s="1014">
        <v>1.0090524339214073</v>
      </c>
      <c r="F408" s="1014">
        <v>0.98563917428110126</v>
      </c>
      <c r="G408" s="1014">
        <v>1.0197710795244532</v>
      </c>
      <c r="H408" s="1014">
        <v>0.98851255261782389</v>
      </c>
      <c r="I408" s="1014">
        <v>0.99138962199589964</v>
      </c>
      <c r="K408">
        <v>2.3906459656436332</v>
      </c>
      <c r="L408">
        <v>0</v>
      </c>
      <c r="M408">
        <v>1.592547080622887E-3</v>
      </c>
      <c r="N408">
        <v>0.14892959942689118</v>
      </c>
      <c r="O408">
        <v>2.0988864720289217E-2</v>
      </c>
      <c r="P408">
        <v>2.8417044607506086E-2</v>
      </c>
      <c r="Q408">
        <v>5.5424404117488685E-3</v>
      </c>
      <c r="R408">
        <v>1.5712815457739203E-3</v>
      </c>
      <c r="S408">
        <v>0.25594433473626826</v>
      </c>
      <c r="T408">
        <v>1.3521338882663723</v>
      </c>
      <c r="U408">
        <v>0.21166689743510692</v>
      </c>
      <c r="V408">
        <v>0.24877497945789165</v>
      </c>
      <c r="W408">
        <v>9.7313514039924998E-2</v>
      </c>
      <c r="X408">
        <v>1.667915768170871E-2</v>
      </c>
      <c r="Y408">
        <v>4.2765103947742548E-3</v>
      </c>
    </row>
    <row r="409" spans="1:25">
      <c r="A409" s="1010"/>
      <c r="B409" s="1351">
        <v>159</v>
      </c>
      <c r="C409" s="1014">
        <v>0.99746014523236537</v>
      </c>
      <c r="D409" s="1014">
        <v>0.99291571256010092</v>
      </c>
      <c r="E409" s="1014">
        <v>1.008768430486513</v>
      </c>
      <c r="F409" s="1014">
        <v>1.0181680789168237</v>
      </c>
      <c r="G409" s="1014">
        <v>0.97690299289224325</v>
      </c>
      <c r="H409" s="1014">
        <v>0.99308188228285532</v>
      </c>
      <c r="I409" s="1014">
        <v>1.0101615997475484</v>
      </c>
      <c r="K409">
        <v>2.4386137481830343</v>
      </c>
      <c r="L409">
        <v>0</v>
      </c>
      <c r="M409">
        <v>1.607651191456752E-3</v>
      </c>
      <c r="N409">
        <v>0.15022257940686326</v>
      </c>
      <c r="O409">
        <v>2.1077811709165402E-2</v>
      </c>
      <c r="P409">
        <v>2.9026668256495143E-2</v>
      </c>
      <c r="Q409">
        <v>5.5643473676038986E-3</v>
      </c>
      <c r="R409">
        <v>1.586282743157376E-3</v>
      </c>
      <c r="S409">
        <v>0.26232445529623571</v>
      </c>
      <c r="T409">
        <v>1.3967518988072625</v>
      </c>
      <c r="U409">
        <v>0.21254320680235234</v>
      </c>
      <c r="V409">
        <v>0.24171540354857068</v>
      </c>
      <c r="W409">
        <v>9.8174826540938898E-2</v>
      </c>
      <c r="X409">
        <v>1.6916580186936075E-2</v>
      </c>
      <c r="Y409">
        <v>4.3173387089086327E-3</v>
      </c>
    </row>
    <row r="410" spans="1:25">
      <c r="A410" s="1010"/>
      <c r="B410" s="1351">
        <v>160</v>
      </c>
      <c r="C410" s="1014">
        <v>0.99684376203825253</v>
      </c>
      <c r="D410" s="1014">
        <v>0.97298621874617297</v>
      </c>
      <c r="E410" s="1014">
        <v>0.98366886924181351</v>
      </c>
      <c r="F410" s="1014">
        <v>0.99909330926732587</v>
      </c>
      <c r="G410" s="1014">
        <v>1.0325256762750543</v>
      </c>
      <c r="H410" s="1014">
        <v>1.0245874058362798</v>
      </c>
      <c r="I410" s="1014">
        <v>1.015384064742203</v>
      </c>
      <c r="K410">
        <v>2.4318126827771023</v>
      </c>
      <c r="L410">
        <v>0</v>
      </c>
      <c r="M410">
        <v>1.7561404957496659E-3</v>
      </c>
      <c r="N410">
        <v>0.15217393796246348</v>
      </c>
      <c r="O410">
        <v>2.116833310184869E-2</v>
      </c>
      <c r="P410">
        <v>2.8348353613900836E-2</v>
      </c>
      <c r="Q410">
        <v>5.4487291257583979E-3</v>
      </c>
      <c r="R410">
        <v>1.7335161274096979E-3</v>
      </c>
      <c r="S410">
        <v>0.26908545994943978</v>
      </c>
      <c r="T410">
        <v>1.3700426414106253</v>
      </c>
      <c r="U410">
        <v>0.21258861398667875</v>
      </c>
      <c r="V410">
        <v>0.25134463734368978</v>
      </c>
      <c r="W410">
        <v>0.10094932940442537</v>
      </c>
      <c r="X410">
        <v>1.5967211801242054E-2</v>
      </c>
      <c r="Y410">
        <v>4.7180594453713788E-3</v>
      </c>
    </row>
    <row r="411" spans="1:25">
      <c r="A411" s="1010"/>
      <c r="B411" s="1351">
        <v>161</v>
      </c>
      <c r="C411" s="1014">
        <v>0.97837155062169456</v>
      </c>
      <c r="D411" s="1014">
        <v>0.97128705171742136</v>
      </c>
      <c r="E411" s="1014">
        <v>1.0214315475088764</v>
      </c>
      <c r="F411" s="1014">
        <v>1.0324822635381332</v>
      </c>
      <c r="G411" s="1014">
        <v>0.96780675447447151</v>
      </c>
      <c r="H411" s="1014">
        <v>1.0129978831599575</v>
      </c>
      <c r="I411" s="1014">
        <v>1.0094681897479265</v>
      </c>
      <c r="K411">
        <v>2.4881290800656517</v>
      </c>
      <c r="L411">
        <v>0</v>
      </c>
      <c r="M411">
        <v>1.6363535380480563E-3</v>
      </c>
      <c r="N411">
        <v>0.15890309853370246</v>
      </c>
      <c r="O411">
        <v>2.1602089154712557E-2</v>
      </c>
      <c r="P411">
        <v>2.976298402410299E-2</v>
      </c>
      <c r="Q411">
        <v>5.7751939889557494E-3</v>
      </c>
      <c r="R411">
        <v>1.615031200198961E-3</v>
      </c>
      <c r="S411">
        <v>0.27210958490502735</v>
      </c>
      <c r="T411">
        <v>1.4166721258175083</v>
      </c>
      <c r="U411">
        <v>0.21673439259215177</v>
      </c>
      <c r="V411">
        <v>0.24134057015333896</v>
      </c>
      <c r="W411">
        <v>0.10307832153067517</v>
      </c>
      <c r="X411">
        <v>1.7776459171272626E-2</v>
      </c>
      <c r="Y411">
        <v>4.3955825320495107E-3</v>
      </c>
    </row>
    <row r="412" spans="1:25">
      <c r="A412" s="1010"/>
      <c r="B412" s="1351">
        <v>162</v>
      </c>
      <c r="C412" s="1014">
        <v>1.0035874141127838</v>
      </c>
      <c r="D412" s="1014">
        <v>1.0428072994701165</v>
      </c>
      <c r="E412" s="1014">
        <v>1.0199492062193805</v>
      </c>
      <c r="F412" s="1014">
        <v>0.96195264738247188</v>
      </c>
      <c r="G412" s="1014">
        <v>1.0138829527780695</v>
      </c>
      <c r="H412" s="1014">
        <v>0.99723734965535937</v>
      </c>
      <c r="I412" s="1014">
        <v>1.0000048793839345</v>
      </c>
      <c r="K412">
        <v>2.353648676562099</v>
      </c>
      <c r="L412">
        <v>0</v>
      </c>
      <c r="M412">
        <v>1.5508398019477051E-3</v>
      </c>
      <c r="N412">
        <v>0.14989581692669748</v>
      </c>
      <c r="O412">
        <v>2.0731729377967981E-2</v>
      </c>
      <c r="P412">
        <v>2.8126981195019416E-2</v>
      </c>
      <c r="Q412">
        <v>5.534349657564888E-3</v>
      </c>
      <c r="R412">
        <v>1.5303123699958272E-3</v>
      </c>
      <c r="S412">
        <v>0.25229980048923573</v>
      </c>
      <c r="T412">
        <v>1.319867253954323</v>
      </c>
      <c r="U412">
        <v>0.21128371857488337</v>
      </c>
      <c r="V412">
        <v>0.24760676177032567</v>
      </c>
      <c r="W412">
        <v>9.7319736072895444E-2</v>
      </c>
      <c r="X412">
        <v>1.683805017134456E-2</v>
      </c>
      <c r="Y412">
        <v>4.1650058037914503E-3</v>
      </c>
    </row>
    <row r="413" spans="1:25">
      <c r="A413" s="1010"/>
      <c r="B413" s="1351">
        <v>163</v>
      </c>
      <c r="C413" s="1014">
        <v>1.0072423526715137</v>
      </c>
      <c r="D413" s="1014">
        <v>1.0138908818400838</v>
      </c>
      <c r="E413" s="1014">
        <v>1.0230711312273668</v>
      </c>
      <c r="F413" s="1014">
        <v>0.99666778354506436</v>
      </c>
      <c r="G413" s="1014">
        <v>1.0405016158316625</v>
      </c>
      <c r="H413" s="1014">
        <v>1.0315144315692999</v>
      </c>
      <c r="I413" s="1014">
        <v>1.0137673345009035</v>
      </c>
      <c r="K413">
        <v>2.4254169312537286</v>
      </c>
      <c r="L413">
        <v>0</v>
      </c>
      <c r="M413">
        <v>1.597828222280488E-3</v>
      </c>
      <c r="N413">
        <v>0.15596818203242846</v>
      </c>
      <c r="O413">
        <v>2.0786749131381035E-2</v>
      </c>
      <c r="P413">
        <v>2.9028739660545179E-2</v>
      </c>
      <c r="Q413">
        <v>5.5662718546123924E-3</v>
      </c>
      <c r="R413">
        <v>1.5773816271358004E-3</v>
      </c>
      <c r="S413">
        <v>0.26138757462550921</v>
      </c>
      <c r="T413">
        <v>1.3675664639318104</v>
      </c>
      <c r="U413">
        <v>0.21052767157807736</v>
      </c>
      <c r="V413">
        <v>0.25191271153786166</v>
      </c>
      <c r="W413">
        <v>0.10107764733025759</v>
      </c>
      <c r="X413">
        <v>1.7322253361037467E-2</v>
      </c>
      <c r="Y413">
        <v>4.2931128053500115E-3</v>
      </c>
    </row>
    <row r="414" spans="1:25">
      <c r="A414" s="1010"/>
      <c r="B414" s="1351">
        <v>164</v>
      </c>
      <c r="C414" s="1014">
        <v>1.0429887518293537</v>
      </c>
      <c r="D414" s="1014">
        <v>1.0138981478931777</v>
      </c>
      <c r="E414" s="1014">
        <v>0.99361227727456103</v>
      </c>
      <c r="F414" s="1014">
        <v>0.97005361284191849</v>
      </c>
      <c r="G414" s="1014">
        <v>1.0099385648476307</v>
      </c>
      <c r="H414" s="1014">
        <v>0.98086862403038433</v>
      </c>
      <c r="I414" s="1014">
        <v>1.0089680479189918</v>
      </c>
      <c r="K414">
        <v>2.3287318448538556</v>
      </c>
      <c r="L414">
        <v>0</v>
      </c>
      <c r="M414">
        <v>1.5598813790752117E-3</v>
      </c>
      <c r="N414">
        <v>0.13921226572476991</v>
      </c>
      <c r="O414">
        <v>2.0055579863507731E-2</v>
      </c>
      <c r="P414">
        <v>2.7503521965671629E-2</v>
      </c>
      <c r="Q414">
        <v>5.2144912151420196E-3</v>
      </c>
      <c r="R414">
        <v>1.5388897110485021E-3</v>
      </c>
      <c r="S414">
        <v>0.2468447220702211</v>
      </c>
      <c r="T414">
        <v>1.3304290474488709</v>
      </c>
      <c r="U414">
        <v>0.20321557718199387</v>
      </c>
      <c r="V414">
        <v>0.24468019322802317</v>
      </c>
      <c r="W414">
        <v>9.1801738076218539E-2</v>
      </c>
      <c r="X414">
        <v>1.5607349248843589E-2</v>
      </c>
      <c r="Y414">
        <v>4.1883504986171133E-3</v>
      </c>
    </row>
    <row r="415" spans="1:25">
      <c r="A415" s="1010"/>
      <c r="B415" s="1351">
        <v>165</v>
      </c>
      <c r="C415" s="1014">
        <v>0.97690028941433649</v>
      </c>
      <c r="D415" s="1014">
        <v>0.96771200383568234</v>
      </c>
      <c r="E415" s="1014">
        <v>1.0111126765359608</v>
      </c>
      <c r="F415" s="1014">
        <v>0.99310498368413402</v>
      </c>
      <c r="G415" s="1014">
        <v>0.98556650682093649</v>
      </c>
      <c r="H415" s="1014">
        <v>0.99606213678874367</v>
      </c>
      <c r="I415" s="1014">
        <v>1.0398158391278924</v>
      </c>
      <c r="K415">
        <v>2.4376776557214845</v>
      </c>
      <c r="L415">
        <v>0</v>
      </c>
      <c r="M415">
        <v>1.6477071073267172E-3</v>
      </c>
      <c r="N415">
        <v>0.15506527063984574</v>
      </c>
      <c r="O415">
        <v>2.1645102532797885E-2</v>
      </c>
      <c r="P415">
        <v>2.8942304522515207E-2</v>
      </c>
      <c r="Q415">
        <v>5.7275134763441048E-3</v>
      </c>
      <c r="R415">
        <v>1.6258717752175905E-3</v>
      </c>
      <c r="S415">
        <v>0.27959685599552847</v>
      </c>
      <c r="T415">
        <v>1.3624200847460124</v>
      </c>
      <c r="U415">
        <v>0.21702460908858909</v>
      </c>
      <c r="V415">
        <v>0.24450309251221633</v>
      </c>
      <c r="W415">
        <v>0.10119966989515829</v>
      </c>
      <c r="X415">
        <v>1.7149900640929219E-2</v>
      </c>
      <c r="Y415">
        <v>4.4250870036556264E-3</v>
      </c>
    </row>
    <row r="416" spans="1:25">
      <c r="A416" s="1010"/>
      <c r="B416" s="1351">
        <v>166</v>
      </c>
      <c r="C416" s="1014">
        <v>1.0243920423217765</v>
      </c>
      <c r="D416" s="1014">
        <v>1.0198078962906101</v>
      </c>
      <c r="E416" s="1014">
        <v>0.99438504596753241</v>
      </c>
      <c r="F416" s="1014">
        <v>1.0336424115729377</v>
      </c>
      <c r="G416" s="1014">
        <v>1.041838304695877</v>
      </c>
      <c r="H416" s="1014">
        <v>0.99608562125212519</v>
      </c>
      <c r="I416" s="1014">
        <v>0.96734920115728418</v>
      </c>
      <c r="K416">
        <v>2.4309457658437474</v>
      </c>
      <c r="L416">
        <v>0</v>
      </c>
      <c r="M416">
        <v>1.6081999211915192E-3</v>
      </c>
      <c r="N416">
        <v>0.14389007913579904</v>
      </c>
      <c r="O416">
        <v>2.0394072959364847E-2</v>
      </c>
      <c r="P416">
        <v>2.8770808781549383E-2</v>
      </c>
      <c r="Q416">
        <v>5.3066342567280088E-3</v>
      </c>
      <c r="R416">
        <v>1.5868886387981559E-3</v>
      </c>
      <c r="S416">
        <v>0.24148194447933324</v>
      </c>
      <c r="T416">
        <v>1.4176583737410899</v>
      </c>
      <c r="U416">
        <v>0.20690730837608759</v>
      </c>
      <c r="V416">
        <v>0.25121165742299728</v>
      </c>
      <c r="W416">
        <v>9.4842684431360111E-2</v>
      </c>
      <c r="X416">
        <v>1.6184525784721005E-2</v>
      </c>
      <c r="Y416">
        <v>4.3189877571093924E-3</v>
      </c>
    </row>
    <row r="417" spans="1:25">
      <c r="A417" s="1010"/>
      <c r="B417" s="1351">
        <v>167</v>
      </c>
      <c r="C417" s="1014">
        <v>0.99481727497155337</v>
      </c>
      <c r="D417" s="1014">
        <v>0.96782060869596265</v>
      </c>
      <c r="E417" s="1014">
        <v>1.0104641421131877</v>
      </c>
      <c r="F417" s="1014">
        <v>1.0230804278747876</v>
      </c>
      <c r="G417" s="1014">
        <v>0.98637457367575221</v>
      </c>
      <c r="H417" s="1014">
        <v>1.0182306539791681</v>
      </c>
      <c r="I417" s="1014">
        <v>1.0161433290431232</v>
      </c>
      <c r="K417">
        <v>2.4653202022627383</v>
      </c>
      <c r="L417">
        <v>0</v>
      </c>
      <c r="M417">
        <v>1.6562319517684195E-3</v>
      </c>
      <c r="N417">
        <v>0.15560816594333596</v>
      </c>
      <c r="O417">
        <v>2.125430585895028E-2</v>
      </c>
      <c r="P417">
        <v>2.9297277215352489E-2</v>
      </c>
      <c r="Q417">
        <v>5.6204613749558947E-3</v>
      </c>
      <c r="R417">
        <v>1.6347614986634239E-3</v>
      </c>
      <c r="S417">
        <v>0.27023057019406349</v>
      </c>
      <c r="T417">
        <v>1.4035283923511208</v>
      </c>
      <c r="U417">
        <v>0.21311369255881762</v>
      </c>
      <c r="V417">
        <v>0.24349278609762093</v>
      </c>
      <c r="W417">
        <v>0.1015927977437777</v>
      </c>
      <c r="X417">
        <v>1.7153941477467467E-2</v>
      </c>
      <c r="Y417">
        <v>4.4492819003786373E-3</v>
      </c>
    </row>
    <row r="418" spans="1:25">
      <c r="A418" s="1010"/>
      <c r="B418" s="1351">
        <v>168</v>
      </c>
      <c r="C418" s="1014">
        <v>1.0167778797469529</v>
      </c>
      <c r="D418" s="1014">
        <v>1.0160477447708776</v>
      </c>
      <c r="E418" s="1014">
        <v>1.0146408928609478</v>
      </c>
      <c r="F418" s="1014">
        <v>0.9815235287443772</v>
      </c>
      <c r="G418" s="1014">
        <v>1.0232323354173167</v>
      </c>
      <c r="H418" s="1014">
        <v>1.0219420080919381</v>
      </c>
      <c r="I418" s="1014">
        <v>0.9766177997157145</v>
      </c>
      <c r="K418">
        <v>2.3778432994008085</v>
      </c>
      <c r="L418">
        <v>0</v>
      </c>
      <c r="M418">
        <v>1.5951528301905639E-3</v>
      </c>
      <c r="N418">
        <v>0.15177823318544081</v>
      </c>
      <c r="O418">
        <v>2.0576683353915087E-2</v>
      </c>
      <c r="P418">
        <v>2.8304906591866429E-2</v>
      </c>
      <c r="Q418">
        <v>5.4640057692243787E-3</v>
      </c>
      <c r="R418">
        <v>1.5745492702497245E-3</v>
      </c>
      <c r="S418">
        <v>0.24833838554938678</v>
      </c>
      <c r="T418">
        <v>1.3466068181131523</v>
      </c>
      <c r="U418">
        <v>0.20852488223083762</v>
      </c>
      <c r="V418">
        <v>0.24841504118148919</v>
      </c>
      <c r="W418">
        <v>9.8849059212554449E-2</v>
      </c>
      <c r="X418">
        <v>1.6720483709286905E-2</v>
      </c>
      <c r="Y418">
        <v>4.285404063592309E-3</v>
      </c>
    </row>
    <row r="419" spans="1:25">
      <c r="A419" s="1010"/>
      <c r="B419" s="1351">
        <v>169</v>
      </c>
      <c r="C419" s="1014">
        <v>1.0245657345699697</v>
      </c>
      <c r="D419" s="1014">
        <v>1.0323242633830536</v>
      </c>
      <c r="E419" s="1014">
        <v>1.0053530098325292</v>
      </c>
      <c r="F419" s="1014">
        <v>0.98474925848485817</v>
      </c>
      <c r="G419" s="1014">
        <v>0.96217132633486269</v>
      </c>
      <c r="H419" s="1014">
        <v>0.96472926438057205</v>
      </c>
      <c r="I419" s="1014">
        <v>1.0087567831407671</v>
      </c>
      <c r="K419">
        <v>2.3492177121907756</v>
      </c>
      <c r="L419">
        <v>0</v>
      </c>
      <c r="M419">
        <v>1.5182010636895758E-3</v>
      </c>
      <c r="N419">
        <v>0.14035299012123079</v>
      </c>
      <c r="O419">
        <v>2.0343022006751147E-2</v>
      </c>
      <c r="P419">
        <v>2.7990108692072253E-2</v>
      </c>
      <c r="Q419">
        <v>5.3520358148736154E-3</v>
      </c>
      <c r="R419">
        <v>1.4974285020175546E-3</v>
      </c>
      <c r="S419">
        <v>0.24773003317962852</v>
      </c>
      <c r="T419">
        <v>1.3508341657434286</v>
      </c>
      <c r="U419">
        <v>0.20690882319047277</v>
      </c>
      <c r="V419">
        <v>0.23755678503025288</v>
      </c>
      <c r="W419">
        <v>9.1910111232506655E-2</v>
      </c>
      <c r="X419">
        <v>1.618490298590973E-2</v>
      </c>
      <c r="Y419">
        <v>4.0755067553187585E-3</v>
      </c>
    </row>
    <row r="420" spans="1:25">
      <c r="A420" s="1010"/>
      <c r="B420" s="1351">
        <v>170</v>
      </c>
      <c r="C420" s="1014">
        <v>0.95375563852224365</v>
      </c>
      <c r="D420" s="1014">
        <v>1.0124345775550641</v>
      </c>
      <c r="E420" s="1014">
        <v>1.0181582487368306</v>
      </c>
      <c r="F420" s="1014">
        <v>0.99808124783044438</v>
      </c>
      <c r="G420" s="1014">
        <v>1.0044256563118941</v>
      </c>
      <c r="H420" s="1014">
        <v>0.98142937443989353</v>
      </c>
      <c r="I420" s="1014">
        <v>0.96534913036472059</v>
      </c>
      <c r="K420">
        <v>2.4356370409826456</v>
      </c>
      <c r="L420">
        <v>0</v>
      </c>
      <c r="M420">
        <v>1.6225116285192363E-3</v>
      </c>
      <c r="N420">
        <v>0.155944450162702</v>
      </c>
      <c r="O420">
        <v>2.1955995052934579E-2</v>
      </c>
      <c r="P420">
        <v>2.9039059177982631E-2</v>
      </c>
      <c r="Q420">
        <v>5.8507364600834015E-3</v>
      </c>
      <c r="R420">
        <v>1.6006896067803375E-3</v>
      </c>
      <c r="S420">
        <v>0.25870561452333352</v>
      </c>
      <c r="T420">
        <v>1.3693994499102244</v>
      </c>
      <c r="U420">
        <v>0.2223164220042548</v>
      </c>
      <c r="V420">
        <v>0.24924820657077962</v>
      </c>
      <c r="W420">
        <v>0.10135302782399347</v>
      </c>
      <c r="X420">
        <v>1.7489351875623105E-2</v>
      </c>
      <c r="Y420">
        <v>4.3565494424690184E-3</v>
      </c>
    </row>
    <row r="421" spans="1:25">
      <c r="A421" s="1010"/>
      <c r="B421" s="1351">
        <v>171</v>
      </c>
      <c r="C421" s="1014">
        <v>0.99272171010439536</v>
      </c>
      <c r="D421" s="1014">
        <v>0.98987839711392922</v>
      </c>
      <c r="E421" s="1014">
        <v>1.0028255980113838</v>
      </c>
      <c r="F421" s="1014">
        <v>1.0033523009860639</v>
      </c>
      <c r="G421" s="1014">
        <v>0.98116348030199785</v>
      </c>
      <c r="H421" s="1014">
        <v>1.0025710817282274</v>
      </c>
      <c r="I421" s="1014">
        <v>0.96411194494498098</v>
      </c>
      <c r="K421">
        <v>2.412676592944472</v>
      </c>
      <c r="L421">
        <v>0</v>
      </c>
      <c r="M421">
        <v>1.6521183245998868E-3</v>
      </c>
      <c r="N421">
        <v>0.15165112967304484</v>
      </c>
      <c r="O421">
        <v>2.1188713509688383E-2</v>
      </c>
      <c r="P421">
        <v>2.8515442886880876E-2</v>
      </c>
      <c r="Q421">
        <v>5.5604161740110299E-3</v>
      </c>
      <c r="R421">
        <v>1.630366675275994E-3</v>
      </c>
      <c r="S421">
        <v>0.25268706864220736</v>
      </c>
      <c r="T421">
        <v>1.3762980800789797</v>
      </c>
      <c r="U421">
        <v>0.21353723150498721</v>
      </c>
      <c r="V421">
        <v>0.24276199897523237</v>
      </c>
      <c r="W421">
        <v>9.9457502186594327E-2</v>
      </c>
      <c r="X421">
        <v>1.6603440322298078E-2</v>
      </c>
      <c r="Y421">
        <v>4.437320639871194E-3</v>
      </c>
    </row>
    <row r="422" spans="1:25">
      <c r="A422" s="1010"/>
      <c r="B422" s="1351">
        <v>172</v>
      </c>
      <c r="C422" s="1014">
        <v>1.0264420403364727</v>
      </c>
      <c r="D422" s="1014">
        <v>0.98488633311461782</v>
      </c>
      <c r="E422" s="1014">
        <v>1.028941029442749</v>
      </c>
      <c r="F422" s="1014">
        <v>1.0324473482306331</v>
      </c>
      <c r="G422" s="1014">
        <v>0.99020156911620127</v>
      </c>
      <c r="H422" s="1014">
        <v>0.99986041595176434</v>
      </c>
      <c r="I422" s="1014">
        <v>0.99486835386630346</v>
      </c>
      <c r="K422">
        <v>2.4425051134776812</v>
      </c>
      <c r="L422">
        <v>0</v>
      </c>
      <c r="M422">
        <v>1.5109770987830047E-3</v>
      </c>
      <c r="N422">
        <v>0.15006269457493215</v>
      </c>
      <c r="O422">
        <v>2.0532419004421799E-2</v>
      </c>
      <c r="P422">
        <v>2.9529009100588005E-2</v>
      </c>
      <c r="Q422">
        <v>5.5302394617416225E-3</v>
      </c>
      <c r="R422">
        <v>1.4910297709563977E-3</v>
      </c>
      <c r="S422">
        <v>0.25280807259447452</v>
      </c>
      <c r="T422">
        <v>1.416792731303016</v>
      </c>
      <c r="U422">
        <v>0.20660935798815006</v>
      </c>
      <c r="V422">
        <v>0.24214895751365623</v>
      </c>
      <c r="W422">
        <v>9.69186644880696E-2</v>
      </c>
      <c r="X422">
        <v>1.7534823257748338E-2</v>
      </c>
      <c r="Y422">
        <v>4.0580915187114182E-3</v>
      </c>
    </row>
    <row r="423" spans="1:25">
      <c r="A423" s="1010"/>
      <c r="B423" s="1351">
        <v>173</v>
      </c>
      <c r="C423" s="1014">
        <v>1.0081743480746073</v>
      </c>
      <c r="D423" s="1014">
        <v>1.0122734871263432</v>
      </c>
      <c r="E423" s="1014">
        <v>0.98535797620230758</v>
      </c>
      <c r="F423" s="1014">
        <v>1.015345119101043</v>
      </c>
      <c r="G423" s="1014">
        <v>1.0326870890842432</v>
      </c>
      <c r="H423" s="1014">
        <v>1.0001177810417887</v>
      </c>
      <c r="I423" s="1014">
        <v>1.0052192816858052</v>
      </c>
      <c r="K423">
        <v>2.4267862446562178</v>
      </c>
      <c r="L423">
        <v>0</v>
      </c>
      <c r="M423">
        <v>1.6743753907027953E-3</v>
      </c>
      <c r="N423">
        <v>0.14578537214985468</v>
      </c>
      <c r="O423">
        <v>2.0750052919072587E-2</v>
      </c>
      <c r="P423">
        <v>2.8470343138839373E-2</v>
      </c>
      <c r="Q423">
        <v>5.3502182177330073E-3</v>
      </c>
      <c r="R423">
        <v>1.6522766308707069E-3</v>
      </c>
      <c r="S423">
        <v>0.25618557921545987</v>
      </c>
      <c r="T423">
        <v>1.3923654955278186</v>
      </c>
      <c r="U423">
        <v>0.21020510352396379</v>
      </c>
      <c r="V423">
        <v>0.25066252241133041</v>
      </c>
      <c r="W423">
        <v>9.6613038984766447E-2</v>
      </c>
      <c r="X423">
        <v>1.5923665010824754E-2</v>
      </c>
      <c r="Y423">
        <v>4.4969523163850807E-3</v>
      </c>
    </row>
    <row r="424" spans="1:25">
      <c r="A424" s="1010"/>
      <c r="B424" s="1351">
        <v>174</v>
      </c>
      <c r="C424" s="1014">
        <v>0.97802066593236181</v>
      </c>
      <c r="D424" s="1014">
        <v>1.0087622688652353</v>
      </c>
      <c r="E424" s="1014">
        <v>0.9954287671912152</v>
      </c>
      <c r="F424" s="1014">
        <v>1.0007234755276613</v>
      </c>
      <c r="G424" s="1014">
        <v>1.0223290445764444</v>
      </c>
      <c r="H424" s="1014">
        <v>1.0122273349101176</v>
      </c>
      <c r="I424" s="1014">
        <v>1.0120721399272614</v>
      </c>
      <c r="K424">
        <v>2.4392010663507491</v>
      </c>
      <c r="L424">
        <v>0</v>
      </c>
      <c r="M424">
        <v>1.7121451860428385E-3</v>
      </c>
      <c r="N424">
        <v>0.1537072589739307</v>
      </c>
      <c r="O424">
        <v>2.1412972442131136E-2</v>
      </c>
      <c r="P424">
        <v>2.8660814383466075E-2</v>
      </c>
      <c r="Q424">
        <v>5.5776217986954358E-3</v>
      </c>
      <c r="R424">
        <v>1.689818269635792E-3</v>
      </c>
      <c r="S424">
        <v>0.26749479520104563</v>
      </c>
      <c r="T424">
        <v>1.3725320527816336</v>
      </c>
      <c r="U424">
        <v>0.21672115160719577</v>
      </c>
      <c r="V424">
        <v>0.25076327058703191</v>
      </c>
      <c r="W424">
        <v>0.10125042901401542</v>
      </c>
      <c r="X424">
        <v>1.6503898196503785E-2</v>
      </c>
      <c r="Y424">
        <v>4.5991282815057493E-3</v>
      </c>
    </row>
    <row r="425" spans="1:25">
      <c r="A425" s="1010"/>
      <c r="B425" s="1351">
        <v>175</v>
      </c>
      <c r="C425" s="1014">
        <v>0.97317088313889399</v>
      </c>
      <c r="D425" s="1014">
        <v>1.0045570705665976</v>
      </c>
      <c r="E425" s="1014">
        <v>0.98583834856380426</v>
      </c>
      <c r="F425" s="1014">
        <v>0.97532510416838825</v>
      </c>
      <c r="G425" s="1014">
        <v>0.95910911816069888</v>
      </c>
      <c r="H425" s="1014">
        <v>0.98298450743059274</v>
      </c>
      <c r="I425" s="1014">
        <v>0.99682241900122037</v>
      </c>
      <c r="K425">
        <v>2.3808979797084833</v>
      </c>
      <c r="L425">
        <v>0</v>
      </c>
      <c r="M425">
        <v>1.7060597446615653E-3</v>
      </c>
      <c r="N425">
        <v>0.14872537119014018</v>
      </c>
      <c r="O425">
        <v>2.1532945700409995E-2</v>
      </c>
      <c r="P425">
        <v>2.7790353042278112E-2</v>
      </c>
      <c r="Q425">
        <v>5.5547832528265104E-3</v>
      </c>
      <c r="R425">
        <v>1.6831503411851489E-3</v>
      </c>
      <c r="S425">
        <v>0.26270484463255217</v>
      </c>
      <c r="T425">
        <v>1.3374952563664693</v>
      </c>
      <c r="U425">
        <v>0.21776754229957207</v>
      </c>
      <c r="V425">
        <v>0.24031619300066054</v>
      </c>
      <c r="W425">
        <v>9.8532939875856693E-2</v>
      </c>
      <c r="X425">
        <v>1.591967937284797E-2</v>
      </c>
      <c r="Y425">
        <v>4.5809803783451227E-3</v>
      </c>
    </row>
    <row r="426" spans="1:25">
      <c r="A426" s="1010"/>
      <c r="B426" s="1351">
        <v>176</v>
      </c>
      <c r="C426" s="1014">
        <v>0.97011071645481861</v>
      </c>
      <c r="D426" s="1014">
        <v>0.98826440430592044</v>
      </c>
      <c r="E426" s="1014">
        <v>1.0018198688963427</v>
      </c>
      <c r="F426" s="1014">
        <v>0.96953864226791031</v>
      </c>
      <c r="G426" s="1014">
        <v>0.99616894379154008</v>
      </c>
      <c r="H426" s="1014">
        <v>1.032062031436527</v>
      </c>
      <c r="I426" s="1014">
        <v>1.0180392760408983</v>
      </c>
      <c r="K426">
        <v>2.41265000668758</v>
      </c>
      <c r="L426">
        <v>0</v>
      </c>
      <c r="M426">
        <v>1.7446176140362667E-3</v>
      </c>
      <c r="N426">
        <v>0.15971691050636444</v>
      </c>
      <c r="O426">
        <v>2.1689667862089739E-2</v>
      </c>
      <c r="P426">
        <v>2.8300239350517401E-2</v>
      </c>
      <c r="Q426">
        <v>5.6861345181877946E-3</v>
      </c>
      <c r="R426">
        <v>1.7223044750705036E-3</v>
      </c>
      <c r="S426">
        <v>0.27589466951976377</v>
      </c>
      <c r="T426">
        <v>1.3298947941237185</v>
      </c>
      <c r="U426">
        <v>0.21851073590902742</v>
      </c>
      <c r="V426">
        <v>0.24679282189867485</v>
      </c>
      <c r="W426">
        <v>0.10480980746263394</v>
      </c>
      <c r="X426">
        <v>1.6688993651942222E-2</v>
      </c>
      <c r="Y426">
        <v>4.6875450236242931E-3</v>
      </c>
    </row>
    <row r="427" spans="1:25">
      <c r="A427" s="1010"/>
      <c r="B427" s="1351">
        <v>177</v>
      </c>
      <c r="C427" s="1014">
        <v>1.0149186900650398</v>
      </c>
      <c r="D427" s="1014">
        <v>1.0105046643239453</v>
      </c>
      <c r="E427" s="1014">
        <v>0.98490435409245669</v>
      </c>
      <c r="F427" s="1014">
        <v>0.96439560981962702</v>
      </c>
      <c r="G427" s="1014">
        <v>0.99429852517232886</v>
      </c>
      <c r="H427" s="1014">
        <v>1.0067549076684084</v>
      </c>
      <c r="I427" s="1014">
        <v>0.97371469119997522</v>
      </c>
      <c r="K427">
        <v>2.3378351411434486</v>
      </c>
      <c r="L427">
        <v>0</v>
      </c>
      <c r="M427">
        <v>1.6765041334479843E-3</v>
      </c>
      <c r="N427">
        <v>0.1457834389930617</v>
      </c>
      <c r="O427">
        <v>2.0619801571936401E-2</v>
      </c>
      <c r="P427">
        <v>2.7284486074185033E-2</v>
      </c>
      <c r="Q427">
        <v>5.3141903116913566E-3</v>
      </c>
      <c r="R427">
        <v>1.654523151399924E-3</v>
      </c>
      <c r="S427">
        <v>0.24725941712814756</v>
      </c>
      <c r="T427">
        <v>1.3224878597710243</v>
      </c>
      <c r="U427">
        <v>0.20880672351045118</v>
      </c>
      <c r="V427">
        <v>0.24369464281549555</v>
      </c>
      <c r="W427">
        <v>9.6638116805021865E-2</v>
      </c>
      <c r="X427">
        <v>1.5465378539778462E-2</v>
      </c>
      <c r="Y427">
        <v>4.5030666047003176E-3</v>
      </c>
    </row>
    <row r="428" spans="1:25">
      <c r="A428" s="1010"/>
      <c r="B428" s="1351">
        <v>178</v>
      </c>
      <c r="C428" s="1014">
        <v>0.98306393104151713</v>
      </c>
      <c r="D428" s="1014">
        <v>1.0224246712892922</v>
      </c>
      <c r="E428" s="1014">
        <v>1.0325769124651902</v>
      </c>
      <c r="F428" s="1014">
        <v>0.99810272103633546</v>
      </c>
      <c r="G428" s="1014">
        <v>1.0158065254187183</v>
      </c>
      <c r="H428" s="1014">
        <v>0.98527043978458884</v>
      </c>
      <c r="I428" s="1014">
        <v>0.99764494880124366</v>
      </c>
      <c r="K428">
        <v>2.4240106334934119</v>
      </c>
      <c r="L428">
        <v>0</v>
      </c>
      <c r="M428">
        <v>1.5302483940592049E-3</v>
      </c>
      <c r="N428">
        <v>0.1536210129225348</v>
      </c>
      <c r="O428">
        <v>2.1265175044133253E-2</v>
      </c>
      <c r="P428">
        <v>2.9255845647100539E-2</v>
      </c>
      <c r="Q428">
        <v>5.7482192242090625E-3</v>
      </c>
      <c r="R428">
        <v>1.5097475048999949E-3</v>
      </c>
      <c r="S428">
        <v>0.2585670115892359</v>
      </c>
      <c r="T428">
        <v>1.3697417135279042</v>
      </c>
      <c r="U428">
        <v>0.21573878375245509</v>
      </c>
      <c r="V428">
        <v>0.2491886980380883</v>
      </c>
      <c r="W428">
        <v>9.9007764257990211E-2</v>
      </c>
      <c r="X428">
        <v>1.7787875358715122E-2</v>
      </c>
      <c r="Y428">
        <v>4.1090350202065522E-3</v>
      </c>
    </row>
    <row r="429" spans="1:25">
      <c r="A429" s="1010"/>
      <c r="B429" s="1351">
        <v>179</v>
      </c>
      <c r="C429" s="1014">
        <v>0.97652184073380754</v>
      </c>
      <c r="D429" s="1014">
        <v>1.0151337203961486</v>
      </c>
      <c r="E429" s="1014">
        <v>1.0048361265723378</v>
      </c>
      <c r="F429" s="1014">
        <v>0.98890490100709827</v>
      </c>
      <c r="G429" s="1014">
        <v>1.0156104492497631</v>
      </c>
      <c r="H429" s="1014">
        <v>0.9924532958692257</v>
      </c>
      <c r="I429" s="1014">
        <v>0.95886876349477146</v>
      </c>
      <c r="K429">
        <v>2.4029342331037764</v>
      </c>
      <c r="L429">
        <v>0</v>
      </c>
      <c r="M429">
        <v>1.6465018508814895E-3</v>
      </c>
      <c r="N429">
        <v>0.15203546880547583</v>
      </c>
      <c r="O429">
        <v>2.1422525334846718E-2</v>
      </c>
      <c r="P429">
        <v>2.8413697944525765E-2</v>
      </c>
      <c r="Q429">
        <v>5.6331225551281908E-3</v>
      </c>
      <c r="R429">
        <v>1.6246031494050288E-3</v>
      </c>
      <c r="S429">
        <v>0.25145584354129069</v>
      </c>
      <c r="T429">
        <v>1.3565236202779447</v>
      </c>
      <c r="U429">
        <v>0.21708671874944305</v>
      </c>
      <c r="V429">
        <v>0.24967951257542395</v>
      </c>
      <c r="W429">
        <v>9.9590846315063028E-2</v>
      </c>
      <c r="X429">
        <v>1.669314148371134E-2</v>
      </c>
      <c r="Y429">
        <v>4.4216342223962193E-3</v>
      </c>
    </row>
    <row r="430" spans="1:25">
      <c r="A430" s="1010"/>
      <c r="B430" s="1351">
        <v>180</v>
      </c>
      <c r="C430" s="1014">
        <v>0.98228433828097572</v>
      </c>
      <c r="D430" s="1014">
        <v>1.0172045903124902</v>
      </c>
      <c r="E430" s="1014">
        <v>0.9678817320994737</v>
      </c>
      <c r="F430" s="1014">
        <v>0.99708629580423558</v>
      </c>
      <c r="G430" s="1014">
        <v>1.0159001021989</v>
      </c>
      <c r="H430" s="1014">
        <v>1.038857055646476</v>
      </c>
      <c r="I430" s="1014">
        <v>0.98676999942821275</v>
      </c>
      <c r="K430">
        <v>2.4226372874356716</v>
      </c>
      <c r="L430">
        <v>0</v>
      </c>
      <c r="M430">
        <v>1.8487459050937289E-3</v>
      </c>
      <c r="N430">
        <v>0.1527512991001484</v>
      </c>
      <c r="O430">
        <v>2.1262485555586515E-2</v>
      </c>
      <c r="P430">
        <v>2.7872336323589559E-2</v>
      </c>
      <c r="Q430">
        <v>5.3856416231818369E-3</v>
      </c>
      <c r="R430">
        <v>1.8252556545071809E-3</v>
      </c>
      <c r="S430">
        <v>0.26063982123085577</v>
      </c>
      <c r="T430">
        <v>1.3669517088976757</v>
      </c>
      <c r="U430">
        <v>0.21568488144863776</v>
      </c>
      <c r="V430">
        <v>0.249490578325544</v>
      </c>
      <c r="W430">
        <v>0.10230620416271545</v>
      </c>
      <c r="X430">
        <v>1.5348076822117697E-2</v>
      </c>
      <c r="Y430">
        <v>4.9677441962037456E-3</v>
      </c>
    </row>
    <row r="431" spans="1:25">
      <c r="A431" s="1010"/>
      <c r="B431" s="1351">
        <v>181</v>
      </c>
      <c r="C431" s="1014">
        <v>1.0122228885386968</v>
      </c>
      <c r="D431" s="1014">
        <v>1.0002646257363028</v>
      </c>
      <c r="E431" s="1014">
        <v>1.0095135115160196</v>
      </c>
      <c r="F431" s="1014">
        <v>0.98432909359937737</v>
      </c>
      <c r="G431" s="1014">
        <v>1.0057667846499672</v>
      </c>
      <c r="H431" s="1014">
        <v>1.0410250518887316</v>
      </c>
      <c r="I431" s="1014">
        <v>0.98016409508870206</v>
      </c>
      <c r="K431">
        <v>2.3914246921524263</v>
      </c>
      <c r="L431">
        <v>0</v>
      </c>
      <c r="M431">
        <v>1.6554292750390906E-3</v>
      </c>
      <c r="N431">
        <v>0.15513161942552336</v>
      </c>
      <c r="O431">
        <v>2.0737223490155939E-2</v>
      </c>
      <c r="P431">
        <v>2.8301022564052713E-2</v>
      </c>
      <c r="Q431">
        <v>5.4785161062331309E-3</v>
      </c>
      <c r="R431">
        <v>1.6344391189213082E-3</v>
      </c>
      <c r="S431">
        <v>0.25385168491299265</v>
      </c>
      <c r="T431">
        <v>1.3503465085005504</v>
      </c>
      <c r="U431">
        <v>0.20944589456753782</v>
      </c>
      <c r="V431">
        <v>0.24572819612961494</v>
      </c>
      <c r="W431">
        <v>0.10133846337227283</v>
      </c>
      <c r="X431">
        <v>1.6638148750615658E-2</v>
      </c>
      <c r="Y431">
        <v>4.4484044889930522E-3</v>
      </c>
    </row>
    <row r="432" spans="1:25">
      <c r="A432" s="1010"/>
      <c r="B432" s="1351">
        <v>182</v>
      </c>
      <c r="C432" s="1014">
        <v>0.98031463737737767</v>
      </c>
      <c r="D432" s="1014">
        <v>1.0380544417008906</v>
      </c>
      <c r="E432" s="1014">
        <v>1.0033496699566797</v>
      </c>
      <c r="F432" s="1014">
        <v>1.0207213102209938</v>
      </c>
      <c r="G432" s="1014">
        <v>0.96456761645050892</v>
      </c>
      <c r="H432" s="1014">
        <v>0.98421868096192267</v>
      </c>
      <c r="I432" s="1014">
        <v>1.019487184218097</v>
      </c>
      <c r="K432">
        <v>2.4437273236088757</v>
      </c>
      <c r="L432">
        <v>0</v>
      </c>
      <c r="M432">
        <v>1.6235544081004889E-3</v>
      </c>
      <c r="N432">
        <v>0.14922815539055453</v>
      </c>
      <c r="O432">
        <v>2.1234077569244E-2</v>
      </c>
      <c r="P432">
        <v>2.8997887239744783E-2</v>
      </c>
      <c r="Q432">
        <v>5.5752519514218109E-3</v>
      </c>
      <c r="R432">
        <v>1.6017802455035152E-3</v>
      </c>
      <c r="S432">
        <v>0.26263760619185911</v>
      </c>
      <c r="T432">
        <v>1.4001347221684948</v>
      </c>
      <c r="U432">
        <v>0.21624163285112477</v>
      </c>
      <c r="V432">
        <v>0.24072185173588428</v>
      </c>
      <c r="W432">
        <v>9.7838035588205474E-2</v>
      </c>
      <c r="X432">
        <v>1.6780359283394861E-2</v>
      </c>
      <c r="Y432">
        <v>4.3595178015445506E-3</v>
      </c>
    </row>
    <row r="433" spans="1:25">
      <c r="A433" s="1010"/>
      <c r="B433" s="1351">
        <v>183</v>
      </c>
      <c r="C433" s="1014">
        <v>1.0150925372006512</v>
      </c>
      <c r="D433" s="1014">
        <v>0.98640967115615996</v>
      </c>
      <c r="E433" s="1014">
        <v>1.0310150081783502</v>
      </c>
      <c r="F433" s="1014">
        <v>1.0192238626997345</v>
      </c>
      <c r="G433" s="1014">
        <v>1.005595120632562</v>
      </c>
      <c r="H433" s="1014">
        <v>1.0253986383500118</v>
      </c>
      <c r="I433" s="1014">
        <v>0.99791410299569405</v>
      </c>
      <c r="K433">
        <v>2.4456541436297488</v>
      </c>
      <c r="L433">
        <v>0</v>
      </c>
      <c r="M433">
        <v>1.5596081004999067E-3</v>
      </c>
      <c r="N433">
        <v>0.15591586328238097</v>
      </c>
      <c r="O433">
        <v>2.075629504807391E-2</v>
      </c>
      <c r="P433">
        <v>2.9476983314746248E-2</v>
      </c>
      <c r="Q433">
        <v>5.6020141226028755E-3</v>
      </c>
      <c r="R433">
        <v>1.5395315560708482E-3</v>
      </c>
      <c r="S433">
        <v>0.25837920298245542</v>
      </c>
      <c r="T433">
        <v>1.398692572770478</v>
      </c>
      <c r="U433">
        <v>0.20892642254420693</v>
      </c>
      <c r="V433">
        <v>0.2454482912813247</v>
      </c>
      <c r="W433">
        <v>0.10057779970640467</v>
      </c>
      <c r="X433">
        <v>1.7708677732320224E-2</v>
      </c>
      <c r="Y433">
        <v>4.1900973891837862E-3</v>
      </c>
    </row>
    <row r="434" spans="1:25">
      <c r="A434" s="1010"/>
      <c r="B434" s="1351">
        <v>184</v>
      </c>
      <c r="C434" s="1014">
        <v>0.9819154183612061</v>
      </c>
      <c r="D434" s="1014">
        <v>0.97245856777586814</v>
      </c>
      <c r="E434" s="1014">
        <v>1.0136675322630861</v>
      </c>
      <c r="F434" s="1014">
        <v>1.0285053595585578</v>
      </c>
      <c r="G434" s="1014">
        <v>0.97864441435254501</v>
      </c>
      <c r="H434" s="1014">
        <v>1.0017003777540803</v>
      </c>
      <c r="I434" s="1014">
        <v>0.96203287763875101</v>
      </c>
      <c r="K434">
        <v>2.4620267753369789</v>
      </c>
      <c r="L434">
        <v>0</v>
      </c>
      <c r="M434">
        <v>1.6380762998442391E-3</v>
      </c>
      <c r="N434">
        <v>0.15536409250062924</v>
      </c>
      <c r="O434">
        <v>2.1513122710337659E-2</v>
      </c>
      <c r="P434">
        <v>2.932253076741239E-2</v>
      </c>
      <c r="Q434">
        <v>5.7071281443108503E-3</v>
      </c>
      <c r="R434">
        <v>1.6164907802245991E-3</v>
      </c>
      <c r="S434">
        <v>0.25721910631179745</v>
      </c>
      <c r="T434">
        <v>1.4110420966348416</v>
      </c>
      <c r="U434">
        <v>0.21592506772404232</v>
      </c>
      <c r="V434">
        <v>0.24298636562969544</v>
      </c>
      <c r="W434">
        <v>0.101242335864222</v>
      </c>
      <c r="X434">
        <v>1.7326959541579541E-2</v>
      </c>
      <c r="Y434">
        <v>4.3995550277288707E-3</v>
      </c>
    </row>
    <row r="435" spans="1:25">
      <c r="A435" s="1010"/>
      <c r="B435" s="1351">
        <v>185</v>
      </c>
      <c r="C435" s="1014">
        <v>0.99201701091583694</v>
      </c>
      <c r="D435" s="1014">
        <v>0.98098968924948571</v>
      </c>
      <c r="E435" s="1014">
        <v>1.0266020789158339</v>
      </c>
      <c r="F435" s="1014">
        <v>0.99510518329174447</v>
      </c>
      <c r="G435" s="1014">
        <v>0.97983622232153222</v>
      </c>
      <c r="H435" s="1014">
        <v>1.0279100587030801</v>
      </c>
      <c r="I435" s="1014">
        <v>0.99525268631203223</v>
      </c>
      <c r="K435">
        <v>2.4269029428421538</v>
      </c>
      <c r="L435">
        <v>0</v>
      </c>
      <c r="M435">
        <v>1.6165297039782045E-3</v>
      </c>
      <c r="N435">
        <v>0.15947565023409291</v>
      </c>
      <c r="O435">
        <v>2.1261894835586659E-2</v>
      </c>
      <c r="P435">
        <v>2.903356021190719E-2</v>
      </c>
      <c r="Q435">
        <v>5.7134738672114079E-3</v>
      </c>
      <c r="R435">
        <v>1.5957712602195204E-3</v>
      </c>
      <c r="S435">
        <v>0.26459096563129186</v>
      </c>
      <c r="T435">
        <v>1.3654987233477516</v>
      </c>
      <c r="U435">
        <v>0.21377103415037682</v>
      </c>
      <c r="V435">
        <v>0.2424985781338673</v>
      </c>
      <c r="W435">
        <v>0.10313824511756418</v>
      </c>
      <c r="X435">
        <v>1.7598412431798317E-2</v>
      </c>
      <c r="Y435">
        <v>4.3431633244629822E-3</v>
      </c>
    </row>
    <row r="436" spans="1:25">
      <c r="A436" s="1010"/>
      <c r="B436" s="1351">
        <v>186</v>
      </c>
      <c r="C436" s="1014">
        <v>1.0159289483872096</v>
      </c>
      <c r="D436" s="1014">
        <v>1.0071046793633149</v>
      </c>
      <c r="E436" s="1014">
        <v>0.99587974530066159</v>
      </c>
      <c r="F436" s="1014">
        <v>0.99606569985160021</v>
      </c>
      <c r="G436" s="1014">
        <v>0.99945903212542431</v>
      </c>
      <c r="H436" s="1014">
        <v>0.98899749228136757</v>
      </c>
      <c r="I436" s="1014">
        <v>1.0355751654865701</v>
      </c>
      <c r="K436">
        <v>2.3956057691456842</v>
      </c>
      <c r="L436">
        <v>0</v>
      </c>
      <c r="M436">
        <v>1.6095095160226672E-3</v>
      </c>
      <c r="N436">
        <v>0.14464534215710906</v>
      </c>
      <c r="O436">
        <v>2.0621724116833572E-2</v>
      </c>
      <c r="P436">
        <v>2.8309384865369051E-2</v>
      </c>
      <c r="Q436">
        <v>5.3739599216359709E-3</v>
      </c>
      <c r="R436">
        <v>1.5880280173605832E-3</v>
      </c>
      <c r="S436">
        <v>0.26170274017040573</v>
      </c>
      <c r="T436">
        <v>1.3661534351261992</v>
      </c>
      <c r="U436">
        <v>0.2086359541641496</v>
      </c>
      <c r="V436">
        <v>0.24447530077837404</v>
      </c>
      <c r="W436">
        <v>9.5255517359936412E-2</v>
      </c>
      <c r="X436">
        <v>1.6131803214373616E-2</v>
      </c>
      <c r="Y436">
        <v>4.3220887699602769E-3</v>
      </c>
    </row>
    <row r="437" spans="1:25">
      <c r="A437" s="1010"/>
      <c r="B437" s="1351">
        <v>187</v>
      </c>
      <c r="C437" s="1014">
        <v>1.0082639504217377</v>
      </c>
      <c r="D437" s="1014">
        <v>0.98590002400660015</v>
      </c>
      <c r="E437" s="1014">
        <v>1.0001370360146407</v>
      </c>
      <c r="F437" s="1014">
        <v>1.0026036720615565</v>
      </c>
      <c r="G437" s="1014">
        <v>0.99257487890017015</v>
      </c>
      <c r="H437" s="1014">
        <v>0.98473558458591259</v>
      </c>
      <c r="I437" s="1014">
        <v>0.99912439038428724</v>
      </c>
      <c r="K437">
        <v>2.4040481452556954</v>
      </c>
      <c r="L437">
        <v>0</v>
      </c>
      <c r="M437">
        <v>1.6080747529673754E-3</v>
      </c>
      <c r="N437">
        <v>0.14637890960756159</v>
      </c>
      <c r="O437">
        <v>2.0878808387769444E-2</v>
      </c>
      <c r="P437">
        <v>2.8468459747806641E-2</v>
      </c>
      <c r="Q437">
        <v>5.4643147108618482E-3</v>
      </c>
      <c r="R437">
        <v>1.5865195150908218E-3</v>
      </c>
      <c r="S437">
        <v>0.25681879044812383</v>
      </c>
      <c r="T437">
        <v>1.3752128682530462</v>
      </c>
      <c r="U437">
        <v>0.21023646960702835</v>
      </c>
      <c r="V437">
        <v>0.24375124076941518</v>
      </c>
      <c r="W437">
        <v>9.6153161650469873E-2</v>
      </c>
      <c r="X437">
        <v>1.6388694187429578E-2</v>
      </c>
      <c r="Y437">
        <v>4.3179831240596255E-3</v>
      </c>
    </row>
    <row r="438" spans="1:25">
      <c r="A438" s="1010"/>
      <c r="B438" s="1351">
        <v>188</v>
      </c>
      <c r="C438" s="1014">
        <v>1.0461410473886241</v>
      </c>
      <c r="D438" s="1014">
        <v>1.0355147783776562</v>
      </c>
      <c r="E438" s="1014">
        <v>1.0206990509206797</v>
      </c>
      <c r="F438" s="1014">
        <v>1.0063196011442255</v>
      </c>
      <c r="G438" s="1014">
        <v>0.98878147109737857</v>
      </c>
      <c r="H438" s="1014">
        <v>1.0014112300861946</v>
      </c>
      <c r="I438" s="1014">
        <v>1.0000075221242168</v>
      </c>
      <c r="K438">
        <v>2.3807745296883316</v>
      </c>
      <c r="L438">
        <v>0</v>
      </c>
      <c r="M438">
        <v>1.4939591511953342E-3</v>
      </c>
      <c r="N438">
        <v>0.14473313877529162</v>
      </c>
      <c r="O438">
        <v>1.9919632703920959E-2</v>
      </c>
      <c r="P438">
        <v>2.8646885533140039E-2</v>
      </c>
      <c r="Q438">
        <v>5.3215246467739627E-3</v>
      </c>
      <c r="R438">
        <v>1.4742670307291376E-3</v>
      </c>
      <c r="S438">
        <v>0.24322459620451159</v>
      </c>
      <c r="T438">
        <v>1.3807582466013157</v>
      </c>
      <c r="U438">
        <v>0.20269183815559269</v>
      </c>
      <c r="V438">
        <v>0.24079019080833167</v>
      </c>
      <c r="W438">
        <v>9.3926667456080054E-2</v>
      </c>
      <c r="X438">
        <v>1.6769032058188076E-2</v>
      </c>
      <c r="Y438">
        <v>4.0124688656486465E-3</v>
      </c>
    </row>
    <row r="439" spans="1:25">
      <c r="A439" s="1010"/>
      <c r="B439" s="1351">
        <v>189</v>
      </c>
      <c r="C439" s="1014">
        <v>0.99883061309116739</v>
      </c>
      <c r="D439" s="1014">
        <v>0.99440847585161074</v>
      </c>
      <c r="E439" s="1014">
        <v>0.96059772358527673</v>
      </c>
      <c r="F439" s="1014">
        <v>0.98260514750037564</v>
      </c>
      <c r="G439" s="1014">
        <v>0.98689565696828008</v>
      </c>
      <c r="H439" s="1014">
        <v>1.0089223023586515</v>
      </c>
      <c r="I439" s="1014">
        <v>1.0325309076032259</v>
      </c>
      <c r="K439">
        <v>2.3879803725484159</v>
      </c>
      <c r="L439">
        <v>0</v>
      </c>
      <c r="M439">
        <v>1.8014188796860193E-3</v>
      </c>
      <c r="N439">
        <v>0.14553720758801408</v>
      </c>
      <c r="O439">
        <v>2.1009968703833804E-2</v>
      </c>
      <c r="P439">
        <v>2.7429410420802387E-2</v>
      </c>
      <c r="Q439">
        <v>5.2820823094509037E-3</v>
      </c>
      <c r="R439">
        <v>1.7778508538189538E-3</v>
      </c>
      <c r="S439">
        <v>0.26855001107231558</v>
      </c>
      <c r="T439">
        <v>1.346945195514577</v>
      </c>
      <c r="U439">
        <v>0.21208714051537803</v>
      </c>
      <c r="V439">
        <v>0.24350784570892886</v>
      </c>
      <c r="W439">
        <v>9.7909602334794149E-2</v>
      </c>
      <c r="X439">
        <v>1.4906752450466371E-2</v>
      </c>
      <c r="Y439">
        <v>4.8387239557187399E-3</v>
      </c>
    </row>
    <row r="440" spans="1:25">
      <c r="A440" s="1010"/>
      <c r="B440" s="1351">
        <v>190</v>
      </c>
      <c r="C440" s="1014">
        <v>0.98013497013610429</v>
      </c>
      <c r="D440" s="1014">
        <v>0.98827831772676855</v>
      </c>
      <c r="E440" s="1014">
        <v>0.9958329456657925</v>
      </c>
      <c r="F440" s="1014">
        <v>0.95553408522825367</v>
      </c>
      <c r="G440" s="1014">
        <v>1.017375011998767</v>
      </c>
      <c r="H440" s="1014">
        <v>1.0119637759798836</v>
      </c>
      <c r="I440" s="1014">
        <v>1.0108417796452098</v>
      </c>
      <c r="K440">
        <v>2.3771960922818218</v>
      </c>
      <c r="L440">
        <v>0</v>
      </c>
      <c r="M440">
        <v>1.7142962892914759E-3</v>
      </c>
      <c r="N440">
        <v>0.15408794781661084</v>
      </c>
      <c r="O440">
        <v>2.1463708282871065E-2</v>
      </c>
      <c r="P440">
        <v>2.7831575866628017E-2</v>
      </c>
      <c r="Q440">
        <v>5.5931147669558319E-3</v>
      </c>
      <c r="R440">
        <v>1.6919354996197602E-3</v>
      </c>
      <c r="S440">
        <v>0.26932156036421107</v>
      </c>
      <c r="T440">
        <v>1.3105613520624624</v>
      </c>
      <c r="U440">
        <v>0.21625505884421037</v>
      </c>
      <c r="V440">
        <v>0.24977806828001853</v>
      </c>
      <c r="W440">
        <v>0.1014767332039532</v>
      </c>
      <c r="X440">
        <v>1.6244442899995007E-2</v>
      </c>
      <c r="Y440">
        <v>4.6048906835774363E-3</v>
      </c>
    </row>
    <row r="441" spans="1:25">
      <c r="A441" s="1010"/>
      <c r="B441" s="1351">
        <v>191</v>
      </c>
      <c r="C441" s="1014">
        <v>1.0241088135388647</v>
      </c>
      <c r="D441" s="1014">
        <v>0.99094501255536249</v>
      </c>
      <c r="E441" s="1014">
        <v>1.0434075166712564</v>
      </c>
      <c r="F441" s="1014">
        <v>0.97234973025978433</v>
      </c>
      <c r="G441" s="1014">
        <v>1.013130641846582</v>
      </c>
      <c r="H441" s="1014">
        <v>1.0096835266579145</v>
      </c>
      <c r="I441" s="1014">
        <v>1.0013661621390806</v>
      </c>
      <c r="K441">
        <v>2.3719884927853174</v>
      </c>
      <c r="L441">
        <v>0</v>
      </c>
      <c r="M441">
        <v>1.4818437314235156E-3</v>
      </c>
      <c r="N441">
        <v>0.15374639009406935</v>
      </c>
      <c r="O441">
        <v>2.0560895558222724E-2</v>
      </c>
      <c r="P441">
        <v>2.87788312822841E-2</v>
      </c>
      <c r="Q441">
        <v>5.6174156413193585E-3</v>
      </c>
      <c r="R441">
        <v>1.4624713346657562E-3</v>
      </c>
      <c r="S441">
        <v>0.25519106581752538</v>
      </c>
      <c r="T441">
        <v>1.3346291506506007</v>
      </c>
      <c r="U441">
        <v>0.20712862280063543</v>
      </c>
      <c r="V441">
        <v>0.24614886906963884</v>
      </c>
      <c r="W441">
        <v>9.8471427635979422E-2</v>
      </c>
      <c r="X441">
        <v>1.7754831762384248E-2</v>
      </c>
      <c r="Y441">
        <v>3.9803648694142829E-3</v>
      </c>
    </row>
    <row r="442" spans="1:25">
      <c r="A442" s="1010"/>
      <c r="B442" s="1351">
        <v>192</v>
      </c>
      <c r="C442" s="1014">
        <v>0.97444178843345997</v>
      </c>
      <c r="D442" s="1014">
        <v>0.99133554110374678</v>
      </c>
      <c r="E442" s="1014">
        <v>0.99038405469259194</v>
      </c>
      <c r="F442" s="1014">
        <v>0.99547484285066468</v>
      </c>
      <c r="G442" s="1014">
        <v>1.0311287616354641</v>
      </c>
      <c r="H442" s="1014">
        <v>0.98522635214869425</v>
      </c>
      <c r="I442" s="1014">
        <v>0.9989399228381074</v>
      </c>
      <c r="K442">
        <v>2.4256378215385013</v>
      </c>
      <c r="L442">
        <v>0</v>
      </c>
      <c r="M442">
        <v>1.6966615768701776E-3</v>
      </c>
      <c r="N442">
        <v>0.14995782134344765</v>
      </c>
      <c r="O442">
        <v>2.1570730730784877E-2</v>
      </c>
      <c r="P442">
        <v>2.8452875483691159E-2</v>
      </c>
      <c r="Q442">
        <v>5.5901833434364445E-3</v>
      </c>
      <c r="R442">
        <v>1.6739302166794551E-3</v>
      </c>
      <c r="S442">
        <v>0.2649101611927745</v>
      </c>
      <c r="T442">
        <v>1.3652248861134728</v>
      </c>
      <c r="U442">
        <v>0.21749943698142668</v>
      </c>
      <c r="V442">
        <v>0.25251932254219578</v>
      </c>
      <c r="W442">
        <v>9.9078878247828545E-2</v>
      </c>
      <c r="X442">
        <v>1.6300370680776072E-2</v>
      </c>
      <c r="Y442">
        <v>4.5558862388538511E-3</v>
      </c>
    </row>
    <row r="443" spans="1:25">
      <c r="A443" s="1010"/>
      <c r="B443" s="1351">
        <v>193</v>
      </c>
      <c r="C443" s="1014">
        <v>1.0128237380231859</v>
      </c>
      <c r="D443" s="1014">
        <v>0.99100570742142058</v>
      </c>
      <c r="E443" s="1014">
        <v>0.9693350625554592</v>
      </c>
      <c r="F443" s="1014">
        <v>0.99208224735081429</v>
      </c>
      <c r="G443" s="1014">
        <v>1.0278524272288065</v>
      </c>
      <c r="H443" s="1014">
        <v>1.0123402185578865</v>
      </c>
      <c r="I443" s="1014">
        <v>1.0000021182795509</v>
      </c>
      <c r="K443">
        <v>2.3923792425228245</v>
      </c>
      <c r="L443">
        <v>0</v>
      </c>
      <c r="M443">
        <v>1.7520302680082141E-3</v>
      </c>
      <c r="N443">
        <v>0.14534971495758953</v>
      </c>
      <c r="O443">
        <v>2.074103061727001E-2</v>
      </c>
      <c r="P443">
        <v>2.768272943429062E-2</v>
      </c>
      <c r="Q443">
        <v>5.2613762558708956E-3</v>
      </c>
      <c r="R443">
        <v>1.7291857850967121E-3</v>
      </c>
      <c r="S443">
        <v>0.25729507860090234</v>
      </c>
      <c r="T443">
        <v>1.3601224071083546</v>
      </c>
      <c r="U443">
        <v>0.20918627348012189</v>
      </c>
      <c r="V443">
        <v>0.24961367215351235</v>
      </c>
      <c r="W443">
        <v>9.7262777055207944E-2</v>
      </c>
      <c r="X443">
        <v>1.5180753661519891E-2</v>
      </c>
      <c r="Y443">
        <v>4.7062736810923895E-3</v>
      </c>
    </row>
    <row r="444" spans="1:25">
      <c r="A444" s="1010"/>
      <c r="B444" s="1351">
        <v>194</v>
      </c>
      <c r="C444" s="1014">
        <v>0.97400233749365317</v>
      </c>
      <c r="D444" s="1014">
        <v>0.97339300638572657</v>
      </c>
      <c r="E444" s="1014">
        <v>1.0239967940358463</v>
      </c>
      <c r="F444" s="1014">
        <v>1.0008956098105584</v>
      </c>
      <c r="G444" s="1014">
        <v>0.9937753348242172</v>
      </c>
      <c r="H444" s="1014">
        <v>1.0296415678755964</v>
      </c>
      <c r="I444" s="1014">
        <v>0.9713925858956014</v>
      </c>
      <c r="K444">
        <v>2.4480762993876222</v>
      </c>
      <c r="L444">
        <v>0</v>
      </c>
      <c r="M444">
        <v>1.6610113220948235E-3</v>
      </c>
      <c r="N444">
        <v>0.16258509867700888</v>
      </c>
      <c r="O444">
        <v>2.1690420082167917E-2</v>
      </c>
      <c r="P444">
        <v>2.9186422237851103E-2</v>
      </c>
      <c r="Q444">
        <v>5.8135937664724096E-3</v>
      </c>
      <c r="R444">
        <v>1.6397175430183967E-3</v>
      </c>
      <c r="S444">
        <v>0.2641769915133198</v>
      </c>
      <c r="T444">
        <v>1.3733877589052801</v>
      </c>
      <c r="U444">
        <v>0.21771566095023526</v>
      </c>
      <c r="V444">
        <v>0.24604995287843298</v>
      </c>
      <c r="W444">
        <v>0.10530895634044604</v>
      </c>
      <c r="X444">
        <v>1.7719967196131104E-2</v>
      </c>
      <c r="Y444">
        <v>4.4627706193532905E-3</v>
      </c>
    </row>
    <row r="445" spans="1:25">
      <c r="A445" s="1010"/>
      <c r="B445" s="1351">
        <v>195</v>
      </c>
      <c r="C445" s="1014">
        <v>1.0002718804646034</v>
      </c>
      <c r="D445" s="1014">
        <v>1.0189191000144433</v>
      </c>
      <c r="E445" s="1014">
        <v>0.99823468744649346</v>
      </c>
      <c r="F445" s="1014">
        <v>1.0380215294037367</v>
      </c>
      <c r="G445" s="1014">
        <v>1.0028311603282116</v>
      </c>
      <c r="H445" s="1014">
        <v>0.97883801760549738</v>
      </c>
      <c r="I445" s="1014">
        <v>0.9957084420411122</v>
      </c>
      <c r="K445">
        <v>2.4520933363560231</v>
      </c>
      <c r="L445">
        <v>0</v>
      </c>
      <c r="M445">
        <v>1.6059042255370576E-3</v>
      </c>
      <c r="N445">
        <v>0.14533163083669709</v>
      </c>
      <c r="O445">
        <v>2.0892396566415172E-2</v>
      </c>
      <c r="P445">
        <v>2.9094319502363325E-2</v>
      </c>
      <c r="Q445">
        <v>5.4574205685556255E-3</v>
      </c>
      <c r="R445">
        <v>1.5842483857180746E-3</v>
      </c>
      <c r="S445">
        <v>0.2532423629757623</v>
      </c>
      <c r="T445">
        <v>1.4237507715784985</v>
      </c>
      <c r="U445">
        <v>0.21190973740898894</v>
      </c>
      <c r="V445">
        <v>0.24600399417216559</v>
      </c>
      <c r="W445">
        <v>9.5573295189651755E-2</v>
      </c>
      <c r="X445">
        <v>1.6547261538160836E-2</v>
      </c>
      <c r="Y445">
        <v>4.311801858584605E-3</v>
      </c>
    </row>
    <row r="446" spans="1:25">
      <c r="A446" s="1010"/>
      <c r="B446" s="1351">
        <v>196</v>
      </c>
      <c r="C446" s="1014">
        <v>1.0134025465402272</v>
      </c>
      <c r="D446" s="1014">
        <v>1.0225037025635495</v>
      </c>
      <c r="E446" s="1014">
        <v>0.98949730917314549</v>
      </c>
      <c r="F446" s="1014">
        <v>0.99492851867121601</v>
      </c>
      <c r="G446" s="1014">
        <v>0.99048627220403129</v>
      </c>
      <c r="H446" s="1014">
        <v>0.96816758252023472</v>
      </c>
      <c r="I446" s="1014">
        <v>1.0362749092447103</v>
      </c>
      <c r="K446">
        <v>2.3830614367262863</v>
      </c>
      <c r="L446">
        <v>0</v>
      </c>
      <c r="M446">
        <v>1.5952307131949436E-3</v>
      </c>
      <c r="N446">
        <v>0.14058180593353245</v>
      </c>
      <c r="O446">
        <v>2.0600078531481669E-2</v>
      </c>
      <c r="P446">
        <v>2.8098824200498633E-2</v>
      </c>
      <c r="Q446">
        <v>5.3338500581908681E-3</v>
      </c>
      <c r="R446">
        <v>1.5734817186640881E-3</v>
      </c>
      <c r="S446">
        <v>0.25869330502497451</v>
      </c>
      <c r="T446">
        <v>1.3644565978998229</v>
      </c>
      <c r="U446">
        <v>0.20913457817355011</v>
      </c>
      <c r="V446">
        <v>0.24311876919191391</v>
      </c>
      <c r="W446">
        <v>9.2933392491611019E-2</v>
      </c>
      <c r="X446">
        <v>1.5849485675147702E-2</v>
      </c>
      <c r="Y446">
        <v>4.2824985400944935E-3</v>
      </c>
    </row>
    <row r="447" spans="1:25">
      <c r="A447" s="1010"/>
      <c r="B447" s="1351">
        <v>197</v>
      </c>
      <c r="C447" s="1014">
        <v>1.0112716924871357</v>
      </c>
      <c r="D447" s="1014">
        <v>1.001714609968769</v>
      </c>
      <c r="E447" s="1014">
        <v>0.95998365314639422</v>
      </c>
      <c r="F447" s="1014">
        <v>0.97586705677369101</v>
      </c>
      <c r="G447" s="1014">
        <v>0.99306938832473879</v>
      </c>
      <c r="H447" s="1014">
        <v>0.96503127599859462</v>
      </c>
      <c r="I447" s="1014">
        <v>0.97885694022944336</v>
      </c>
      <c r="K447">
        <v>2.3393780586125392</v>
      </c>
      <c r="L447">
        <v>0</v>
      </c>
      <c r="M447">
        <v>1.7012676487954993E-3</v>
      </c>
      <c r="N447">
        <v>0.13710773900690493</v>
      </c>
      <c r="O447">
        <v>2.0717702288822762E-2</v>
      </c>
      <c r="P447">
        <v>2.6976918706646678E-2</v>
      </c>
      <c r="Q447">
        <v>5.2053182798933078E-3</v>
      </c>
      <c r="R447">
        <v>1.677997590396101E-3</v>
      </c>
      <c r="S447">
        <v>0.246925939704985</v>
      </c>
      <c r="T447">
        <v>1.3376958367117513</v>
      </c>
      <c r="U447">
        <v>0.2094758954085183</v>
      </c>
      <c r="V447">
        <v>0.24379759371270046</v>
      </c>
      <c r="W447">
        <v>9.2273456724362615E-2</v>
      </c>
      <c r="X447">
        <v>1.465797183705434E-2</v>
      </c>
      <c r="Y447">
        <v>4.5669562893011738E-3</v>
      </c>
    </row>
    <row r="448" spans="1:25">
      <c r="A448" s="1010"/>
      <c r="B448" s="1351">
        <v>198</v>
      </c>
      <c r="C448" s="1014">
        <v>1.0008568431316336</v>
      </c>
      <c r="D448" s="1014">
        <v>1.03107381019119</v>
      </c>
      <c r="E448" s="1014">
        <v>1.0219513945711605</v>
      </c>
      <c r="F448" s="1014">
        <v>1.0216698576991645</v>
      </c>
      <c r="G448" s="1014">
        <v>0.95706236578210435</v>
      </c>
      <c r="H448" s="1014">
        <v>0.99206082512889449</v>
      </c>
      <c r="I448" s="1014">
        <v>0.97862732256842366</v>
      </c>
      <c r="K448">
        <v>2.4248476976231697</v>
      </c>
      <c r="L448">
        <v>0</v>
      </c>
      <c r="M448">
        <v>1.5444064851280865E-3</v>
      </c>
      <c r="N448">
        <v>0.15016780135624658</v>
      </c>
      <c r="O448">
        <v>2.0841428899926157E-2</v>
      </c>
      <c r="P448">
        <v>2.9129249921432555E-2</v>
      </c>
      <c r="Q448">
        <v>5.5747134596592666E-3</v>
      </c>
      <c r="R448">
        <v>1.5238575398974711E-3</v>
      </c>
      <c r="S448">
        <v>0.24856222673300926</v>
      </c>
      <c r="T448">
        <v>1.4018479260964798</v>
      </c>
      <c r="U448">
        <v>0.21186700979351</v>
      </c>
      <c r="V448">
        <v>0.23807189194514203</v>
      </c>
      <c r="W448">
        <v>9.7382267915491372E-2</v>
      </c>
      <c r="X448">
        <v>1.7276292563406809E-2</v>
      </c>
      <c r="Y448">
        <v>4.1474378840978942E-3</v>
      </c>
    </row>
    <row r="449" spans="1:25">
      <c r="A449" s="1010"/>
      <c r="B449" s="1351">
        <v>199</v>
      </c>
      <c r="C449" s="1014">
        <v>0.9747920324068492</v>
      </c>
      <c r="D449" s="1014">
        <v>0.9976872007842128</v>
      </c>
      <c r="E449" s="1014">
        <v>0.98914935784144264</v>
      </c>
      <c r="F449" s="1014">
        <v>0.97143684147749465</v>
      </c>
      <c r="G449" s="1014">
        <v>0.99553943135749401</v>
      </c>
      <c r="H449" s="1014">
        <v>0.993146533873565</v>
      </c>
      <c r="I449" s="1014">
        <v>0.98582704626249451</v>
      </c>
      <c r="K449">
        <v>2.3832167719357833</v>
      </c>
      <c r="L449">
        <v>0</v>
      </c>
      <c r="M449">
        <v>1.711657066243132E-3</v>
      </c>
      <c r="N449">
        <v>0.15073580457555094</v>
      </c>
      <c r="O449">
        <v>2.1531864168298057E-2</v>
      </c>
      <c r="P449">
        <v>2.7845669730358822E-2</v>
      </c>
      <c r="Q449">
        <v>5.5731503683220402E-3</v>
      </c>
      <c r="R449">
        <v>1.6889076820848707E-3</v>
      </c>
      <c r="S449">
        <v>0.2611720887560674</v>
      </c>
      <c r="T449">
        <v>1.3322325425429919</v>
      </c>
      <c r="U449">
        <v>0.21741696657611906</v>
      </c>
      <c r="V449">
        <v>0.24642145868327447</v>
      </c>
      <c r="W449">
        <v>9.9666606424165333E-2</v>
      </c>
      <c r="X449">
        <v>1.6046719532422853E-2</v>
      </c>
      <c r="Y449">
        <v>4.5966499623672479E-3</v>
      </c>
    </row>
    <row r="450" spans="1:25">
      <c r="A450" s="1010"/>
      <c r="B450" s="1351">
        <v>200</v>
      </c>
      <c r="C450" s="1014">
        <v>1.0201575136469914</v>
      </c>
      <c r="D450" s="1014">
        <v>0.99445503619662801</v>
      </c>
      <c r="E450" s="1014">
        <v>1.0085865131844909</v>
      </c>
      <c r="F450" s="1014">
        <v>0.96832704201351405</v>
      </c>
      <c r="G450" s="1014">
        <v>1.0042289797864437</v>
      </c>
      <c r="H450" s="1014">
        <v>0.97924079839801637</v>
      </c>
      <c r="I450" s="1014">
        <v>1.006821993165427</v>
      </c>
      <c r="K450">
        <v>2.3492821491284666</v>
      </c>
      <c r="L450">
        <v>0</v>
      </c>
      <c r="M450">
        <v>1.5500320534538507E-3</v>
      </c>
      <c r="N450">
        <v>0.14473142142070644</v>
      </c>
      <c r="O450">
        <v>2.0601712853058625E-2</v>
      </c>
      <c r="P450">
        <v>2.7953158155827419E-2</v>
      </c>
      <c r="Q450">
        <v>5.4376720108824904E-3</v>
      </c>
      <c r="R450">
        <v>1.5291382551382291E-3</v>
      </c>
      <c r="S450">
        <v>0.25427603495215512</v>
      </c>
      <c r="T450">
        <v>1.3283747317703101</v>
      </c>
      <c r="U450">
        <v>0.20781374681574491</v>
      </c>
      <c r="V450">
        <v>0.24498947818767763</v>
      </c>
      <c r="W450">
        <v>9.459635262800288E-2</v>
      </c>
      <c r="X450">
        <v>1.6366923882220379E-2</v>
      </c>
      <c r="Y450">
        <v>4.1618102501959275E-3</v>
      </c>
    </row>
    <row r="451" spans="1:25">
      <c r="A451" s="1010"/>
      <c r="B451" s="1351">
        <v>201</v>
      </c>
      <c r="C451" s="1014">
        <v>0.99978383796459014</v>
      </c>
      <c r="D451" s="1014">
        <v>1.0343703076513782</v>
      </c>
      <c r="E451" s="1014">
        <v>1.020091414191213</v>
      </c>
      <c r="F451" s="1014">
        <v>0.98140501627195009</v>
      </c>
      <c r="G451" s="1014">
        <v>0.9731225268554029</v>
      </c>
      <c r="H451" s="1014">
        <v>0.98474006516332868</v>
      </c>
      <c r="I451" s="1014">
        <v>0.98479595307961332</v>
      </c>
      <c r="K451">
        <v>2.3702317136688751</v>
      </c>
      <c r="L451">
        <v>0</v>
      </c>
      <c r="M451">
        <v>1.5395250734970081E-3</v>
      </c>
      <c r="N451">
        <v>0.14884070539560015</v>
      </c>
      <c r="O451">
        <v>2.0847920736812939E-2</v>
      </c>
      <c r="P451">
        <v>2.8377208584829016E-2</v>
      </c>
      <c r="Q451">
        <v>5.5661538737606774E-3</v>
      </c>
      <c r="R451">
        <v>1.5188887951625605E-3</v>
      </c>
      <c r="S451">
        <v>0.24937622691334227</v>
      </c>
      <c r="T451">
        <v>1.3465603140447839</v>
      </c>
      <c r="U451">
        <v>0.21208801373167202</v>
      </c>
      <c r="V451">
        <v>0.24088604173691031</v>
      </c>
      <c r="W451">
        <v>9.6626666309251513E-2</v>
      </c>
      <c r="X451">
        <v>1.6949184021370422E-2</v>
      </c>
      <c r="Y451">
        <v>4.1339145988757318E-3</v>
      </c>
    </row>
    <row r="452" spans="1:25">
      <c r="A452" s="1010"/>
      <c r="B452" s="1351">
        <v>202</v>
      </c>
      <c r="C452" s="1014">
        <v>0.9844918615799868</v>
      </c>
      <c r="D452" s="1014">
        <v>0.98750833728414933</v>
      </c>
      <c r="E452" s="1014">
        <v>1.0188886964886341</v>
      </c>
      <c r="F452" s="1014">
        <v>0.97937211901960175</v>
      </c>
      <c r="G452" s="1014">
        <v>0.98851573592662112</v>
      </c>
      <c r="H452" s="1014">
        <v>1.0094364951594654</v>
      </c>
      <c r="I452" s="1014">
        <v>1.0189502776129487</v>
      </c>
      <c r="K452">
        <v>2.409364975479718</v>
      </c>
      <c r="L452">
        <v>0</v>
      </c>
      <c r="M452">
        <v>1.6231349123118795E-3</v>
      </c>
      <c r="N452">
        <v>0.156407682466427</v>
      </c>
      <c r="O452">
        <v>2.1387987965588023E-2</v>
      </c>
      <c r="P452">
        <v>2.8699029349107511E-2</v>
      </c>
      <c r="Q452">
        <v>5.7035200322487463E-3</v>
      </c>
      <c r="R452">
        <v>1.6019101988733301E-3</v>
      </c>
      <c r="S452">
        <v>0.27036024372356376</v>
      </c>
      <c r="T452">
        <v>1.3437454546840006</v>
      </c>
      <c r="U452">
        <v>0.21537815924651998</v>
      </c>
      <c r="V452">
        <v>0.24448710317706365</v>
      </c>
      <c r="W452">
        <v>0.10161061342910205</v>
      </c>
      <c r="X452">
        <v>1.7246534627757076E-2</v>
      </c>
      <c r="Y452">
        <v>4.3598714917780692E-3</v>
      </c>
    </row>
    <row r="453" spans="1:25">
      <c r="A453" s="1010"/>
      <c r="B453" s="1351">
        <v>203</v>
      </c>
      <c r="C453" s="1014">
        <v>1.0295361062805319</v>
      </c>
      <c r="D453" s="1014">
        <v>0.97344724552998352</v>
      </c>
      <c r="E453" s="1014">
        <v>1.0009223711460713</v>
      </c>
      <c r="F453" s="1014">
        <v>1.0317201856317091</v>
      </c>
      <c r="G453" s="1014">
        <v>0.99551940218275603</v>
      </c>
      <c r="H453" s="1014">
        <v>1.0257344177183831</v>
      </c>
      <c r="I453" s="1014">
        <v>0.99621684581248249</v>
      </c>
      <c r="K453">
        <v>2.443925385869242</v>
      </c>
      <c r="L453">
        <v>0</v>
      </c>
      <c r="M453">
        <v>1.6423327477153068E-3</v>
      </c>
      <c r="N453">
        <v>0.14993381953483631</v>
      </c>
      <c r="O453">
        <v>2.0505183198257417E-2</v>
      </c>
      <c r="P453">
        <v>2.8946830985176957E-2</v>
      </c>
      <c r="Q453">
        <v>5.3707678666592151E-3</v>
      </c>
      <c r="R453">
        <v>1.621198225078028E-3</v>
      </c>
      <c r="S453">
        <v>0.25579616307345099</v>
      </c>
      <c r="T453">
        <v>1.4151678145470103</v>
      </c>
      <c r="U453">
        <v>0.20589519566865544</v>
      </c>
      <c r="V453">
        <v>0.24297265046666233</v>
      </c>
      <c r="W453">
        <v>9.8442365142519861E-2</v>
      </c>
      <c r="X453">
        <v>1.6503362767839359E-2</v>
      </c>
      <c r="Y453">
        <v>4.4123671408111253E-3</v>
      </c>
    </row>
    <row r="454" spans="1:25">
      <c r="A454" s="1010"/>
      <c r="B454" s="1351">
        <v>204</v>
      </c>
      <c r="C454" s="1014">
        <v>0.97295868588594758</v>
      </c>
      <c r="D454" s="1014">
        <v>0.96803279899854966</v>
      </c>
      <c r="E454" s="1014">
        <v>1.0072106943136867</v>
      </c>
      <c r="F454" s="1014">
        <v>1.0339963022721881</v>
      </c>
      <c r="G454" s="1014">
        <v>1.002314854478235</v>
      </c>
      <c r="H454" s="1014">
        <v>1.0058098354266722</v>
      </c>
      <c r="I454" s="1014">
        <v>1.0305325970819688</v>
      </c>
      <c r="K454">
        <v>2.5010520552985276</v>
      </c>
      <c r="L454">
        <v>0</v>
      </c>
      <c r="M454">
        <v>1.6840451851547729E-3</v>
      </c>
      <c r="N454">
        <v>0.15664929737040764</v>
      </c>
      <c r="O454">
        <v>2.1728520953741611E-2</v>
      </c>
      <c r="P454">
        <v>2.967437135340029E-2</v>
      </c>
      <c r="Q454">
        <v>5.7271934890459099E-3</v>
      </c>
      <c r="R454">
        <v>1.6619445843413315E-3</v>
      </c>
      <c r="S454">
        <v>0.2790270534983379</v>
      </c>
      <c r="T454">
        <v>1.4184306132462035</v>
      </c>
      <c r="U454">
        <v>0.21789008073651092</v>
      </c>
      <c r="V454">
        <v>0.24763491098646406</v>
      </c>
      <c r="W454">
        <v>0.10246910361958023</v>
      </c>
      <c r="X454">
        <v>1.7319745346955694E-2</v>
      </c>
      <c r="Y454">
        <v>4.5232652986921165E-3</v>
      </c>
    </row>
    <row r="455" spans="1:25">
      <c r="A455" s="1010"/>
      <c r="B455" s="1351">
        <v>205</v>
      </c>
      <c r="C455" s="1014">
        <v>1.0028214341457931</v>
      </c>
      <c r="D455" s="1014">
        <v>0.99009678711801385</v>
      </c>
      <c r="E455" s="1014">
        <v>0.98288809346152972</v>
      </c>
      <c r="F455" s="1014">
        <v>1.0323848707575751</v>
      </c>
      <c r="G455" s="1014">
        <v>0.98423841660396372</v>
      </c>
      <c r="H455" s="1014">
        <v>1.0094315704959365</v>
      </c>
      <c r="I455" s="1014">
        <v>1.03707164110922</v>
      </c>
      <c r="K455">
        <v>2.461750388954556</v>
      </c>
      <c r="L455">
        <v>0</v>
      </c>
      <c r="M455">
        <v>1.7160365288691117E-3</v>
      </c>
      <c r="N455">
        <v>0.14831897896368543</v>
      </c>
      <c r="O455">
        <v>2.0961088715331078E-2</v>
      </c>
      <c r="P455">
        <v>2.8818479335783555E-2</v>
      </c>
      <c r="Q455">
        <v>5.3911122483375597E-3</v>
      </c>
      <c r="R455">
        <v>1.6935968900004487E-3</v>
      </c>
      <c r="S455">
        <v>0.26947712211899738</v>
      </c>
      <c r="T455">
        <v>1.4156775188899582</v>
      </c>
      <c r="U455">
        <v>0.21131875006410272</v>
      </c>
      <c r="V455">
        <v>0.24272455882308241</v>
      </c>
      <c r="W455">
        <v>9.8438299597873147E-2</v>
      </c>
      <c r="X455">
        <v>1.6037507395756913E-2</v>
      </c>
      <c r="Y455">
        <v>4.6094124405164768E-3</v>
      </c>
    </row>
    <row r="456" spans="1:25">
      <c r="A456" s="1010"/>
      <c r="B456" s="1351">
        <v>206</v>
      </c>
      <c r="C456" s="1014">
        <v>0.99144406715342415</v>
      </c>
      <c r="D456" s="1014">
        <v>1.0163829771621327</v>
      </c>
      <c r="E456" s="1014">
        <v>0.99650600819577784</v>
      </c>
      <c r="F456" s="1014">
        <v>1.0072797818665695</v>
      </c>
      <c r="G456" s="1014">
        <v>1.0120420760909616</v>
      </c>
      <c r="H456" s="1014">
        <v>1.0262904907697281</v>
      </c>
      <c r="I456" s="1014">
        <v>1.0262696067111909</v>
      </c>
      <c r="K456">
        <v>2.4424742741204457</v>
      </c>
      <c r="L456">
        <v>0</v>
      </c>
      <c r="M456">
        <v>1.7057827978582325E-3</v>
      </c>
      <c r="N456">
        <v>0.15366324680829679</v>
      </c>
      <c r="O456">
        <v>2.1088829614781229E-2</v>
      </c>
      <c r="P456">
        <v>2.8735403406291968E-2</v>
      </c>
      <c r="Q456">
        <v>5.4991541887753582E-3</v>
      </c>
      <c r="R456">
        <v>1.6838436556159369E-3</v>
      </c>
      <c r="S456">
        <v>0.26781642660648819</v>
      </c>
      <c r="T456">
        <v>1.3815477370445863</v>
      </c>
      <c r="U456">
        <v>0.21379062315465147</v>
      </c>
      <c r="V456">
        <v>0.24813871346907848</v>
      </c>
      <c r="W456">
        <v>0.10115644400904787</v>
      </c>
      <c r="X456">
        <v>1.6476767609012247E-2</v>
      </c>
      <c r="Y456">
        <v>4.5828673516746885E-3</v>
      </c>
    </row>
    <row r="457" spans="1:25">
      <c r="A457" s="1010"/>
      <c r="B457" s="1351">
        <v>207</v>
      </c>
      <c r="C457" s="1014">
        <v>1.0234975295538833</v>
      </c>
      <c r="D457" s="1014">
        <v>1.0235055796749961</v>
      </c>
      <c r="E457" s="1014">
        <v>1.0117883520434343</v>
      </c>
      <c r="F457" s="1014">
        <v>1.0007225760028484</v>
      </c>
      <c r="G457" s="1014">
        <v>0.97272329145834568</v>
      </c>
      <c r="H457" s="1014">
        <v>1.0329178071177401</v>
      </c>
      <c r="I457" s="1014">
        <v>1.0002756387759237</v>
      </c>
      <c r="K457">
        <v>2.3981672566196988</v>
      </c>
      <c r="L457">
        <v>0</v>
      </c>
      <c r="M457">
        <v>1.6086343041083824E-3</v>
      </c>
      <c r="N457">
        <v>0.15176992550745505</v>
      </c>
      <c r="O457">
        <v>2.0406883315175952E-2</v>
      </c>
      <c r="P457">
        <v>2.8523626289222215E-2</v>
      </c>
      <c r="Q457">
        <v>5.4035136760078074E-3</v>
      </c>
      <c r="R457">
        <v>1.588077396706043E-3</v>
      </c>
      <c r="S457">
        <v>0.25265424003933629</v>
      </c>
      <c r="T457">
        <v>1.3728851588511481</v>
      </c>
      <c r="U457">
        <v>0.20714629103341003</v>
      </c>
      <c r="V457">
        <v>0.23939988163344592</v>
      </c>
      <c r="W457">
        <v>9.9009629908741043E-2</v>
      </c>
      <c r="X457">
        <v>1.6666440108899935E-2</v>
      </c>
      <c r="Y457">
        <v>4.3222231642607214E-3</v>
      </c>
    </row>
    <row r="458" spans="1:25">
      <c r="A458" s="1010"/>
      <c r="B458" s="1351">
        <v>208</v>
      </c>
      <c r="C458" s="1014">
        <v>0.95970439909895444</v>
      </c>
      <c r="D458" s="1014">
        <v>1.0046667681461205</v>
      </c>
      <c r="E458" s="1014">
        <v>0.99353388072295534</v>
      </c>
      <c r="F458" s="1014">
        <v>1.0145305657484898</v>
      </c>
      <c r="G458" s="1014">
        <v>1.0060318670593846</v>
      </c>
      <c r="H458" s="1014">
        <v>0.98868501927339003</v>
      </c>
      <c r="I458" s="1014">
        <v>0.96468614934193708</v>
      </c>
      <c r="K458">
        <v>2.4508840362808368</v>
      </c>
      <c r="L458">
        <v>0</v>
      </c>
      <c r="M458">
        <v>1.7124791088450641E-3</v>
      </c>
      <c r="N458">
        <v>0.15281118034953992</v>
      </c>
      <c r="O458">
        <v>2.1839877139777156E-2</v>
      </c>
      <c r="P458">
        <v>2.8787329804957889E-2</v>
      </c>
      <c r="Q458">
        <v>5.6779630540615186E-3</v>
      </c>
      <c r="R458">
        <v>1.6896160914497071E-3</v>
      </c>
      <c r="S458">
        <v>0.25833836232050533</v>
      </c>
      <c r="T458">
        <v>1.3914274941081322</v>
      </c>
      <c r="U458">
        <v>0.22085060117535293</v>
      </c>
      <c r="V458">
        <v>0.24920410686867367</v>
      </c>
      <c r="W458">
        <v>0.10077408673594167</v>
      </c>
      <c r="X458">
        <v>1.6597319722157569E-2</v>
      </c>
      <c r="Y458">
        <v>4.5985780191312485E-3</v>
      </c>
    </row>
    <row r="459" spans="1:25">
      <c r="A459" s="1010"/>
      <c r="B459" s="1351">
        <v>209</v>
      </c>
      <c r="C459" s="1014">
        <v>0.95541645126711594</v>
      </c>
      <c r="D459" s="1014">
        <v>1.016126598128458</v>
      </c>
      <c r="E459" s="1014">
        <v>1.0014254123659834</v>
      </c>
      <c r="F459" s="1014">
        <v>1.0222730906424304</v>
      </c>
      <c r="G459" s="1014">
        <v>1.037490230427357</v>
      </c>
      <c r="H459" s="1014">
        <v>1.0104327221919094</v>
      </c>
      <c r="I459" s="1014">
        <v>0.97747337807420365</v>
      </c>
      <c r="K459">
        <v>2.4820981193027558</v>
      </c>
      <c r="L459">
        <v>0</v>
      </c>
      <c r="M459">
        <v>1.7251602931706985E-3</v>
      </c>
      <c r="N459">
        <v>0.1577037939394785</v>
      </c>
      <c r="O459">
        <v>2.1888683576320945E-2</v>
      </c>
      <c r="P459">
        <v>2.9265013364221996E-2</v>
      </c>
      <c r="Q459">
        <v>5.7360354693081457E-3</v>
      </c>
      <c r="R459">
        <v>1.7026236997346417E-3</v>
      </c>
      <c r="S459">
        <v>0.26340039901766005</v>
      </c>
      <c r="T459">
        <v>1.4022207507982003</v>
      </c>
      <c r="U459">
        <v>0.22187001029533149</v>
      </c>
      <c r="V459">
        <v>0.25483961562992763</v>
      </c>
      <c r="W459">
        <v>0.10351298939611836</v>
      </c>
      <c r="X459">
        <v>1.7049383968699022E-2</v>
      </c>
      <c r="Y459">
        <v>4.6339804409259219E-3</v>
      </c>
    </row>
    <row r="460" spans="1:25">
      <c r="A460" s="1010"/>
      <c r="B460" s="1351">
        <v>210</v>
      </c>
      <c r="C460" s="1014">
        <v>1.0060904077643078</v>
      </c>
      <c r="D460" s="1014">
        <v>1.0125534763645179</v>
      </c>
      <c r="E460" s="1014">
        <v>0.98956968651178578</v>
      </c>
      <c r="F460" s="1014">
        <v>1.014945507596464</v>
      </c>
      <c r="G460" s="1014">
        <v>1.006199817830038</v>
      </c>
      <c r="H460" s="1014">
        <v>1.0174046074323437</v>
      </c>
      <c r="I460" s="1014">
        <v>1.0132688889515655</v>
      </c>
      <c r="K460">
        <v>2.4323097820464015</v>
      </c>
      <c r="L460">
        <v>0</v>
      </c>
      <c r="M460">
        <v>1.691924096986559E-3</v>
      </c>
      <c r="N460">
        <v>0.14923543043186621</v>
      </c>
      <c r="O460">
        <v>2.0794533124376329E-2</v>
      </c>
      <c r="P460">
        <v>2.8556072956336061E-2</v>
      </c>
      <c r="Q460">
        <v>5.3845929807184202E-3</v>
      </c>
      <c r="R460">
        <v>1.6699731432627E-3</v>
      </c>
      <c r="S460">
        <v>0.26024709835390747</v>
      </c>
      <c r="T460">
        <v>1.3919097158457792</v>
      </c>
      <c r="U460">
        <v>0.2106547875286626</v>
      </c>
      <c r="V460">
        <v>0.24625011448549231</v>
      </c>
      <c r="W460">
        <v>9.8649702163642633E-2</v>
      </c>
      <c r="X460">
        <v>1.6104568739881184E-2</v>
      </c>
      <c r="Y460">
        <v>4.5451163894623461E-3</v>
      </c>
    </row>
    <row r="461" spans="1:25">
      <c r="A461" s="1010"/>
      <c r="B461" s="1351">
        <v>211</v>
      </c>
      <c r="C461" s="1014">
        <v>0.99652586355273598</v>
      </c>
      <c r="D461" s="1014">
        <v>0.98009943956397549</v>
      </c>
      <c r="E461" s="1014">
        <v>0.97785548820356438</v>
      </c>
      <c r="F461" s="1014">
        <v>1.0101452965939628</v>
      </c>
      <c r="G461" s="1014">
        <v>1.0040943883191349</v>
      </c>
      <c r="H461" s="1014">
        <v>0.97199753660200072</v>
      </c>
      <c r="I461" s="1014">
        <v>0.99042019122567093</v>
      </c>
      <c r="K461">
        <v>2.4149289739990842</v>
      </c>
      <c r="L461">
        <v>0</v>
      </c>
      <c r="M461">
        <v>1.6839887321661237E-3</v>
      </c>
      <c r="N461">
        <v>0.14327648270015278</v>
      </c>
      <c r="O461">
        <v>2.1137303103619359E-2</v>
      </c>
      <c r="P461">
        <v>2.8200307722551964E-2</v>
      </c>
      <c r="Q461">
        <v>5.4087025641381976E-3</v>
      </c>
      <c r="R461">
        <v>1.6611200975618738E-3</v>
      </c>
      <c r="S461">
        <v>0.25708532643261794</v>
      </c>
      <c r="T461">
        <v>1.3850715710263803</v>
      </c>
      <c r="U461">
        <v>0.21263655202146176</v>
      </c>
      <c r="V461">
        <v>0.24652846225337649</v>
      </c>
      <c r="W461">
        <v>9.5380948275299277E-2</v>
      </c>
      <c r="X461">
        <v>1.5705165216622682E-2</v>
      </c>
      <c r="Y461">
        <v>4.5210213174704276E-3</v>
      </c>
    </row>
    <row r="462" spans="1:25">
      <c r="A462" s="1010"/>
      <c r="B462" s="1351">
        <v>212</v>
      </c>
      <c r="C462" s="1014">
        <v>0.95914674433763025</v>
      </c>
      <c r="D462" s="1014">
        <v>0.9721386241282769</v>
      </c>
      <c r="E462" s="1014">
        <v>0.99454906469632631</v>
      </c>
      <c r="F462" s="1014">
        <v>1.0015877909731579</v>
      </c>
      <c r="G462" s="1014">
        <v>1.0017445774788598</v>
      </c>
      <c r="H462" s="1014">
        <v>0.95845929404869901</v>
      </c>
      <c r="I462" s="1014">
        <v>1.0166837531439696</v>
      </c>
      <c r="K462">
        <v>2.442888705696987</v>
      </c>
      <c r="L462">
        <v>0</v>
      </c>
      <c r="M462">
        <v>1.6696459368205489E-3</v>
      </c>
      <c r="N462">
        <v>0.14938310160428858</v>
      </c>
      <c r="O462">
        <v>2.2012085790845952E-2</v>
      </c>
      <c r="P462">
        <v>2.8776732753282103E-2</v>
      </c>
      <c r="Q462">
        <v>5.7285961332908773E-3</v>
      </c>
      <c r="R462">
        <v>1.64665180957766E-3</v>
      </c>
      <c r="S462">
        <v>0.27423924031846908</v>
      </c>
      <c r="T462">
        <v>1.3736984584824221</v>
      </c>
      <c r="U462">
        <v>0.22098261982839681</v>
      </c>
      <c r="V462">
        <v>0.24850599883516614</v>
      </c>
      <c r="W462">
        <v>9.8453676088857814E-2</v>
      </c>
      <c r="X462">
        <v>1.6649546582159509E-2</v>
      </c>
      <c r="Y462">
        <v>4.4816434070472496E-3</v>
      </c>
    </row>
    <row r="463" spans="1:25">
      <c r="A463" s="1010"/>
      <c r="B463" s="1351">
        <v>213</v>
      </c>
      <c r="C463" s="1014">
        <v>0.98367421069122429</v>
      </c>
      <c r="D463" s="1014">
        <v>0.99676964025238934</v>
      </c>
      <c r="E463" s="1014">
        <v>0.96280339724322528</v>
      </c>
      <c r="F463" s="1014">
        <v>1.0057110790178567</v>
      </c>
      <c r="G463" s="1014">
        <v>0.9983828010502902</v>
      </c>
      <c r="H463" s="1014">
        <v>0.99510902922855926</v>
      </c>
      <c r="I463" s="1014">
        <v>1.0216103870514182</v>
      </c>
      <c r="K463">
        <v>2.4274778076890557</v>
      </c>
      <c r="L463">
        <v>0</v>
      </c>
      <c r="M463">
        <v>1.7950093539900471E-3</v>
      </c>
      <c r="N463">
        <v>0.14596486913097034</v>
      </c>
      <c r="O463">
        <v>2.1324040955563391E-2</v>
      </c>
      <c r="P463">
        <v>2.7975574415864183E-2</v>
      </c>
      <c r="Q463">
        <v>5.3731983784993022E-3</v>
      </c>
      <c r="R463">
        <v>1.7711991965226163E-3</v>
      </c>
      <c r="S463">
        <v>0.26828256127952349</v>
      </c>
      <c r="T463">
        <v>1.378666163057559</v>
      </c>
      <c r="U463">
        <v>0.2153625847943029</v>
      </c>
      <c r="V463">
        <v>0.24642542901683706</v>
      </c>
      <c r="W463">
        <v>9.8064702515904129E-2</v>
      </c>
      <c r="X463">
        <v>1.5241873964224037E-2</v>
      </c>
      <c r="Y463">
        <v>4.8206203372763469E-3</v>
      </c>
    </row>
    <row r="464" spans="1:25">
      <c r="A464" s="1010"/>
      <c r="B464" s="1351">
        <v>214</v>
      </c>
      <c r="C464" s="1014">
        <v>0.96902795038139566</v>
      </c>
      <c r="D464" s="1014">
        <v>1.0083713716045797</v>
      </c>
      <c r="E464" s="1014">
        <v>1.0088845992146178</v>
      </c>
      <c r="F464" s="1014">
        <v>0.97054785639584007</v>
      </c>
      <c r="G464" s="1014">
        <v>1.0043842666013503</v>
      </c>
      <c r="H464" s="1014">
        <v>0.96986154642972044</v>
      </c>
      <c r="I464" s="1014">
        <v>1.0050615347497622</v>
      </c>
      <c r="K464">
        <v>2.3885894005186872</v>
      </c>
      <c r="L464">
        <v>0</v>
      </c>
      <c r="M464">
        <v>1.610256922992163E-3</v>
      </c>
      <c r="N464">
        <v>0.15047030438707851</v>
      </c>
      <c r="O464">
        <v>2.1622732651326766E-2</v>
      </c>
      <c r="P464">
        <v>2.8337606505619534E-2</v>
      </c>
      <c r="Q464">
        <v>5.7088648000818655E-3</v>
      </c>
      <c r="R464">
        <v>1.5883414093992392E-3</v>
      </c>
      <c r="S464">
        <v>0.26454097559114098</v>
      </c>
      <c r="T464">
        <v>1.3314275673906506</v>
      </c>
      <c r="U464">
        <v>0.21877983548015029</v>
      </c>
      <c r="V464">
        <v>0.24824246330751079</v>
      </c>
      <c r="W464">
        <v>9.8329979767993694E-2</v>
      </c>
      <c r="X464">
        <v>1.6828044430948357E-2</v>
      </c>
      <c r="Y464">
        <v>4.3229417197798402E-3</v>
      </c>
    </row>
    <row r="465" spans="1:25">
      <c r="A465" s="1010"/>
      <c r="B465" s="1351">
        <v>215</v>
      </c>
      <c r="C465" s="1014">
        <v>1.023613321733281</v>
      </c>
      <c r="D465" s="1014">
        <v>1.0244169426124836</v>
      </c>
      <c r="E465" s="1014">
        <v>1.0044253376403229</v>
      </c>
      <c r="F465" s="1014">
        <v>1.0127292598549473</v>
      </c>
      <c r="G465" s="1014">
        <v>1.0004556671534055</v>
      </c>
      <c r="H465" s="1014">
        <v>0.98943787362224112</v>
      </c>
      <c r="I465" s="1014">
        <v>1.0267988519121518</v>
      </c>
      <c r="K465">
        <v>2.4097467155750718</v>
      </c>
      <c r="L465">
        <v>0</v>
      </c>
      <c r="M465">
        <v>1.564181934494837E-3</v>
      </c>
      <c r="N465">
        <v>0.14424916475267627</v>
      </c>
      <c r="O465">
        <v>2.0395825231265426E-2</v>
      </c>
      <c r="P465">
        <v>2.8694752683387774E-2</v>
      </c>
      <c r="Q465">
        <v>5.360940018420567E-3</v>
      </c>
      <c r="R465">
        <v>1.5433146972409508E-3</v>
      </c>
      <c r="S465">
        <v>0.25545865599507028</v>
      </c>
      <c r="T465">
        <v>1.3891955175500155</v>
      </c>
      <c r="U465">
        <v>0.20709823964350135</v>
      </c>
      <c r="V465">
        <v>0.24415366216591497</v>
      </c>
      <c r="W465">
        <v>9.4513415733809863E-2</v>
      </c>
      <c r="X465">
        <v>1.6447015185927335E-2</v>
      </c>
      <c r="Y465">
        <v>4.2003938523366528E-3</v>
      </c>
    </row>
    <row r="466" spans="1:25">
      <c r="A466" s="1010"/>
      <c r="B466" s="1351">
        <v>216</v>
      </c>
      <c r="C466" s="1014">
        <v>1.0266711891382174</v>
      </c>
      <c r="D466" s="1014">
        <v>0.9878171850591525</v>
      </c>
      <c r="E466" s="1014">
        <v>1.0072033535307208</v>
      </c>
      <c r="F466" s="1014">
        <v>0.9739735222571454</v>
      </c>
      <c r="G466" s="1014">
        <v>1.0036295519274852</v>
      </c>
      <c r="H466" s="1014">
        <v>1.0091452153398017</v>
      </c>
      <c r="I466" s="1014">
        <v>1.0067090864139341</v>
      </c>
      <c r="K466">
        <v>2.3629063920633242</v>
      </c>
      <c r="L466">
        <v>0</v>
      </c>
      <c r="M466">
        <v>1.5941461743522677E-3</v>
      </c>
      <c r="N466">
        <v>0.14829015308137811</v>
      </c>
      <c r="O466">
        <v>2.0500292508508114E-2</v>
      </c>
      <c r="P466">
        <v>2.8028981539529312E-2</v>
      </c>
      <c r="Q466">
        <v>5.4034178919939195E-3</v>
      </c>
      <c r="R466">
        <v>1.5732945115005392E-3</v>
      </c>
      <c r="S466">
        <v>0.25597902429937819</v>
      </c>
      <c r="T466">
        <v>1.3360915288588076</v>
      </c>
      <c r="U466">
        <v>0.20649066979111436</v>
      </c>
      <c r="V466">
        <v>0.24450402651193759</v>
      </c>
      <c r="W466">
        <v>9.7001552110778405E-2</v>
      </c>
      <c r="X466">
        <v>1.6355608108842418E-2</v>
      </c>
      <c r="Y466">
        <v>4.2819890239081384E-3</v>
      </c>
    </row>
    <row r="467" spans="1:25">
      <c r="A467" s="1010"/>
      <c r="B467" s="1351">
        <v>217</v>
      </c>
      <c r="C467" s="1014">
        <v>1.0454235767071565</v>
      </c>
      <c r="D467" s="1014">
        <v>0.97088719804441315</v>
      </c>
      <c r="E467" s="1014">
        <v>0.97370364869303261</v>
      </c>
      <c r="F467" s="1014">
        <v>1.0144331039075731</v>
      </c>
      <c r="G467" s="1014">
        <v>1.0162414884004416</v>
      </c>
      <c r="H467" s="1014">
        <v>1.0100980611049579</v>
      </c>
      <c r="I467" s="1014">
        <v>1.0041663565617387</v>
      </c>
      <c r="K467">
        <v>2.4013893041440681</v>
      </c>
      <c r="L467">
        <v>0</v>
      </c>
      <c r="M467">
        <v>1.6860175335379176E-3</v>
      </c>
      <c r="N467">
        <v>0.14173136048330207</v>
      </c>
      <c r="O467">
        <v>2.0187907929684473E-2</v>
      </c>
      <c r="P467">
        <v>2.7986262848096612E-2</v>
      </c>
      <c r="Q467">
        <v>5.1439630380221892E-3</v>
      </c>
      <c r="R467">
        <v>1.6639849833724918E-3</v>
      </c>
      <c r="S467">
        <v>0.25275156501390272</v>
      </c>
      <c r="T467">
        <v>1.3908602080667438</v>
      </c>
      <c r="U467">
        <v>0.20267735674771167</v>
      </c>
      <c r="V467">
        <v>0.24569241417538701</v>
      </c>
      <c r="W467">
        <v>9.4589972103707398E-2</v>
      </c>
      <c r="X467">
        <v>1.5261507695434259E-2</v>
      </c>
      <c r="Y467">
        <v>4.5288185922375762E-3</v>
      </c>
    </row>
    <row r="468" spans="1:25">
      <c r="A468" s="1010"/>
      <c r="B468" s="1351">
        <v>218</v>
      </c>
      <c r="C468" s="1014">
        <v>0.95568971904529887</v>
      </c>
      <c r="D468" s="1014">
        <v>1.0308047072166591</v>
      </c>
      <c r="E468" s="1014">
        <v>0.97830964239687723</v>
      </c>
      <c r="F468" s="1014">
        <v>1.0054694928641439</v>
      </c>
      <c r="G468" s="1014">
        <v>1.0011090098872031</v>
      </c>
      <c r="H468" s="1014">
        <v>0.98003696165710397</v>
      </c>
      <c r="I468" s="1014">
        <v>1.0205680648223743</v>
      </c>
      <c r="K468">
        <v>2.4438750583443327</v>
      </c>
      <c r="L468">
        <v>0</v>
      </c>
      <c r="M468">
        <v>1.7492868819431453E-3</v>
      </c>
      <c r="N468">
        <v>0.14905366816089038</v>
      </c>
      <c r="O468">
        <v>2.1797569963662323E-2</v>
      </c>
      <c r="P468">
        <v>2.8449124077687453E-2</v>
      </c>
      <c r="Q468">
        <v>5.5802324399779335E-3</v>
      </c>
      <c r="R468">
        <v>1.7257263656831458E-3</v>
      </c>
      <c r="S468">
        <v>0.27004217392176971</v>
      </c>
      <c r="T468">
        <v>1.3786701240959978</v>
      </c>
      <c r="U468">
        <v>0.22172402436389904</v>
      </c>
      <c r="V468">
        <v>0.24869107693386808</v>
      </c>
      <c r="W468">
        <v>9.9199644427403727E-2</v>
      </c>
      <c r="X468">
        <v>1.5994122193587149E-2</v>
      </c>
      <c r="Y468">
        <v>4.6968582818459658E-3</v>
      </c>
    </row>
    <row r="469" spans="1:25">
      <c r="A469" s="1010"/>
      <c r="B469" s="1351">
        <v>219</v>
      </c>
      <c r="C469" s="1014">
        <v>0.99296016382823105</v>
      </c>
      <c r="D469" s="1014">
        <v>1.0205470771465901</v>
      </c>
      <c r="E469" s="1014">
        <v>0.96278307916641115</v>
      </c>
      <c r="F469" s="1014">
        <v>0.98259353244708247</v>
      </c>
      <c r="G469" s="1014">
        <v>1.0082995557409868</v>
      </c>
      <c r="H469" s="1014">
        <v>0.97223380670960102</v>
      </c>
      <c r="I469" s="1014">
        <v>1.0083288083160211</v>
      </c>
      <c r="K469">
        <v>2.3733043017631381</v>
      </c>
      <c r="L469">
        <v>0</v>
      </c>
      <c r="M469">
        <v>1.7284308526397596E-3</v>
      </c>
      <c r="N469">
        <v>0.14049779801606699</v>
      </c>
      <c r="O469">
        <v>2.1015333050993516E-2</v>
      </c>
      <c r="P469">
        <v>2.7396602173062477E-2</v>
      </c>
      <c r="Q469">
        <v>5.295300234994727E-3</v>
      </c>
      <c r="R469">
        <v>1.7049643964073412E-3</v>
      </c>
      <c r="S469">
        <v>0.25727852144162705</v>
      </c>
      <c r="T469">
        <v>1.3469753417489001</v>
      </c>
      <c r="U469">
        <v>0.21334848999949149</v>
      </c>
      <c r="V469">
        <v>0.24752796833069948</v>
      </c>
      <c r="W469">
        <v>9.4392891995757205E-2</v>
      </c>
      <c r="X469">
        <v>1.4959170182118037E-2</v>
      </c>
      <c r="Y469">
        <v>4.6403510456585603E-3</v>
      </c>
    </row>
    <row r="470" spans="1:25">
      <c r="A470" s="1010"/>
      <c r="B470" s="1351">
        <v>220</v>
      </c>
      <c r="C470" s="1014">
        <v>0.9983774504941928</v>
      </c>
      <c r="D470" s="1014">
        <v>0.98886860171428792</v>
      </c>
      <c r="E470" s="1014">
        <v>0.9926287718975727</v>
      </c>
      <c r="F470" s="1014">
        <v>1.0133022707811734</v>
      </c>
      <c r="G470" s="1014">
        <v>1.0416700762397988</v>
      </c>
      <c r="H470" s="1014">
        <v>1.0025774957101612</v>
      </c>
      <c r="I470" s="1014">
        <v>1.0210985631952365</v>
      </c>
      <c r="K470">
        <v>2.4450407271629859</v>
      </c>
      <c r="L470">
        <v>0</v>
      </c>
      <c r="M470">
        <v>1.6782507820707637E-3</v>
      </c>
      <c r="N470">
        <v>0.14937569386723198</v>
      </c>
      <c r="O470">
        <v>2.1066619508000664E-2</v>
      </c>
      <c r="P470">
        <v>2.8783096316715242E-2</v>
      </c>
      <c r="Q470">
        <v>5.471930664891639E-3</v>
      </c>
      <c r="R470">
        <v>1.65615521639189E-3</v>
      </c>
      <c r="S470">
        <v>0.26615790408690859</v>
      </c>
      <c r="T470">
        <v>1.389723080503575</v>
      </c>
      <c r="U470">
        <v>0.21229265834931185</v>
      </c>
      <c r="V470">
        <v>0.25277654018559409</v>
      </c>
      <c r="W470">
        <v>9.8561790486584575E-2</v>
      </c>
      <c r="X470">
        <v>1.6346000212248839E-2</v>
      </c>
      <c r="Y470">
        <v>4.5075085475983689E-3</v>
      </c>
    </row>
    <row r="471" spans="1:25">
      <c r="A471" s="1010"/>
      <c r="B471" s="1351">
        <v>221</v>
      </c>
      <c r="C471" s="1014">
        <v>0.97380478075150256</v>
      </c>
      <c r="D471" s="1014">
        <v>1.0079092721839331</v>
      </c>
      <c r="E471" s="1014">
        <v>0.99115013264273744</v>
      </c>
      <c r="F471" s="1014">
        <v>0.96954489303563396</v>
      </c>
      <c r="G471" s="1014">
        <v>1.0278741859528027</v>
      </c>
      <c r="H471" s="1014">
        <v>0.99326156718110459</v>
      </c>
      <c r="I471" s="1014">
        <v>1.0113094827404672</v>
      </c>
      <c r="K471">
        <v>2.3924641658656776</v>
      </c>
      <c r="L471">
        <v>0</v>
      </c>
      <c r="M471">
        <v>1.7026819509058833E-3</v>
      </c>
      <c r="N471">
        <v>0.1508554440710049</v>
      </c>
      <c r="O471">
        <v>2.1506770310319098E-2</v>
      </c>
      <c r="P471">
        <v>2.8008748297065265E-2</v>
      </c>
      <c r="Q471">
        <v>5.5779232374454576E-3</v>
      </c>
      <c r="R471">
        <v>1.6800544745706907E-3</v>
      </c>
      <c r="S471">
        <v>0.26685527036900625</v>
      </c>
      <c r="T471">
        <v>1.3296797877552113</v>
      </c>
      <c r="U471">
        <v>0.21764439787676312</v>
      </c>
      <c r="V471">
        <v>0.25200240953540748</v>
      </c>
      <c r="W471">
        <v>9.9626244083857535E-2</v>
      </c>
      <c r="X471">
        <v>1.6157243355959423E-2</v>
      </c>
      <c r="Y471">
        <v>4.5725544499727227E-3</v>
      </c>
    </row>
    <row r="472" spans="1:25">
      <c r="A472" s="1010"/>
      <c r="B472" s="1351">
        <v>222</v>
      </c>
      <c r="C472" s="1014">
        <v>1.0025525306849663</v>
      </c>
      <c r="D472" s="1014">
        <v>0.98936639246860991</v>
      </c>
      <c r="E472" s="1014">
        <v>0.96866984500125064</v>
      </c>
      <c r="F472" s="1014">
        <v>1.0054604481607909</v>
      </c>
      <c r="G472" s="1014">
        <v>1.0232964680287038</v>
      </c>
      <c r="H472" s="1014">
        <v>1.0107415707150047</v>
      </c>
      <c r="I472" s="1014">
        <v>1.0084293481018907</v>
      </c>
      <c r="K472">
        <v>2.4204616604301834</v>
      </c>
      <c r="L472">
        <v>0</v>
      </c>
      <c r="M472">
        <v>1.7702576659167457E-3</v>
      </c>
      <c r="N472">
        <v>0.14656327695400101</v>
      </c>
      <c r="O472">
        <v>2.096071763676683E-2</v>
      </c>
      <c r="P472">
        <v>2.8004781049549586E-2</v>
      </c>
      <c r="Q472">
        <v>5.3134883520308436E-3</v>
      </c>
      <c r="R472">
        <v>1.7471390103869903E-3</v>
      </c>
      <c r="S472">
        <v>0.26219658336133217</v>
      </c>
      <c r="T472">
        <v>1.3784492465487164</v>
      </c>
      <c r="U472">
        <v>0.21132714205116993</v>
      </c>
      <c r="V472">
        <v>0.24946833042041172</v>
      </c>
      <c r="W472">
        <v>9.8114596327084511E-2</v>
      </c>
      <c r="X472">
        <v>1.5331479942597493E-2</v>
      </c>
      <c r="Y472">
        <v>4.7551364420534035E-3</v>
      </c>
    </row>
    <row r="473" spans="1:25">
      <c r="A473" s="1010"/>
      <c r="B473" s="1351">
        <v>223</v>
      </c>
      <c r="C473" s="1014">
        <v>0.96264583594520614</v>
      </c>
      <c r="D473" s="1014">
        <v>0.973674984405412</v>
      </c>
      <c r="E473" s="1014">
        <v>1.0272588194255063</v>
      </c>
      <c r="F473" s="1014">
        <v>1.0141591090323776</v>
      </c>
      <c r="G473" s="1014">
        <v>0.96667491896922164</v>
      </c>
      <c r="H473" s="1014">
        <v>1.0313434943374757</v>
      </c>
      <c r="I473" s="1014">
        <v>1.0102883500034052</v>
      </c>
      <c r="K473">
        <v>2.4844804324255567</v>
      </c>
      <c r="L473">
        <v>0</v>
      </c>
      <c r="M473">
        <v>1.6718816178516221E-3</v>
      </c>
      <c r="N473">
        <v>0.16527038112366357</v>
      </c>
      <c r="O473">
        <v>2.1947178330883881E-2</v>
      </c>
      <c r="P473">
        <v>2.9686584498797523E-2</v>
      </c>
      <c r="Q473">
        <v>5.9014596495947785E-3</v>
      </c>
      <c r="R473">
        <v>1.6504838531387323E-3</v>
      </c>
      <c r="S473">
        <v>0.27813765041102473</v>
      </c>
      <c r="T473">
        <v>1.3916592959378806</v>
      </c>
      <c r="U473">
        <v>0.22029571878079324</v>
      </c>
      <c r="V473">
        <v>0.24217034269261917</v>
      </c>
      <c r="W473">
        <v>0.10684505396724939</v>
      </c>
      <c r="X473">
        <v>1.8096091831373021E-2</v>
      </c>
      <c r="Y473">
        <v>4.4920729663876675E-3</v>
      </c>
    </row>
    <row r="474" spans="1:25">
      <c r="A474" s="1010"/>
      <c r="B474" s="1351">
        <v>224</v>
      </c>
      <c r="C474" s="1014">
        <v>0.97313331821027982</v>
      </c>
      <c r="D474" s="1014">
        <v>1.0011885950370922</v>
      </c>
      <c r="E474" s="1014">
        <v>1.0236001516410227</v>
      </c>
      <c r="F474" s="1014">
        <v>0.98859203142254948</v>
      </c>
      <c r="G474" s="1014">
        <v>1.0134683481109585</v>
      </c>
      <c r="H474" s="1014">
        <v>0.96008572593445807</v>
      </c>
      <c r="I474" s="1014">
        <v>0.98563466704959946</v>
      </c>
      <c r="K474">
        <v>2.4084307711852002</v>
      </c>
      <c r="L474">
        <v>0</v>
      </c>
      <c r="M474">
        <v>1.5418876376156853E-3</v>
      </c>
      <c r="N474">
        <v>0.15060263181883246</v>
      </c>
      <c r="O474">
        <v>2.1575460246498229E-2</v>
      </c>
      <c r="P474">
        <v>2.8915322064810518E-2</v>
      </c>
      <c r="Q474">
        <v>5.7805064995621923E-3</v>
      </c>
      <c r="R474">
        <v>1.5206889521081879E-3</v>
      </c>
      <c r="S474">
        <v>0.25854205152812987</v>
      </c>
      <c r="T474">
        <v>1.3564967746967549</v>
      </c>
      <c r="U474">
        <v>0.21790868526082366</v>
      </c>
      <c r="V474">
        <v>0.24946933548466402</v>
      </c>
      <c r="W474">
        <v>9.7570293574367251E-2</v>
      </c>
      <c r="X474">
        <v>1.7452094663600932E-2</v>
      </c>
      <c r="Y474">
        <v>4.1388140326601508E-3</v>
      </c>
    </row>
    <row r="475" spans="1:25">
      <c r="A475" s="1010"/>
      <c r="B475" s="1351">
        <v>225</v>
      </c>
      <c r="C475" s="1014">
        <v>1.0191571775298121</v>
      </c>
      <c r="D475" s="1014">
        <v>1.0093043003666564</v>
      </c>
      <c r="E475" s="1014">
        <v>0.96737539303270337</v>
      </c>
      <c r="F475" s="1014">
        <v>0.98087073595241658</v>
      </c>
      <c r="G475" s="1014">
        <v>0.99453882052671949</v>
      </c>
      <c r="H475" s="1014">
        <v>1.0177668523308934</v>
      </c>
      <c r="I475" s="1014">
        <v>0.99909967905196129</v>
      </c>
      <c r="K475">
        <v>2.363434465257829</v>
      </c>
      <c r="L475">
        <v>0</v>
      </c>
      <c r="M475">
        <v>1.7505098074380879E-3</v>
      </c>
      <c r="N475">
        <v>0.14437448615149501</v>
      </c>
      <c r="O475">
        <v>2.0528070018074451E-2</v>
      </c>
      <c r="P475">
        <v>2.7288279104516349E-2</v>
      </c>
      <c r="Q475">
        <v>5.1969254506609736E-3</v>
      </c>
      <c r="R475">
        <v>1.7278068484573965E-3</v>
      </c>
      <c r="S475">
        <v>0.25357610574869449</v>
      </c>
      <c r="T475">
        <v>1.3447103790586878</v>
      </c>
      <c r="U475">
        <v>0.20787976975730957</v>
      </c>
      <c r="V475">
        <v>0.24354431977814947</v>
      </c>
      <c r="W475">
        <v>9.6725637666358957E-2</v>
      </c>
      <c r="X475">
        <v>1.4930674812734539E-2</v>
      </c>
      <c r="Y475">
        <v>4.7025206701265133E-3</v>
      </c>
    </row>
    <row r="476" spans="1:25">
      <c r="A476" s="1010"/>
      <c r="B476" s="1351">
        <v>226</v>
      </c>
      <c r="C476" s="1014">
        <v>0.97817029991160442</v>
      </c>
      <c r="D476" s="1014">
        <v>0.99107889807837934</v>
      </c>
      <c r="E476" s="1014">
        <v>1.0017981457241101</v>
      </c>
      <c r="F476" s="1014">
        <v>0.98492422965354753</v>
      </c>
      <c r="G476" s="1014">
        <v>1.0400568251930566</v>
      </c>
      <c r="H476" s="1014">
        <v>0.96904453152452441</v>
      </c>
      <c r="I476" s="1014">
        <v>1.0207018999649822</v>
      </c>
      <c r="K476">
        <v>2.4124428157026001</v>
      </c>
      <c r="L476">
        <v>0</v>
      </c>
      <c r="M476">
        <v>1.623651712878098E-3</v>
      </c>
      <c r="N476">
        <v>0.14850770202214136</v>
      </c>
      <c r="O476">
        <v>2.149748805410627E-2</v>
      </c>
      <c r="P476">
        <v>2.8555458561631712E-2</v>
      </c>
      <c r="Q476">
        <v>5.6356299789402375E-3</v>
      </c>
      <c r="R476">
        <v>1.6015352659107119E-3</v>
      </c>
      <c r="S476">
        <v>0.26834267028425501</v>
      </c>
      <c r="T476">
        <v>1.3509984024358017</v>
      </c>
      <c r="U476">
        <v>0.21671025209930059</v>
      </c>
      <c r="V476">
        <v>0.25375735787278481</v>
      </c>
      <c r="W476">
        <v>9.745533069966654E-2</v>
      </c>
      <c r="X476">
        <v>1.6645789093087369E-2</v>
      </c>
      <c r="Y476">
        <v>4.3588510478504384E-3</v>
      </c>
    </row>
    <row r="477" spans="1:25">
      <c r="A477" s="1010"/>
      <c r="B477" s="1351">
        <v>227</v>
      </c>
      <c r="C477" s="1014">
        <v>0.98404065567397447</v>
      </c>
      <c r="D477" s="1014">
        <v>1.0277434223158193</v>
      </c>
      <c r="E477" s="1014">
        <v>1.021277643096018</v>
      </c>
      <c r="F477" s="1014">
        <v>1.0021774668470724</v>
      </c>
      <c r="G477" s="1014">
        <v>0.96613922688143083</v>
      </c>
      <c r="H477" s="1014">
        <v>0.99468533159073291</v>
      </c>
      <c r="I477" s="1014">
        <v>1.0183406652365763</v>
      </c>
      <c r="K477">
        <v>2.4249910849459857</v>
      </c>
      <c r="L477">
        <v>0</v>
      </c>
      <c r="M477">
        <v>1.5782871680280158E-3</v>
      </c>
      <c r="N477">
        <v>0.15315601469776371</v>
      </c>
      <c r="O477">
        <v>2.1212225989761628E-2</v>
      </c>
      <c r="P477">
        <v>2.9040488260837678E-2</v>
      </c>
      <c r="Q477">
        <v>5.6700993567431581E-3</v>
      </c>
      <c r="R477">
        <v>1.5573428352111222E-3</v>
      </c>
      <c r="S477">
        <v>0.26371726583538413</v>
      </c>
      <c r="T477">
        <v>1.3750874700709357</v>
      </c>
      <c r="U477">
        <v>0.21548523908732459</v>
      </c>
      <c r="V477">
        <v>0.24068895956843298</v>
      </c>
      <c r="W477">
        <v>9.9359201467666552E-2</v>
      </c>
      <c r="X477">
        <v>1.7356491124432237E-2</v>
      </c>
      <c r="Y477">
        <v>4.2385738195170192E-3</v>
      </c>
    </row>
    <row r="478" spans="1:25">
      <c r="A478" s="1010"/>
      <c r="B478" s="1351">
        <v>228</v>
      </c>
      <c r="C478" s="1014">
        <v>1.0045698731032313</v>
      </c>
      <c r="D478" s="1014">
        <v>1.0125688493771585</v>
      </c>
      <c r="E478" s="1014">
        <v>1.0417088558779393</v>
      </c>
      <c r="F478" s="1014">
        <v>1.0122072693024271</v>
      </c>
      <c r="G478" s="1014">
        <v>1.0025863311819372</v>
      </c>
      <c r="H478" s="1014">
        <v>0.96828048129515998</v>
      </c>
      <c r="I478" s="1014">
        <v>1.0349780184946933</v>
      </c>
      <c r="K478">
        <v>2.4314447970387589</v>
      </c>
      <c r="L478">
        <v>0</v>
      </c>
      <c r="M478">
        <v>1.4469777611204266E-3</v>
      </c>
      <c r="N478">
        <v>0.14927822330220347</v>
      </c>
      <c r="O478">
        <v>2.0860371258450045E-2</v>
      </c>
      <c r="P478">
        <v>2.966191255732388E-2</v>
      </c>
      <c r="Q478">
        <v>5.6897369486621514E-3</v>
      </c>
      <c r="R478">
        <v>1.4272523121286332E-3</v>
      </c>
      <c r="S478">
        <v>0.26236424540685133</v>
      </c>
      <c r="T478">
        <v>1.3892993765016228</v>
      </c>
      <c r="U478">
        <v>0.21115146965646228</v>
      </c>
      <c r="V478">
        <v>0.24554203455788709</v>
      </c>
      <c r="W478">
        <v>9.5703054428296436E-2</v>
      </c>
      <c r="X478">
        <v>1.8029587569975039E-2</v>
      </c>
      <c r="Y478">
        <v>3.8845103000158948E-3</v>
      </c>
    </row>
    <row r="479" spans="1:25">
      <c r="A479" s="1010"/>
      <c r="B479" s="1351">
        <v>229</v>
      </c>
      <c r="C479" s="1014">
        <v>0.98893432656319802</v>
      </c>
      <c r="D479" s="1014">
        <v>0.98183462884379991</v>
      </c>
      <c r="E479" s="1014">
        <v>0.9981696487018028</v>
      </c>
      <c r="F479" s="1014">
        <v>0.99847200280694004</v>
      </c>
      <c r="G479" s="1014">
        <v>1.0006711165855404</v>
      </c>
      <c r="H479" s="1014">
        <v>1.0193483123224252</v>
      </c>
      <c r="I479" s="1014">
        <v>1.0300606699227715</v>
      </c>
      <c r="K479">
        <v>2.4363844425137033</v>
      </c>
      <c r="L479">
        <v>0</v>
      </c>
      <c r="M479">
        <v>1.7056224423362869E-3</v>
      </c>
      <c r="N479">
        <v>0.15440946673860961</v>
      </c>
      <c r="O479">
        <v>2.1304938002563428E-2</v>
      </c>
      <c r="P479">
        <v>2.8668554174462121E-2</v>
      </c>
      <c r="Q479">
        <v>5.5648186629300858E-3</v>
      </c>
      <c r="R479">
        <v>1.6835359620513311E-3</v>
      </c>
      <c r="S479">
        <v>0.27357124419181333</v>
      </c>
      <c r="T479">
        <v>1.3695032200464168</v>
      </c>
      <c r="U479">
        <v>0.21433893391951314</v>
      </c>
      <c r="V479">
        <v>0.24635042924957334</v>
      </c>
      <c r="W479">
        <v>0.10154701172906164</v>
      </c>
      <c r="X479">
        <v>1.6565882367821243E-2</v>
      </c>
      <c r="Y479">
        <v>4.5820299112229847E-3</v>
      </c>
    </row>
    <row r="480" spans="1:25">
      <c r="A480" s="1010"/>
      <c r="B480" s="1351">
        <v>230</v>
      </c>
      <c r="C480" s="1014">
        <v>1.0026254513821087</v>
      </c>
      <c r="D480" s="1014">
        <v>1.0461525329163064</v>
      </c>
      <c r="E480" s="1014">
        <v>1.0462485514073878</v>
      </c>
      <c r="F480" s="1014">
        <v>0.99085598253953799</v>
      </c>
      <c r="G480" s="1014">
        <v>0.977464041608201</v>
      </c>
      <c r="H480" s="1014">
        <v>0.9867652592882572</v>
      </c>
      <c r="I480" s="1014">
        <v>1.0167008518470835</v>
      </c>
      <c r="K480">
        <v>2.3954405808711567</v>
      </c>
      <c r="L480">
        <v>0</v>
      </c>
      <c r="M480">
        <v>1.4530537932493429E-3</v>
      </c>
      <c r="N480">
        <v>0.15200786510392994</v>
      </c>
      <c r="O480">
        <v>2.075432578457739E-2</v>
      </c>
      <c r="P480">
        <v>2.9198877602968604E-2</v>
      </c>
      <c r="Q480">
        <v>5.6860829472467232E-3</v>
      </c>
      <c r="R480">
        <v>1.4336165772927147E-3</v>
      </c>
      <c r="S480">
        <v>0.25566963013226457</v>
      </c>
      <c r="T480">
        <v>1.3600918944597402</v>
      </c>
      <c r="U480">
        <v>0.21157653992016107</v>
      </c>
      <c r="V480">
        <v>0.24136228360653877</v>
      </c>
      <c r="W480">
        <v>9.719936348095308E-2</v>
      </c>
      <c r="X480">
        <v>1.8011323316920153E-2</v>
      </c>
      <c r="Y480">
        <v>3.9018317318130769E-3</v>
      </c>
    </row>
    <row r="481" spans="1:25">
      <c r="A481" s="1010"/>
      <c r="B481" s="1351">
        <v>231</v>
      </c>
      <c r="C481" s="1014">
        <v>0.98544911558696524</v>
      </c>
      <c r="D481" s="1014">
        <v>0.96409034159976215</v>
      </c>
      <c r="E481" s="1014">
        <v>0.99139366867728584</v>
      </c>
      <c r="F481" s="1014">
        <v>0.99852559342564795</v>
      </c>
      <c r="G481" s="1014">
        <v>0.99961869744784093</v>
      </c>
      <c r="H481" s="1014">
        <v>0.99474757526793567</v>
      </c>
      <c r="I481" s="1014">
        <v>1.0422840761846994</v>
      </c>
      <c r="K481">
        <v>2.4358864298575549</v>
      </c>
      <c r="L481">
        <v>0</v>
      </c>
      <c r="M481">
        <v>1.7007802783667474E-3</v>
      </c>
      <c r="N481">
        <v>0.15080097596393627</v>
      </c>
      <c r="O481">
        <v>2.1461647241649062E-2</v>
      </c>
      <c r="P481">
        <v>2.8594272060644719E-2</v>
      </c>
      <c r="Q481">
        <v>5.5675896413511141E-3</v>
      </c>
      <c r="R481">
        <v>1.6782118383599676E-3</v>
      </c>
      <c r="S481">
        <v>0.27806369992902297</v>
      </c>
      <c r="T481">
        <v>1.3694305430672609</v>
      </c>
      <c r="U481">
        <v>0.21507349604951731</v>
      </c>
      <c r="V481">
        <v>0.24641812455659959</v>
      </c>
      <c r="W481">
        <v>9.9575759027254851E-2</v>
      </c>
      <c r="X481">
        <v>1.6355351358688864E-2</v>
      </c>
      <c r="Y481">
        <v>4.5675394016319992E-3</v>
      </c>
    </row>
    <row r="482" spans="1:25">
      <c r="A482" s="1010"/>
      <c r="B482" s="1351">
        <v>232</v>
      </c>
      <c r="C482" s="1014">
        <v>1.005470439871297</v>
      </c>
      <c r="D482" s="1014">
        <v>1.0000180457726759</v>
      </c>
      <c r="E482" s="1014">
        <v>1.0117900749125459</v>
      </c>
      <c r="F482" s="1014">
        <v>1.034787767745422</v>
      </c>
      <c r="G482" s="1014">
        <v>1.0191797690230031</v>
      </c>
      <c r="H482" s="1014">
        <v>0.97723738540156768</v>
      </c>
      <c r="I482" s="1014">
        <v>1.0063073345707954</v>
      </c>
      <c r="K482">
        <v>2.455489197057624</v>
      </c>
      <c r="L482">
        <v>0</v>
      </c>
      <c r="M482">
        <v>1.5571329473623799E-3</v>
      </c>
      <c r="N482">
        <v>0.14680333369242279</v>
      </c>
      <c r="O482">
        <v>2.0879126210818066E-2</v>
      </c>
      <c r="P482">
        <v>2.9402007546523411E-2</v>
      </c>
      <c r="Q482">
        <v>5.528567806959362E-3</v>
      </c>
      <c r="R482">
        <v>1.5361004017535171E-3</v>
      </c>
      <c r="S482">
        <v>0.25699119995024472</v>
      </c>
      <c r="T482">
        <v>1.4196190249350158</v>
      </c>
      <c r="U482">
        <v>0.21086022484755321</v>
      </c>
      <c r="V482">
        <v>0.24842387259582577</v>
      </c>
      <c r="W482">
        <v>9.5769494146540526E-2</v>
      </c>
      <c r="X482">
        <v>1.7052618953115616E-2</v>
      </c>
      <c r="Y482">
        <v>4.1807589182117268E-3</v>
      </c>
    </row>
    <row r="483" spans="1:25">
      <c r="A483" s="1010"/>
      <c r="B483" s="1351">
        <v>233</v>
      </c>
      <c r="C483" s="1014">
        <v>0.98388918669865544</v>
      </c>
      <c r="D483" s="1014">
        <v>0.98957417217554755</v>
      </c>
      <c r="E483" s="1014">
        <v>0.99871724716470822</v>
      </c>
      <c r="F483" s="1014">
        <v>1.025356034739052</v>
      </c>
      <c r="G483" s="1014">
        <v>1.0274595849832007</v>
      </c>
      <c r="H483" s="1014">
        <v>1.0004744925793696</v>
      </c>
      <c r="I483" s="1014">
        <v>1.0124666240282698</v>
      </c>
      <c r="K483">
        <v>2.4701433307677876</v>
      </c>
      <c r="L483">
        <v>0</v>
      </c>
      <c r="M483">
        <v>1.6778154408977578E-3</v>
      </c>
      <c r="N483">
        <v>0.1521059825666389</v>
      </c>
      <c r="O483">
        <v>2.1377595600820094E-2</v>
      </c>
      <c r="P483">
        <v>2.9182987373730217E-2</v>
      </c>
      <c r="Q483">
        <v>5.5868737332680201E-3</v>
      </c>
      <c r="R483">
        <v>1.6556791738889947E-3</v>
      </c>
      <c r="S483">
        <v>0.26756524922852443</v>
      </c>
      <c r="T483">
        <v>1.4063894719902961</v>
      </c>
      <c r="U483">
        <v>0.21543991284779118</v>
      </c>
      <c r="V483">
        <v>0.2512468423706477</v>
      </c>
      <c r="W483">
        <v>9.9999539504111126E-2</v>
      </c>
      <c r="X483">
        <v>1.6764798902135565E-2</v>
      </c>
      <c r="Y483">
        <v>4.5062129168328561E-3</v>
      </c>
    </row>
    <row r="484" spans="1:25">
      <c r="A484" s="1010"/>
      <c r="B484" s="1351">
        <v>234</v>
      </c>
      <c r="C484" s="1014">
        <v>0.96493469145763289</v>
      </c>
      <c r="D484" s="1014">
        <v>1.000197001704614</v>
      </c>
      <c r="E484" s="1014">
        <v>1.0225210930739514</v>
      </c>
      <c r="F484" s="1014">
        <v>0.99492505458487934</v>
      </c>
      <c r="G484" s="1014">
        <v>1.0034095165449155</v>
      </c>
      <c r="H484" s="1014">
        <v>1.0099903717636107</v>
      </c>
      <c r="I484" s="1014">
        <v>1.0162693746361331</v>
      </c>
      <c r="K484">
        <v>2.4488694568129414</v>
      </c>
      <c r="L484">
        <v>0</v>
      </c>
      <c r="M484">
        <v>1.6398516206582365E-3</v>
      </c>
      <c r="N484">
        <v>0.15976071338675979</v>
      </c>
      <c r="O484">
        <v>2.1762776642677142E-2</v>
      </c>
      <c r="P484">
        <v>2.9228996131794745E-2</v>
      </c>
      <c r="Q484">
        <v>5.8244514399682819E-3</v>
      </c>
      <c r="R484">
        <v>1.6184200728130965E-3</v>
      </c>
      <c r="S484">
        <v>0.27344204876669265</v>
      </c>
      <c r="T484">
        <v>1.3651633091174167</v>
      </c>
      <c r="U484">
        <v>0.2197563238416855</v>
      </c>
      <c r="V484">
        <v>0.24830143273877137</v>
      </c>
      <c r="W484">
        <v>0.10356870731698541</v>
      </c>
      <c r="X484">
        <v>1.7677323051868005E-2</v>
      </c>
      <c r="Y484">
        <v>4.4048059261636305E-3</v>
      </c>
    </row>
    <row r="485" spans="1:25">
      <c r="A485" s="1010"/>
      <c r="B485" s="1351">
        <v>235</v>
      </c>
      <c r="C485" s="1014">
        <v>1.0038997979342326</v>
      </c>
      <c r="D485" s="1014">
        <v>0.99569185018890416</v>
      </c>
      <c r="E485" s="1014">
        <v>0.99380528628458809</v>
      </c>
      <c r="F485" s="1014">
        <v>0.96835935442574095</v>
      </c>
      <c r="G485" s="1014">
        <v>1.0207747035697121</v>
      </c>
      <c r="H485" s="1014">
        <v>0.96405527109178968</v>
      </c>
      <c r="I485" s="1014">
        <v>1.0068039668954338</v>
      </c>
      <c r="K485">
        <v>2.356081198131605</v>
      </c>
      <c r="L485">
        <v>0</v>
      </c>
      <c r="M485">
        <v>1.5985619892852055E-3</v>
      </c>
      <c r="N485">
        <v>0.14271362692680845</v>
      </c>
      <c r="O485">
        <v>2.0919841655026684E-2</v>
      </c>
      <c r="P485">
        <v>2.7775627512463527E-2</v>
      </c>
      <c r="Q485">
        <v>5.4402600630842025E-3</v>
      </c>
      <c r="R485">
        <v>1.5766746098440291E-3</v>
      </c>
      <c r="S485">
        <v>0.25681050583146237</v>
      </c>
      <c r="T485">
        <v>1.3281094083372913</v>
      </c>
      <c r="U485">
        <v>0.21112886039809789</v>
      </c>
      <c r="V485">
        <v>0.24885936851883372</v>
      </c>
      <c r="W485">
        <v>9.4099816713635112E-2</v>
      </c>
      <c r="X485">
        <v>1.5954581016992851E-2</v>
      </c>
      <c r="Y485">
        <v>4.29118853735E-3</v>
      </c>
    </row>
    <row r="486" spans="1:25">
      <c r="A486" s="1010"/>
      <c r="B486" s="1351">
        <v>236</v>
      </c>
      <c r="C486" s="1014">
        <v>0.99141810441619538</v>
      </c>
      <c r="D486" s="1014">
        <v>0.98227164985001758</v>
      </c>
      <c r="E486" s="1014">
        <v>1.0410689084928826</v>
      </c>
      <c r="F486" s="1014">
        <v>1.0389364217128354</v>
      </c>
      <c r="G486" s="1014">
        <v>0.98629121304865019</v>
      </c>
      <c r="H486" s="1014">
        <v>1.0095011883866001</v>
      </c>
      <c r="I486" s="1014">
        <v>0.97299017300722879</v>
      </c>
      <c r="K486">
        <v>2.4810189918740306</v>
      </c>
      <c r="L486">
        <v>0</v>
      </c>
      <c r="M486">
        <v>1.5408961719796488E-3</v>
      </c>
      <c r="N486">
        <v>0.15875077940887086</v>
      </c>
      <c r="O486">
        <v>2.1278399347476929E-2</v>
      </c>
      <c r="P486">
        <v>3.0103730387504524E-2</v>
      </c>
      <c r="Q486">
        <v>5.8001074118659828E-3</v>
      </c>
      <c r="R486">
        <v>1.5207481340334486E-3</v>
      </c>
      <c r="S486">
        <v>0.25723343165868584</v>
      </c>
      <c r="T486">
        <v>1.4259718297911608</v>
      </c>
      <c r="U486">
        <v>0.2139503033037051</v>
      </c>
      <c r="V486">
        <v>0.24358913462099932</v>
      </c>
      <c r="W486">
        <v>0.101813438044893</v>
      </c>
      <c r="X486">
        <v>1.8409010830460527E-2</v>
      </c>
      <c r="Y486">
        <v>4.1389751063513934E-3</v>
      </c>
    </row>
    <row r="487" spans="1:25">
      <c r="A487" s="1010"/>
      <c r="B487" s="1351">
        <v>237</v>
      </c>
      <c r="C487" s="1014">
        <v>0.99774580347685149</v>
      </c>
      <c r="D487" s="1014">
        <v>1.0345188685965461</v>
      </c>
      <c r="E487" s="1014">
        <v>0.99748891683098795</v>
      </c>
      <c r="F487" s="1014">
        <v>1.0025216740669993</v>
      </c>
      <c r="G487" s="1014">
        <v>0.99995574864384007</v>
      </c>
      <c r="H487" s="1014">
        <v>0.99829456624136714</v>
      </c>
      <c r="I487" s="1014">
        <v>0.98284482707778953</v>
      </c>
      <c r="K487">
        <v>2.4042820187766991</v>
      </c>
      <c r="L487">
        <v>0</v>
      </c>
      <c r="M487">
        <v>1.6390249487506772E-3</v>
      </c>
      <c r="N487">
        <v>0.14803454748599182</v>
      </c>
      <c r="O487">
        <v>2.087490241820382E-2</v>
      </c>
      <c r="P487">
        <v>2.837768756104039E-2</v>
      </c>
      <c r="Q487">
        <v>5.4487598797055385E-3</v>
      </c>
      <c r="R487">
        <v>1.6173532439935849E-3</v>
      </c>
      <c r="S487">
        <v>0.25032157297671004</v>
      </c>
      <c r="T487">
        <v>1.3750429914599047</v>
      </c>
      <c r="U487">
        <v>0.21244369299886515</v>
      </c>
      <c r="V487">
        <v>0.24567352910860546</v>
      </c>
      <c r="W487">
        <v>9.7394025755299235E-2</v>
      </c>
      <c r="X487">
        <v>1.6290078467330535E-2</v>
      </c>
      <c r="Y487">
        <v>4.4019023697969449E-3</v>
      </c>
    </row>
    <row r="488" spans="1:25">
      <c r="A488" s="1010"/>
      <c r="B488" s="1351">
        <v>238</v>
      </c>
      <c r="C488" s="1014">
        <v>1.0408978512142937</v>
      </c>
      <c r="D488" s="1014">
        <v>1.0142693436491754</v>
      </c>
      <c r="E488" s="1014">
        <v>1.0217670585832008</v>
      </c>
      <c r="F488" s="1014">
        <v>1.0167847264332974</v>
      </c>
      <c r="G488" s="1014">
        <v>0.99235161737311683</v>
      </c>
      <c r="H488" s="1014">
        <v>0.98030221253317484</v>
      </c>
      <c r="I488" s="1014">
        <v>1.0368498917558959</v>
      </c>
      <c r="K488">
        <v>2.4062997312112895</v>
      </c>
      <c r="L488">
        <v>0</v>
      </c>
      <c r="M488">
        <v>1.4732748895765753E-3</v>
      </c>
      <c r="N488">
        <v>0.14314865145520464</v>
      </c>
      <c r="O488">
        <v>2.0112165031952428E-2</v>
      </c>
      <c r="P488">
        <v>2.904919452716517E-2</v>
      </c>
      <c r="Q488">
        <v>5.3786635213635622E-3</v>
      </c>
      <c r="R488">
        <v>1.4534372487695802E-3</v>
      </c>
      <c r="S488">
        <v>0.25430771009467112</v>
      </c>
      <c r="T488">
        <v>1.3951408959443141</v>
      </c>
      <c r="U488">
        <v>0.2037163532775477</v>
      </c>
      <c r="V488">
        <v>0.24169629852477487</v>
      </c>
      <c r="W488">
        <v>9.2840419051014741E-2</v>
      </c>
      <c r="X488">
        <v>1.6973440358395937E-2</v>
      </c>
      <c r="Y488">
        <v>3.9557770656905075E-3</v>
      </c>
    </row>
    <row r="489" spans="1:25">
      <c r="A489" s="1010"/>
      <c r="B489" s="1351">
        <v>239</v>
      </c>
      <c r="C489" s="1014">
        <v>0.99817653011421481</v>
      </c>
      <c r="D489" s="1014">
        <v>0.99667159656845983</v>
      </c>
      <c r="E489" s="1014">
        <v>1.0323898363891231</v>
      </c>
      <c r="F489" s="1014">
        <v>0.99628060197548229</v>
      </c>
      <c r="G489" s="1014">
        <v>0.98213908861760846</v>
      </c>
      <c r="H489" s="1014">
        <v>1.0208030105976531</v>
      </c>
      <c r="I489" s="1014">
        <v>1.0366102056158681</v>
      </c>
      <c r="K489">
        <v>2.4306356038420613</v>
      </c>
      <c r="L489">
        <v>0</v>
      </c>
      <c r="M489">
        <v>1.5708315776910163E-3</v>
      </c>
      <c r="N489">
        <v>0.1576807454552307</v>
      </c>
      <c r="O489">
        <v>2.106096289239754E-2</v>
      </c>
      <c r="P489">
        <v>2.9253342628097177E-2</v>
      </c>
      <c r="Q489">
        <v>5.6919668957709163E-3</v>
      </c>
      <c r="R489">
        <v>1.550519521032715E-3</v>
      </c>
      <c r="S489">
        <v>0.27114445382029162</v>
      </c>
      <c r="T489">
        <v>1.3672370802819298</v>
      </c>
      <c r="U489">
        <v>0.212471810190173</v>
      </c>
      <c r="V489">
        <v>0.24248365842931477</v>
      </c>
      <c r="W489">
        <v>0.10163525082550932</v>
      </c>
      <c r="X489">
        <v>1.7776641472375961E-2</v>
      </c>
      <c r="Y489">
        <v>4.220003007628312E-3</v>
      </c>
    </row>
    <row r="490" spans="1:25">
      <c r="A490" s="1010"/>
      <c r="B490" s="1351">
        <v>240</v>
      </c>
      <c r="C490" s="1014">
        <v>1.0011213910248735</v>
      </c>
      <c r="D490" s="1014">
        <v>0.99159992987035117</v>
      </c>
      <c r="E490" s="1014">
        <v>0.98217521376533345</v>
      </c>
      <c r="F490" s="1014">
        <v>1.0301139802697212</v>
      </c>
      <c r="G490" s="1014">
        <v>0.97589607078698859</v>
      </c>
      <c r="H490" s="1014">
        <v>0.97728826191291907</v>
      </c>
      <c r="I490" s="1014">
        <v>0.97789951507324191</v>
      </c>
      <c r="K490">
        <v>2.4315302282906335</v>
      </c>
      <c r="L490">
        <v>0</v>
      </c>
      <c r="M490">
        <v>1.6661139265693201E-3</v>
      </c>
      <c r="N490">
        <v>0.14363127752463326</v>
      </c>
      <c r="O490">
        <v>2.098920502230342E-2</v>
      </c>
      <c r="P490">
        <v>2.8507921903124459E-2</v>
      </c>
      <c r="Q490">
        <v>5.3944390977296794E-3</v>
      </c>
      <c r="R490">
        <v>1.6436105218787711E-3</v>
      </c>
      <c r="S490">
        <v>0.25165962788547902</v>
      </c>
      <c r="T490">
        <v>1.4125476912018409</v>
      </c>
      <c r="U490">
        <v>0.21167517139328587</v>
      </c>
      <c r="V490">
        <v>0.24140738361909586</v>
      </c>
      <c r="W490">
        <v>9.5368064407858361E-2</v>
      </c>
      <c r="X490">
        <v>1.5898583615482097E-2</v>
      </c>
      <c r="Y490">
        <v>4.4733660244910935E-3</v>
      </c>
    </row>
    <row r="491" spans="1:25">
      <c r="A491" s="1010"/>
      <c r="B491" s="1351">
        <v>241</v>
      </c>
      <c r="C491" s="1014">
        <v>0.98930910938633365</v>
      </c>
      <c r="D491" s="1014">
        <v>1.0395631409761501</v>
      </c>
      <c r="E491" s="1014">
        <v>0.98118118085483608</v>
      </c>
      <c r="F491" s="1014">
        <v>0.97453233528717509</v>
      </c>
      <c r="G491" s="1014">
        <v>1.0225940113833671</v>
      </c>
      <c r="H491" s="1014">
        <v>0.98150003758919302</v>
      </c>
      <c r="I491" s="1014">
        <v>0.97503817528518533</v>
      </c>
      <c r="K491">
        <v>2.3632178031897526</v>
      </c>
      <c r="L491">
        <v>0</v>
      </c>
      <c r="M491">
        <v>1.6792169485911421E-3</v>
      </c>
      <c r="N491">
        <v>0.14433465798108946</v>
      </c>
      <c r="O491">
        <v>2.1019575329740445E-2</v>
      </c>
      <c r="P491">
        <v>2.7567164077741572E-2</v>
      </c>
      <c r="Q491">
        <v>5.3967943540045365E-3</v>
      </c>
      <c r="R491">
        <v>1.6566338928322795E-3</v>
      </c>
      <c r="S491">
        <v>0.24832334732940045</v>
      </c>
      <c r="T491">
        <v>1.3363102776280662</v>
      </c>
      <c r="U491">
        <v>0.21419913368522236</v>
      </c>
      <c r="V491">
        <v>0.25013371194272332</v>
      </c>
      <c r="W491">
        <v>9.5892556768777892E-2</v>
      </c>
      <c r="X491">
        <v>1.5554355801671083E-2</v>
      </c>
      <c r="Y491">
        <v>4.5088113470734626E-3</v>
      </c>
    </row>
    <row r="492" spans="1:25">
      <c r="A492" s="1010"/>
      <c r="B492" s="1351">
        <v>242</v>
      </c>
      <c r="C492" s="1014">
        <v>0.98477761370565897</v>
      </c>
      <c r="D492" s="1014">
        <v>0.97246796156744175</v>
      </c>
      <c r="E492" s="1014">
        <v>0.96965478250049553</v>
      </c>
      <c r="F492" s="1014">
        <v>1.0046311177739531</v>
      </c>
      <c r="G492" s="1014">
        <v>0.98927499999843205</v>
      </c>
      <c r="H492" s="1014">
        <v>1.0120623461819469</v>
      </c>
      <c r="I492" s="1014">
        <v>0.99633049099702009</v>
      </c>
      <c r="K492">
        <v>2.4291827928665692</v>
      </c>
      <c r="L492">
        <v>0</v>
      </c>
      <c r="M492">
        <v>1.8077386366537665E-3</v>
      </c>
      <c r="N492">
        <v>0.15011603686970235</v>
      </c>
      <c r="O492">
        <v>2.1420746323368111E-2</v>
      </c>
      <c r="P492">
        <v>2.8051992509501151E-2</v>
      </c>
      <c r="Q492">
        <v>5.4355761454949383E-3</v>
      </c>
      <c r="R492">
        <v>1.7841613083198428E-3</v>
      </c>
      <c r="S492">
        <v>0.26614109970502875</v>
      </c>
      <c r="T492">
        <v>1.3773335284866297</v>
      </c>
      <c r="U492">
        <v>0.21514493013333383</v>
      </c>
      <c r="V492">
        <v>0.24477246219242099</v>
      </c>
      <c r="W492">
        <v>0.10043267428989899</v>
      </c>
      <c r="X492">
        <v>1.5501424606894713E-2</v>
      </c>
      <c r="Y492">
        <v>4.855898932629393E-3</v>
      </c>
    </row>
    <row r="493" spans="1:25">
      <c r="A493" s="1010"/>
      <c r="B493" s="1351">
        <v>243</v>
      </c>
      <c r="C493" s="1014">
        <v>0.96052828376383426</v>
      </c>
      <c r="D493" s="1014">
        <v>0.97902013090394802</v>
      </c>
      <c r="E493" s="1014">
        <v>0.99991795336189149</v>
      </c>
      <c r="F493" s="1014">
        <v>1.0221889382680618</v>
      </c>
      <c r="G493" s="1014">
        <v>0.96250284497192606</v>
      </c>
      <c r="H493" s="1014">
        <v>0.99162766239054989</v>
      </c>
      <c r="I493" s="1014">
        <v>1.0082978529190179</v>
      </c>
      <c r="K493">
        <v>2.4732183062016428</v>
      </c>
      <c r="L493">
        <v>0</v>
      </c>
      <c r="M493">
        <v>1.7032004243308671E-3</v>
      </c>
      <c r="N493">
        <v>0.15495000054552022</v>
      </c>
      <c r="O493">
        <v>2.1950067379838286E-2</v>
      </c>
      <c r="P493">
        <v>2.9174317635543394E-2</v>
      </c>
      <c r="Q493">
        <v>5.7434152298139708E-3</v>
      </c>
      <c r="R493">
        <v>1.6805287631959634E-3</v>
      </c>
      <c r="S493">
        <v>0.27363641871190908</v>
      </c>
      <c r="T493">
        <v>1.4020719898652556</v>
      </c>
      <c r="U493">
        <v>0.22068387581371743</v>
      </c>
      <c r="V493">
        <v>0.24169195737373875</v>
      </c>
      <c r="W493">
        <v>0.10179658104567305</v>
      </c>
      <c r="X493">
        <v>1.6968508954506772E-2</v>
      </c>
      <c r="Y493">
        <v>4.5738453072615122E-3</v>
      </c>
    </row>
    <row r="494" spans="1:25">
      <c r="A494" s="1010"/>
      <c r="B494" s="1351">
        <v>244</v>
      </c>
      <c r="C494" s="1014">
        <v>1.0072799460956685</v>
      </c>
      <c r="D494" s="1014">
        <v>0.98721630420633422</v>
      </c>
      <c r="E494" s="1014">
        <v>0.95969745209841106</v>
      </c>
      <c r="F494" s="1014">
        <v>0.98348931782981452</v>
      </c>
      <c r="G494" s="1014">
        <v>0.95363581273172759</v>
      </c>
      <c r="H494" s="1014">
        <v>1.013923202374682</v>
      </c>
      <c r="I494" s="1014">
        <v>0.96904323595870001</v>
      </c>
      <c r="K494">
        <v>2.3625690315532886</v>
      </c>
      <c r="L494">
        <v>0</v>
      </c>
      <c r="M494">
        <v>1.801370844377255E-3</v>
      </c>
      <c r="N494">
        <v>0.14514635717815805</v>
      </c>
      <c r="O494">
        <v>2.0866437682659767E-2</v>
      </c>
      <c r="P494">
        <v>2.70912543873916E-2</v>
      </c>
      <c r="Q494">
        <v>5.2411459263878909E-3</v>
      </c>
      <c r="R494">
        <v>1.7779196867261197E-3</v>
      </c>
      <c r="S494">
        <v>0.25123706130052242</v>
      </c>
      <c r="T494">
        <v>1.348138218436683</v>
      </c>
      <c r="U494">
        <v>0.21030506194445356</v>
      </c>
      <c r="V494">
        <v>0.23730116229462442</v>
      </c>
      <c r="W494">
        <v>9.7700598838642072E-2</v>
      </c>
      <c r="X494">
        <v>1.4726273425211786E-2</v>
      </c>
      <c r="Y494">
        <v>4.8389112962012835E-3</v>
      </c>
    </row>
    <row r="495" spans="1:25">
      <c r="A495" s="1010"/>
      <c r="B495" s="1351">
        <v>245</v>
      </c>
      <c r="C495" s="1014">
        <v>1.0115614790698249</v>
      </c>
      <c r="D495" s="1014">
        <v>0.97757152131917857</v>
      </c>
      <c r="E495" s="1014">
        <v>0.99322907929895043</v>
      </c>
      <c r="F495" s="1014">
        <v>1.0035735448168566</v>
      </c>
      <c r="G495" s="1014">
        <v>0.99301317947745527</v>
      </c>
      <c r="H495" s="1014">
        <v>1.0323281214080879</v>
      </c>
      <c r="I495" s="1014">
        <v>1.0058162409846707</v>
      </c>
      <c r="K495">
        <v>2.420600031185185</v>
      </c>
      <c r="L495">
        <v>0</v>
      </c>
      <c r="M495">
        <v>1.7077203684059056E-3</v>
      </c>
      <c r="N495">
        <v>0.15233330182652577</v>
      </c>
      <c r="O495">
        <v>2.0845071057892003E-2</v>
      </c>
      <c r="P495">
        <v>2.8407926078378831E-2</v>
      </c>
      <c r="Q495">
        <v>5.4176657028448131E-3</v>
      </c>
      <c r="R495">
        <v>1.6858847639420985E-3</v>
      </c>
      <c r="S495">
        <v>0.26278981785296712</v>
      </c>
      <c r="T495">
        <v>1.3763933456104027</v>
      </c>
      <c r="U495">
        <v>0.2095278014080891</v>
      </c>
      <c r="V495">
        <v>0.24364904805963333</v>
      </c>
      <c r="W495">
        <v>0.10047723707151147</v>
      </c>
      <c r="X495">
        <v>1.6192229545714937E-2</v>
      </c>
      <c r="Y495">
        <v>4.5884225756873181E-3</v>
      </c>
    </row>
    <row r="496" spans="1:25">
      <c r="A496" s="1010"/>
      <c r="B496" s="1351">
        <v>246</v>
      </c>
      <c r="C496" s="1014">
        <v>1.0083530895953667</v>
      </c>
      <c r="D496" s="1014">
        <v>1.0063863905569577</v>
      </c>
      <c r="E496" s="1014">
        <v>0.97997268746191646</v>
      </c>
      <c r="F496" s="1014">
        <v>1.0080916304066481</v>
      </c>
      <c r="G496" s="1014">
        <v>1.0248661692568271</v>
      </c>
      <c r="H496" s="1014">
        <v>0.99584945411196912</v>
      </c>
      <c r="I496" s="1014">
        <v>1.0230020466664655</v>
      </c>
      <c r="K496">
        <v>2.4180629801571047</v>
      </c>
      <c r="L496">
        <v>0</v>
      </c>
      <c r="M496">
        <v>1.6877723166104819E-3</v>
      </c>
      <c r="N496">
        <v>0.14456895752697513</v>
      </c>
      <c r="O496">
        <v>2.0769483726338672E-2</v>
      </c>
      <c r="P496">
        <v>2.8265648464629665E-2</v>
      </c>
      <c r="Q496">
        <v>5.3260391706054025E-3</v>
      </c>
      <c r="R496">
        <v>1.6654012656082411E-3</v>
      </c>
      <c r="S496">
        <v>0.26102008469655869</v>
      </c>
      <c r="T496">
        <v>1.3823016255256801</v>
      </c>
      <c r="U496">
        <v>0.21014963740000983</v>
      </c>
      <c r="V496">
        <v>0.24933575478853578</v>
      </c>
      <c r="W496">
        <v>9.6118301375288095E-2</v>
      </c>
      <c r="X496">
        <v>1.5697145287879036E-2</v>
      </c>
      <c r="Y496">
        <v>4.5326732456059705E-3</v>
      </c>
    </row>
    <row r="497" spans="1:25">
      <c r="A497" s="1010"/>
      <c r="B497" s="1351">
        <v>247</v>
      </c>
      <c r="C497" s="1014">
        <v>0.97369506173736664</v>
      </c>
      <c r="D497" s="1014">
        <v>1.0222474698093835</v>
      </c>
      <c r="E497" s="1014">
        <v>1.0160293064995514</v>
      </c>
      <c r="F497" s="1014">
        <v>1.0292447665201143</v>
      </c>
      <c r="G497" s="1014">
        <v>0.98814196014308897</v>
      </c>
      <c r="H497" s="1014">
        <v>0.97044710674915968</v>
      </c>
      <c r="I497" s="1014">
        <v>1.0252742528106749</v>
      </c>
      <c r="K497">
        <v>2.4684883798589436</v>
      </c>
      <c r="L497">
        <v>0</v>
      </c>
      <c r="M497">
        <v>1.5751289033099614E-3</v>
      </c>
      <c r="N497">
        <v>0.15039774406495629</v>
      </c>
      <c r="O497">
        <v>2.1459340828668044E-2</v>
      </c>
      <c r="P497">
        <v>2.9576155270827603E-2</v>
      </c>
      <c r="Q497">
        <v>5.7062808630546566E-3</v>
      </c>
      <c r="R497">
        <v>1.5537044154276139E-3</v>
      </c>
      <c r="S497">
        <v>0.26684516054419916</v>
      </c>
      <c r="T497">
        <v>1.4121092441320542</v>
      </c>
      <c r="U497">
        <v>0.21775631105130025</v>
      </c>
      <c r="V497">
        <v>0.24513609357787378</v>
      </c>
      <c r="W497">
        <v>9.7870159657208827E-2</v>
      </c>
      <c r="X497">
        <v>1.7424643116408012E-2</v>
      </c>
      <c r="Y497">
        <v>4.2286712402710702E-3</v>
      </c>
    </row>
    <row r="498" spans="1:25">
      <c r="A498" s="1010"/>
      <c r="B498" s="1351">
        <v>248</v>
      </c>
      <c r="C498" s="1014">
        <v>1.0028362910730015</v>
      </c>
      <c r="D498" s="1014">
        <v>1.0414147012242194</v>
      </c>
      <c r="E498" s="1014">
        <v>1.0067961122454407</v>
      </c>
      <c r="F498" s="1014">
        <v>0.99640838834385748</v>
      </c>
      <c r="G498" s="1014">
        <v>1.0236532303899648</v>
      </c>
      <c r="H498" s="1014">
        <v>0.98929903150690046</v>
      </c>
      <c r="I498" s="1014">
        <v>1.042875341416533</v>
      </c>
      <c r="K498">
        <v>2.4092372601320089</v>
      </c>
      <c r="L498">
        <v>0</v>
      </c>
      <c r="M498">
        <v>1.5827863228181261E-3</v>
      </c>
      <c r="N498">
        <v>0.14701339650319453</v>
      </c>
      <c r="O498">
        <v>2.0744712701859999E-2</v>
      </c>
      <c r="P498">
        <v>2.8668441493402644E-2</v>
      </c>
      <c r="Q498">
        <v>5.4656124171474042E-3</v>
      </c>
      <c r="R498">
        <v>1.5616679271095765E-3</v>
      </c>
      <c r="S498">
        <v>0.26268161281496177</v>
      </c>
      <c r="T498">
        <v>1.3668587663787539</v>
      </c>
      <c r="U498">
        <v>0.21139704439144361</v>
      </c>
      <c r="V498">
        <v>0.24936888581650432</v>
      </c>
      <c r="W498">
        <v>9.6189533799586571E-2</v>
      </c>
      <c r="X498">
        <v>1.6620026916963737E-2</v>
      </c>
      <c r="Y498">
        <v>4.2503452938984516E-3</v>
      </c>
    </row>
    <row r="499" spans="1:25">
      <c r="A499" s="1010"/>
      <c r="B499" s="1351">
        <v>249</v>
      </c>
      <c r="C499" s="1014">
        <v>0.96946632212709039</v>
      </c>
      <c r="D499" s="1014">
        <v>0.98482534393572818</v>
      </c>
      <c r="E499" s="1014">
        <v>0.97939740981035761</v>
      </c>
      <c r="F499" s="1014">
        <v>1.0137084150598628</v>
      </c>
      <c r="G499" s="1014">
        <v>1.0001084967914764</v>
      </c>
      <c r="H499" s="1014">
        <v>0.98954268175245041</v>
      </c>
      <c r="I499" s="1014">
        <v>0.98875464282203485</v>
      </c>
      <c r="K499">
        <v>2.4471662056518761</v>
      </c>
      <c r="L499">
        <v>0</v>
      </c>
      <c r="M499">
        <v>1.7547708649697197E-3</v>
      </c>
      <c r="N499">
        <v>0.15003358069019415</v>
      </c>
      <c r="O499">
        <v>2.1705357616433153E-2</v>
      </c>
      <c r="P499">
        <v>2.8496062658539538E-2</v>
      </c>
      <c r="Q499">
        <v>5.5627766018755799E-3</v>
      </c>
      <c r="R499">
        <v>1.7313635228832845E-3</v>
      </c>
      <c r="S499">
        <v>0.26471479079468924</v>
      </c>
      <c r="T499">
        <v>1.3899908362226594</v>
      </c>
      <c r="U499">
        <v>0.21857703697613906</v>
      </c>
      <c r="V499">
        <v>0.24758873171259457</v>
      </c>
      <c r="W499">
        <v>9.9786182665026008E-2</v>
      </c>
      <c r="X499">
        <v>1.6022056290354813E-2</v>
      </c>
      <c r="Y499">
        <v>4.7122007654563725E-3</v>
      </c>
    </row>
    <row r="500" spans="1:25">
      <c r="A500" s="1010"/>
      <c r="B500" s="1351">
        <v>250</v>
      </c>
      <c r="C500" s="1014">
        <v>0.99562745124792285</v>
      </c>
      <c r="D500" s="1014">
        <v>0.98274997454129331</v>
      </c>
      <c r="E500" s="1014">
        <v>0.99386380176734379</v>
      </c>
      <c r="F500" s="1014">
        <v>0.99358805078468393</v>
      </c>
      <c r="G500" s="1014">
        <v>1.0081297056773584</v>
      </c>
      <c r="H500" s="1014">
        <v>1.0053451266864202</v>
      </c>
      <c r="I500" s="1014">
        <v>1.0259218642554329</v>
      </c>
      <c r="K500">
        <v>2.4177989785937339</v>
      </c>
      <c r="L500">
        <v>0</v>
      </c>
      <c r="M500">
        <v>1.6855187454818071E-3</v>
      </c>
      <c r="N500">
        <v>0.15058922499638375</v>
      </c>
      <c r="O500">
        <v>2.1154497855431057E-2</v>
      </c>
      <c r="P500">
        <v>2.8417320585472215E-2</v>
      </c>
      <c r="Q500">
        <v>5.5016077216566758E-3</v>
      </c>
      <c r="R500">
        <v>1.663388581692969E-3</v>
      </c>
      <c r="S500">
        <v>0.26924521706919252</v>
      </c>
      <c r="T500">
        <v>1.3627119399337275</v>
      </c>
      <c r="U500">
        <v>0.21288326256065238</v>
      </c>
      <c r="V500">
        <v>0.24721572362105518</v>
      </c>
      <c r="W500">
        <v>9.9289209827773547E-2</v>
      </c>
      <c r="X500">
        <v>1.6285909202708452E-2</v>
      </c>
      <c r="Y500">
        <v>4.5271953834696765E-3</v>
      </c>
    </row>
    <row r="501" spans="1:25">
      <c r="A501" s="1010"/>
      <c r="B501" s="1351">
        <v>251</v>
      </c>
      <c r="C501" s="1014">
        <v>1.0392005545505616</v>
      </c>
      <c r="D501" s="1014">
        <v>0.98454165904242963</v>
      </c>
      <c r="E501" s="1014">
        <v>0.98501665986050324</v>
      </c>
      <c r="F501" s="1014">
        <v>1.0329280773066603</v>
      </c>
      <c r="G501" s="1014">
        <v>1.0227812473240863</v>
      </c>
      <c r="H501" s="1014">
        <v>1.0248039859445233</v>
      </c>
      <c r="I501" s="1014">
        <v>1.0032926421502417</v>
      </c>
      <c r="K501">
        <v>2.4379633410834076</v>
      </c>
      <c r="L501">
        <v>0</v>
      </c>
      <c r="M501">
        <v>1.6758670251622826E-3</v>
      </c>
      <c r="N501">
        <v>0.14581165648740152</v>
      </c>
      <c r="O501">
        <v>2.0253721374066707E-2</v>
      </c>
      <c r="P501">
        <v>2.8620484663897182E-2</v>
      </c>
      <c r="Q501">
        <v>5.2204373695510682E-3</v>
      </c>
      <c r="R501">
        <v>1.6542813832486744E-3</v>
      </c>
      <c r="S501">
        <v>0.2535676973875795</v>
      </c>
      <c r="T501">
        <v>1.4164697977857481</v>
      </c>
      <c r="U501">
        <v>0.20392813335149845</v>
      </c>
      <c r="V501">
        <v>0.24712420579456862</v>
      </c>
      <c r="W501">
        <v>9.6650293203137408E-2</v>
      </c>
      <c r="X501">
        <v>1.5836090716378582E-2</v>
      </c>
      <c r="Y501">
        <v>4.5024085914914646E-3</v>
      </c>
    </row>
    <row r="502" spans="1:25">
      <c r="A502" s="1010"/>
      <c r="B502" s="1351">
        <v>252</v>
      </c>
      <c r="C502" s="1014">
        <v>0.97446395539928488</v>
      </c>
      <c r="D502" s="1014">
        <v>1.0038499513063854</v>
      </c>
      <c r="E502" s="1014">
        <v>1.0052885535244527</v>
      </c>
      <c r="F502" s="1014">
        <v>0.99061654932012411</v>
      </c>
      <c r="G502" s="1014">
        <v>0.99948052271384802</v>
      </c>
      <c r="H502" s="1014">
        <v>0.98138911577550103</v>
      </c>
      <c r="I502" s="1014">
        <v>0.97478064027520406</v>
      </c>
      <c r="K502">
        <v>2.4069571236425622</v>
      </c>
      <c r="L502">
        <v>0</v>
      </c>
      <c r="M502">
        <v>1.6340662136807912E-3</v>
      </c>
      <c r="N502">
        <v>0.15107052864327791</v>
      </c>
      <c r="O502">
        <v>2.1520930449625445E-2</v>
      </c>
      <c r="P502">
        <v>2.8497363659295519E-2</v>
      </c>
      <c r="Q502">
        <v>5.6615654294856366E-3</v>
      </c>
      <c r="R502">
        <v>1.612087886620722E-3</v>
      </c>
      <c r="S502">
        <v>0.25666785627676042</v>
      </c>
      <c r="T502">
        <v>1.3588812655175295</v>
      </c>
      <c r="U502">
        <v>0.21754675351241165</v>
      </c>
      <c r="V502">
        <v>0.24705870301639177</v>
      </c>
      <c r="W502">
        <v>9.8932262021941483E-2</v>
      </c>
      <c r="X502">
        <v>1.6754301640149811E-2</v>
      </c>
      <c r="Y502">
        <v>4.3875718027526029E-3</v>
      </c>
    </row>
    <row r="503" spans="1:25">
      <c r="A503" s="1010"/>
      <c r="B503" s="1351">
        <v>253</v>
      </c>
      <c r="C503" s="1014">
        <v>1.0010179706716928</v>
      </c>
      <c r="D503" s="1014">
        <v>1.0171229105189208</v>
      </c>
      <c r="E503" s="1014">
        <v>0.99457841353193621</v>
      </c>
      <c r="F503" s="1014">
        <v>1.003997392163591</v>
      </c>
      <c r="G503" s="1014">
        <v>1.0200150364218881</v>
      </c>
      <c r="H503" s="1014">
        <v>1.0122817373975688</v>
      </c>
      <c r="I503" s="1014">
        <v>1.0000618042546334</v>
      </c>
      <c r="K503">
        <v>2.4188549108952637</v>
      </c>
      <c r="L503">
        <v>0</v>
      </c>
      <c r="M503">
        <v>1.6728111988786056E-3</v>
      </c>
      <c r="N503">
        <v>0.14979070619222412</v>
      </c>
      <c r="O503">
        <v>2.0882516343818613E-2</v>
      </c>
      <c r="P503">
        <v>2.8470271003729088E-2</v>
      </c>
      <c r="Q503">
        <v>5.4347890210642508E-3</v>
      </c>
      <c r="R503">
        <v>1.6509983824798717E-3</v>
      </c>
      <c r="S503">
        <v>0.2571862247413777</v>
      </c>
      <c r="T503">
        <v>1.3770039131628744</v>
      </c>
      <c r="U503">
        <v>0.21173931618483152</v>
      </c>
      <c r="V503">
        <v>0.24890566413216636</v>
      </c>
      <c r="W503">
        <v>9.8720585934453459E-2</v>
      </c>
      <c r="X503">
        <v>1.6249263649480122E-2</v>
      </c>
      <c r="Y503">
        <v>4.4934733456396952E-3</v>
      </c>
    </row>
    <row r="504" spans="1:25">
      <c r="A504" s="1010"/>
      <c r="B504" s="1351">
        <v>254</v>
      </c>
      <c r="C504" s="1014">
        <v>1.0259854836274507</v>
      </c>
      <c r="D504" s="1014">
        <v>1.0367514876482049</v>
      </c>
      <c r="E504" s="1014">
        <v>1.0294512369301099</v>
      </c>
      <c r="F504" s="1014">
        <v>0.97678880427159576</v>
      </c>
      <c r="G504" s="1014">
        <v>0.99288312535609091</v>
      </c>
      <c r="H504" s="1014">
        <v>1.0171742597058528</v>
      </c>
      <c r="I504" s="1014">
        <v>0.9761831639937627</v>
      </c>
      <c r="K504">
        <v>2.3570284772350236</v>
      </c>
      <c r="L504">
        <v>0</v>
      </c>
      <c r="M504">
        <v>1.5189445910336519E-3</v>
      </c>
      <c r="N504">
        <v>0.15112060541327468</v>
      </c>
      <c r="O504">
        <v>2.031126082054055E-2</v>
      </c>
      <c r="P504">
        <v>2.8350242789183105E-2</v>
      </c>
      <c r="Q504">
        <v>5.4734338473285751E-3</v>
      </c>
      <c r="R504">
        <v>1.4992334035586663E-3</v>
      </c>
      <c r="S504">
        <v>0.24328506349319576</v>
      </c>
      <c r="T504">
        <v>1.3404252255921385</v>
      </c>
      <c r="U504">
        <v>0.20670300510350864</v>
      </c>
      <c r="V504">
        <v>0.24263181552008808</v>
      </c>
      <c r="W504">
        <v>9.7573000914050967E-2</v>
      </c>
      <c r="X504">
        <v>1.7094115826857739E-2</v>
      </c>
      <c r="Y504">
        <v>4.0804191023280307E-3</v>
      </c>
    </row>
    <row r="505" spans="1:25">
      <c r="A505" s="1010"/>
      <c r="B505" s="1351">
        <v>255</v>
      </c>
      <c r="C505" s="1014">
        <v>1.0140978343083866</v>
      </c>
      <c r="D505" s="1014">
        <v>1.0075078714126064</v>
      </c>
      <c r="E505" s="1014">
        <v>1.0114714752208234</v>
      </c>
      <c r="F505" s="1014">
        <v>1.0335021192484273</v>
      </c>
      <c r="G505" s="1014">
        <v>1.0019484245343688</v>
      </c>
      <c r="H505" s="1014">
        <v>1.0234553861005617</v>
      </c>
      <c r="I505" s="1014">
        <v>1.0263724148628581</v>
      </c>
      <c r="K505">
        <v>2.4631860550521316</v>
      </c>
      <c r="L505">
        <v>0</v>
      </c>
      <c r="M505">
        <v>1.6153200446039351E-3</v>
      </c>
      <c r="N505">
        <v>0.15223677664128563</v>
      </c>
      <c r="O505">
        <v>2.0667333852100365E-2</v>
      </c>
      <c r="P505">
        <v>2.9379418313548279E-2</v>
      </c>
      <c r="Q505">
        <v>5.4707464125744705E-3</v>
      </c>
      <c r="R505">
        <v>1.5944868493206101E-3</v>
      </c>
      <c r="S505">
        <v>0.26288438239418566</v>
      </c>
      <c r="T505">
        <v>1.417848113528859</v>
      </c>
      <c r="U505">
        <v>0.20906526456580155</v>
      </c>
      <c r="V505">
        <v>0.24495533583497206</v>
      </c>
      <c r="W505">
        <v>9.933272323411925E-2</v>
      </c>
      <c r="X505">
        <v>1.7027125888568383E-2</v>
      </c>
      <c r="Y505">
        <v>4.3396675814020846E-3</v>
      </c>
    </row>
    <row r="506" spans="1:25">
      <c r="A506" s="1010"/>
      <c r="B506" s="1351">
        <v>256</v>
      </c>
      <c r="C506" s="1014">
        <v>1.0186407787716969</v>
      </c>
      <c r="D506" s="1014">
        <v>0.99136997867778331</v>
      </c>
      <c r="E506" s="1014">
        <v>0.98884247070318754</v>
      </c>
      <c r="F506" s="1014">
        <v>0.98826332931545458</v>
      </c>
      <c r="G506" s="1014">
        <v>0.98609280344584249</v>
      </c>
      <c r="H506" s="1014">
        <v>0.9998321915852646</v>
      </c>
      <c r="I506" s="1014">
        <v>1.009464147908967</v>
      </c>
      <c r="K506">
        <v>2.3783584480892217</v>
      </c>
      <c r="L506">
        <v>0</v>
      </c>
      <c r="M506">
        <v>1.6523587381947048E-3</v>
      </c>
      <c r="N506">
        <v>0.14539187297515907</v>
      </c>
      <c r="O506">
        <v>2.0633610839240098E-2</v>
      </c>
      <c r="P506">
        <v>2.7913272136078013E-2</v>
      </c>
      <c r="Q506">
        <v>5.3389957525460828E-3</v>
      </c>
      <c r="R506">
        <v>1.6305443295582514E-3</v>
      </c>
      <c r="S506">
        <v>0.25730172564345416</v>
      </c>
      <c r="T506">
        <v>1.3553019134447286</v>
      </c>
      <c r="U506">
        <v>0.20805693623036728</v>
      </c>
      <c r="V506">
        <v>0.24205405552884868</v>
      </c>
      <c r="W506">
        <v>9.6150884762635183E-2</v>
      </c>
      <c r="X506">
        <v>1.5799191028535713E-2</v>
      </c>
      <c r="Y506">
        <v>4.4378041562637797E-3</v>
      </c>
    </row>
    <row r="507" spans="1:25">
      <c r="A507" s="1010"/>
      <c r="B507" s="1351">
        <v>257</v>
      </c>
      <c r="C507" s="1014">
        <v>0.97331137944956481</v>
      </c>
      <c r="D507" s="1014">
        <v>1.0468060843797065</v>
      </c>
      <c r="E507" s="1014">
        <v>1.0036385375695582</v>
      </c>
      <c r="F507" s="1014">
        <v>0.96200390109356615</v>
      </c>
      <c r="G507" s="1014">
        <v>1.0003780701504055</v>
      </c>
      <c r="H507" s="1014">
        <v>0.99107458716228891</v>
      </c>
      <c r="I507" s="1014">
        <v>0.98333660946287949</v>
      </c>
      <c r="K507">
        <v>2.36525208252564</v>
      </c>
      <c r="L507">
        <v>0</v>
      </c>
      <c r="M507">
        <v>1.6426035466417684E-3</v>
      </c>
      <c r="N507">
        <v>0.15112504477710759</v>
      </c>
      <c r="O507">
        <v>2.1347592867405299E-2</v>
      </c>
      <c r="P507">
        <v>2.7904291040275444E-2</v>
      </c>
      <c r="Q507">
        <v>5.6066812997400484E-3</v>
      </c>
      <c r="R507">
        <v>1.6207263014431659E-3</v>
      </c>
      <c r="S507">
        <v>0.25467089441531948</v>
      </c>
      <c r="T507">
        <v>1.3195974165115725</v>
      </c>
      <c r="U507">
        <v>0.21779856921993754</v>
      </c>
      <c r="V507">
        <v>0.2472936259855357</v>
      </c>
      <c r="W507">
        <v>9.9064725089386199E-2</v>
      </c>
      <c r="X507">
        <v>1.6454035844311529E-2</v>
      </c>
      <c r="Y507">
        <v>4.4110827202466152E-3</v>
      </c>
    </row>
    <row r="508" spans="1:25">
      <c r="A508" s="1010"/>
      <c r="B508" s="1351">
        <v>258</v>
      </c>
      <c r="C508" s="1014">
        <v>1.018617646297179</v>
      </c>
      <c r="D508" s="1014">
        <v>0.9883486509845647</v>
      </c>
      <c r="E508" s="1014">
        <v>0.98804518503953265</v>
      </c>
      <c r="F508" s="1014">
        <v>0.97477710672614482</v>
      </c>
      <c r="G508" s="1014">
        <v>1.0138379856850297</v>
      </c>
      <c r="H508" s="1014">
        <v>0.98867789186509725</v>
      </c>
      <c r="I508" s="1014">
        <v>1.0072738550114515</v>
      </c>
      <c r="K508">
        <v>2.3604386421539578</v>
      </c>
      <c r="L508">
        <v>0</v>
      </c>
      <c r="M508">
        <v>1.6377608524012278E-3</v>
      </c>
      <c r="N508">
        <v>0.14373870053065754</v>
      </c>
      <c r="O508">
        <v>2.0647420047800364E-2</v>
      </c>
      <c r="P508">
        <v>2.7695364929855245E-2</v>
      </c>
      <c r="Q508">
        <v>5.3382615249068181E-3</v>
      </c>
      <c r="R508">
        <v>1.6158952281138976E-3</v>
      </c>
      <c r="S508">
        <v>0.25619626658514211</v>
      </c>
      <c r="T508">
        <v>1.3367901714452326</v>
      </c>
      <c r="U508">
        <v>0.2080589905541548</v>
      </c>
      <c r="V508">
        <v>0.24679796928714098</v>
      </c>
      <c r="W508">
        <v>9.5103073462256077E-2</v>
      </c>
      <c r="X508">
        <v>1.569635527988892E-2</v>
      </c>
      <c r="Y508">
        <v>4.3979341312072422E-3</v>
      </c>
    </row>
    <row r="509" spans="1:25">
      <c r="A509" s="1010"/>
      <c r="B509" s="1351">
        <v>259</v>
      </c>
      <c r="C509" s="1014">
        <v>1.038061978543146</v>
      </c>
      <c r="D509" s="1014">
        <v>0.9633139638948357</v>
      </c>
      <c r="E509" s="1014">
        <v>0.96910479250803583</v>
      </c>
      <c r="F509" s="1014">
        <v>0.96584583233327503</v>
      </c>
      <c r="G509" s="1014">
        <v>1.0046835378633285</v>
      </c>
      <c r="H509" s="1014">
        <v>0.98343733917258824</v>
      </c>
      <c r="I509" s="1014">
        <v>1.009968829883422</v>
      </c>
      <c r="K509">
        <v>2.3302947712699877</v>
      </c>
      <c r="L509">
        <v>0</v>
      </c>
      <c r="M509">
        <v>1.671808970126072E-3</v>
      </c>
      <c r="N509">
        <v>0.13854400983375267</v>
      </c>
      <c r="O509">
        <v>2.0363179799913336E-2</v>
      </c>
      <c r="P509">
        <v>2.7024043237387985E-2</v>
      </c>
      <c r="Q509">
        <v>5.1643107452466362E-3</v>
      </c>
      <c r="R509">
        <v>1.6493698317915217E-3</v>
      </c>
      <c r="S509">
        <v>0.2547677466371106</v>
      </c>
      <c r="T509">
        <v>1.3241480939566741</v>
      </c>
      <c r="U509">
        <v>0.20409960547503564</v>
      </c>
      <c r="V509">
        <v>0.24415749523143632</v>
      </c>
      <c r="W509">
        <v>9.272164719125657E-2</v>
      </c>
      <c r="X509">
        <v>1.4838037332990836E-2</v>
      </c>
      <c r="Y509">
        <v>4.489040967517597E-3</v>
      </c>
    </row>
    <row r="510" spans="1:25">
      <c r="A510" s="1010"/>
      <c r="B510" s="1351">
        <v>260</v>
      </c>
      <c r="C510" s="1014">
        <v>1.026992910646656</v>
      </c>
      <c r="D510" s="1014">
        <v>1.0131928875916263</v>
      </c>
      <c r="E510" s="1014">
        <v>0.97740301066198143</v>
      </c>
      <c r="F510" s="1014">
        <v>0.97785972145711775</v>
      </c>
      <c r="G510" s="1014">
        <v>0.96405223327613165</v>
      </c>
      <c r="H510" s="1014">
        <v>0.99272800782389836</v>
      </c>
      <c r="I510" s="1014">
        <v>0.9919899282380169</v>
      </c>
      <c r="K510">
        <v>2.3395629437069552</v>
      </c>
      <c r="L510">
        <v>0</v>
      </c>
      <c r="M510">
        <v>1.6582834485351998E-3</v>
      </c>
      <c r="N510">
        <v>0.14093688247252581</v>
      </c>
      <c r="O510">
        <v>2.036065145147847E-2</v>
      </c>
      <c r="P510">
        <v>2.7265346887610772E-2</v>
      </c>
      <c r="Q510">
        <v>5.2075709907417073E-3</v>
      </c>
      <c r="R510">
        <v>1.6362341534511258E-3</v>
      </c>
      <c r="S510">
        <v>0.24740175470887954</v>
      </c>
      <c r="T510">
        <v>1.3407933325983168</v>
      </c>
      <c r="U510">
        <v>0.20632691845542953</v>
      </c>
      <c r="V510">
        <v>0.23783094855850109</v>
      </c>
      <c r="W510">
        <v>9.3849132970408644E-2</v>
      </c>
      <c r="X510">
        <v>1.5159163926894521E-2</v>
      </c>
      <c r="Y510">
        <v>4.4532899812502417E-3</v>
      </c>
    </row>
    <row r="511" spans="1:25">
      <c r="A511" s="1010"/>
      <c r="B511" s="1351">
        <v>261</v>
      </c>
      <c r="C511" s="1014">
        <v>1.0052121354958734</v>
      </c>
      <c r="D511" s="1014">
        <v>1.0032633001754712</v>
      </c>
      <c r="E511" s="1014">
        <v>1.0028053906889027</v>
      </c>
      <c r="F511" s="1014">
        <v>1.0268317341276192</v>
      </c>
      <c r="G511" s="1014">
        <v>0.99768363531193494</v>
      </c>
      <c r="H511" s="1014">
        <v>0.99521476708312362</v>
      </c>
      <c r="I511" s="1014">
        <v>1.0454954597050712</v>
      </c>
      <c r="K511">
        <v>2.4542789004783416</v>
      </c>
      <c r="L511">
        <v>0</v>
      </c>
      <c r="M511">
        <v>1.6149070007013891E-3</v>
      </c>
      <c r="N511">
        <v>0.14821176511320164</v>
      </c>
      <c r="O511">
        <v>2.0863676036083332E-2</v>
      </c>
      <c r="P511">
        <v>2.9158445735788949E-2</v>
      </c>
      <c r="Q511">
        <v>5.4750076691234984E-3</v>
      </c>
      <c r="R511">
        <v>1.5934881124927735E-3</v>
      </c>
      <c r="S511">
        <v>0.26814676246142699</v>
      </c>
      <c r="T511">
        <v>1.4085043631431615</v>
      </c>
      <c r="U511">
        <v>0.21088382147545356</v>
      </c>
      <c r="V511">
        <v>0.24480200915804307</v>
      </c>
      <c r="W511">
        <v>9.7203025333310725E-2</v>
      </c>
      <c r="X511">
        <v>1.6714493891966133E-2</v>
      </c>
      <c r="Y511">
        <v>4.3369493489902218E-3</v>
      </c>
    </row>
    <row r="512" spans="1:25">
      <c r="A512" s="1010"/>
      <c r="B512" s="1351">
        <v>262</v>
      </c>
      <c r="C512" s="1014">
        <v>0.99671117630948336</v>
      </c>
      <c r="D512" s="1014">
        <v>0.95183318101551218</v>
      </c>
      <c r="E512" s="1014">
        <v>0.99512787730599517</v>
      </c>
      <c r="F512" s="1014">
        <v>1.0093919806212044</v>
      </c>
      <c r="G512" s="1014">
        <v>1.0319144583888442</v>
      </c>
      <c r="H512" s="1014">
        <v>0.99999974815127302</v>
      </c>
      <c r="I512" s="1014">
        <v>0.9959303693982734</v>
      </c>
      <c r="K512">
        <v>2.4399191907291922</v>
      </c>
      <c r="L512">
        <v>0</v>
      </c>
      <c r="M512">
        <v>1.6821400081407471E-3</v>
      </c>
      <c r="N512">
        <v>0.15085191431905343</v>
      </c>
      <c r="O512">
        <v>2.1281473231696966E-2</v>
      </c>
      <c r="P512">
        <v>2.8731178481904075E-2</v>
      </c>
      <c r="Q512">
        <v>5.5416883466847377E-3</v>
      </c>
      <c r="R512">
        <v>1.6599361487717053E-3</v>
      </c>
      <c r="S512">
        <v>0.26488644794612481</v>
      </c>
      <c r="T512">
        <v>1.3844146897583591</v>
      </c>
      <c r="U512">
        <v>0.21265612577431939</v>
      </c>
      <c r="V512">
        <v>0.25120529542336167</v>
      </c>
      <c r="W512">
        <v>9.9387387762148283E-2</v>
      </c>
      <c r="X512">
        <v>1.6467394545754174E-2</v>
      </c>
      <c r="Y512">
        <v>4.5177989991522036E-3</v>
      </c>
    </row>
    <row r="513" spans="1:25">
      <c r="A513" s="1010"/>
      <c r="B513" s="1351">
        <v>263</v>
      </c>
      <c r="C513" s="1014">
        <v>1.0321437046005051</v>
      </c>
      <c r="D513" s="1014">
        <v>1.0064994703755179</v>
      </c>
      <c r="E513" s="1014">
        <v>1.0347155380844784</v>
      </c>
      <c r="F513" s="1014">
        <v>1.0045242309081761</v>
      </c>
      <c r="G513" s="1014">
        <v>1.0119030920058747</v>
      </c>
      <c r="H513" s="1014">
        <v>1.0158703956784225</v>
      </c>
      <c r="I513" s="1014">
        <v>0.98767741684280752</v>
      </c>
      <c r="K513">
        <v>2.4036920213204684</v>
      </c>
      <c r="L513">
        <v>0</v>
      </c>
      <c r="M513">
        <v>1.5012390052742345E-3</v>
      </c>
      <c r="N513">
        <v>0.15174531805259187</v>
      </c>
      <c r="O513">
        <v>2.0325439989799042E-2</v>
      </c>
      <c r="P513">
        <v>2.9085379271482917E-2</v>
      </c>
      <c r="Q513">
        <v>5.5058043471027272E-3</v>
      </c>
      <c r="R513">
        <v>1.4817325770618932E-3</v>
      </c>
      <c r="S513">
        <v>0.24824056895338836</v>
      </c>
      <c r="T513">
        <v>1.3786010100025718</v>
      </c>
      <c r="U513">
        <v>0.20548724282717176</v>
      </c>
      <c r="V513">
        <v>0.24549551596380012</v>
      </c>
      <c r="W513">
        <v>9.7677902964278557E-2</v>
      </c>
      <c r="X513">
        <v>1.7514557754744378E-2</v>
      </c>
      <c r="Y513">
        <v>4.0327876217497189E-3</v>
      </c>
    </row>
    <row r="514" spans="1:25">
      <c r="A514" s="1010"/>
      <c r="B514" s="1351">
        <v>264</v>
      </c>
      <c r="C514" s="1014">
        <v>0.98615762528060591</v>
      </c>
      <c r="D514" s="1014">
        <v>1.0048772370813046</v>
      </c>
      <c r="E514" s="1014">
        <v>0.9887641859512124</v>
      </c>
      <c r="F514" s="1014">
        <v>0.98433629015877355</v>
      </c>
      <c r="G514" s="1014">
        <v>0.97321797547972577</v>
      </c>
      <c r="H514" s="1014">
        <v>0.98855078718548184</v>
      </c>
      <c r="I514" s="1014">
        <v>1.0184433918421003</v>
      </c>
      <c r="K514">
        <v>2.3932311509927748</v>
      </c>
      <c r="L514">
        <v>0</v>
      </c>
      <c r="M514">
        <v>1.6827838650688765E-3</v>
      </c>
      <c r="N514">
        <v>0.14801134844618072</v>
      </c>
      <c r="O514">
        <v>2.1249850966673579E-2</v>
      </c>
      <c r="P514">
        <v>2.8037789649792338E-2</v>
      </c>
      <c r="Q514">
        <v>5.4980139968510465E-3</v>
      </c>
      <c r="R514">
        <v>1.6603142531627585E-3</v>
      </c>
      <c r="S514">
        <v>0.26533869711517238</v>
      </c>
      <c r="T514">
        <v>1.3499147187123521</v>
      </c>
      <c r="U514">
        <v>0.21490987545812332</v>
      </c>
      <c r="V514">
        <v>0.24187221224135699</v>
      </c>
      <c r="W514">
        <v>9.7887797167225427E-2</v>
      </c>
      <c r="X514">
        <v>1.6014488776289911E-2</v>
      </c>
      <c r="Y514">
        <v>4.5188280746625694E-3</v>
      </c>
    </row>
    <row r="515" spans="1:25">
      <c r="A515" s="1010"/>
      <c r="B515" s="1351">
        <v>265</v>
      </c>
      <c r="C515" s="1014">
        <v>1.011157609228599</v>
      </c>
      <c r="D515" s="1014">
        <v>1.0083481696792223</v>
      </c>
      <c r="E515" s="1014">
        <v>0.99921627078896713</v>
      </c>
      <c r="F515" s="1014">
        <v>0.9746757000042815</v>
      </c>
      <c r="G515" s="1014">
        <v>1.01386346620376</v>
      </c>
      <c r="H515" s="1014">
        <v>1.0229993229316188</v>
      </c>
      <c r="I515" s="1014">
        <v>1.0055816411526155</v>
      </c>
      <c r="K515">
        <v>2.376485105640425</v>
      </c>
      <c r="L515">
        <v>0</v>
      </c>
      <c r="M515">
        <v>1.6607172307202529E-3</v>
      </c>
      <c r="N515">
        <v>0.15082747078438033</v>
      </c>
      <c r="O515">
        <v>2.0715592900632272E-2</v>
      </c>
      <c r="P515">
        <v>2.7982131412324435E-2</v>
      </c>
      <c r="Q515">
        <v>5.4165821836721301E-3</v>
      </c>
      <c r="R515">
        <v>1.6392889876650904E-3</v>
      </c>
      <c r="S515">
        <v>0.25806239986999374</v>
      </c>
      <c r="T515">
        <v>1.3368862920155948</v>
      </c>
      <c r="U515">
        <v>0.20963171735310621</v>
      </c>
      <c r="V515">
        <v>0.24721298310283613</v>
      </c>
      <c r="W515">
        <v>9.912957383924148E-2</v>
      </c>
      <c r="X515">
        <v>1.6180186188740082E-2</v>
      </c>
      <c r="Y515">
        <v>4.4616042329548257E-3</v>
      </c>
    </row>
    <row r="516" spans="1:25">
      <c r="A516" s="1010"/>
      <c r="B516" s="1351">
        <v>266</v>
      </c>
      <c r="C516" s="1014">
        <v>0.99921318673662995</v>
      </c>
      <c r="D516" s="1014">
        <v>0.99458761166457466</v>
      </c>
      <c r="E516" s="1014">
        <v>0.98107656734995541</v>
      </c>
      <c r="F516" s="1014">
        <v>1.0301362540136156</v>
      </c>
      <c r="G516" s="1014">
        <v>0.97925467312272918</v>
      </c>
      <c r="H516" s="1014">
        <v>1.0292276337518493</v>
      </c>
      <c r="I516" s="1014">
        <v>1.0072151712440474</v>
      </c>
      <c r="K516">
        <v>2.4582116769718581</v>
      </c>
      <c r="L516">
        <v>0</v>
      </c>
      <c r="M516">
        <v>1.7608463538886494E-3</v>
      </c>
      <c r="N516">
        <v>0.15139874531558592</v>
      </c>
      <c r="O516">
        <v>2.1014645939145326E-2</v>
      </c>
      <c r="P516">
        <v>2.8661756281304247E-2</v>
      </c>
      <c r="Q516">
        <v>5.3949554184232031E-3</v>
      </c>
      <c r="R516">
        <v>1.7382636342567605E-3</v>
      </c>
      <c r="S516">
        <v>0.26375288382024259</v>
      </c>
      <c r="T516">
        <v>1.4125538487955989</v>
      </c>
      <c r="U516">
        <v>0.21207566161037106</v>
      </c>
      <c r="V516">
        <v>0.24210411099419285</v>
      </c>
      <c r="W516">
        <v>0.10059211880731188</v>
      </c>
      <c r="X516">
        <v>1.5954552115322134E-2</v>
      </c>
      <c r="Y516">
        <v>4.7309805939938707E-3</v>
      </c>
    </row>
    <row r="517" spans="1:25">
      <c r="A517" s="1010"/>
      <c r="B517" s="1351">
        <v>267</v>
      </c>
      <c r="C517" s="1014">
        <v>0.99556468748156313</v>
      </c>
      <c r="D517" s="1014">
        <v>1.0032214992587214</v>
      </c>
      <c r="E517" s="1014">
        <v>0.96102967368880166</v>
      </c>
      <c r="F517" s="1014">
        <v>1.006988026946497</v>
      </c>
      <c r="G517" s="1014">
        <v>1.0178413779098827</v>
      </c>
      <c r="H517" s="1014">
        <v>1.0353369069448577</v>
      </c>
      <c r="I517" s="1014">
        <v>0.95884915117779013</v>
      </c>
      <c r="K517">
        <v>2.4177893600409921</v>
      </c>
      <c r="L517">
        <v>0</v>
      </c>
      <c r="M517">
        <v>1.8494019061821862E-3</v>
      </c>
      <c r="N517">
        <v>0.14966004948385617</v>
      </c>
      <c r="O517">
        <v>2.1038299093247118E-2</v>
      </c>
      <c r="P517">
        <v>2.7734467618557766E-2</v>
      </c>
      <c r="Q517">
        <v>5.2915524505894292E-3</v>
      </c>
      <c r="R517">
        <v>1.8258234251509618E-3</v>
      </c>
      <c r="S517">
        <v>0.25126586044841581</v>
      </c>
      <c r="T517">
        <v>1.3803783298878849</v>
      </c>
      <c r="U517">
        <v>0.21278436070929552</v>
      </c>
      <c r="V517">
        <v>0.24900154873391425</v>
      </c>
      <c r="W517">
        <v>0.10065656852238491</v>
      </c>
      <c r="X517">
        <v>1.5032612093147399E-2</v>
      </c>
      <c r="Y517">
        <v>4.9692894807305751E-3</v>
      </c>
    </row>
    <row r="518" spans="1:25">
      <c r="A518" s="1010"/>
      <c r="B518" s="1351">
        <v>268</v>
      </c>
      <c r="C518" s="1014">
        <v>1.0128946994620533</v>
      </c>
      <c r="D518" s="1014">
        <v>0.99196766672299064</v>
      </c>
      <c r="E518" s="1014">
        <v>1.0242115423151736</v>
      </c>
      <c r="F518" s="1014">
        <v>1.0022447218874384</v>
      </c>
      <c r="G518" s="1014">
        <v>0.98453503814158616</v>
      </c>
      <c r="H518" s="1014">
        <v>0.97125524423758414</v>
      </c>
      <c r="I518" s="1014">
        <v>1.0002083827027919</v>
      </c>
      <c r="K518">
        <v>2.3991030949272312</v>
      </c>
      <c r="L518">
        <v>0</v>
      </c>
      <c r="M518">
        <v>1.4997379714856603E-3</v>
      </c>
      <c r="N518">
        <v>0.14677957904057284</v>
      </c>
      <c r="O518">
        <v>2.0771151673596396E-2</v>
      </c>
      <c r="P518">
        <v>2.8905824724266942E-2</v>
      </c>
      <c r="Q518">
        <v>5.5683920418682564E-3</v>
      </c>
      <c r="R518">
        <v>1.4793559042899772E-3</v>
      </c>
      <c r="S518">
        <v>0.25419177497139112</v>
      </c>
      <c r="T518">
        <v>1.3752436319994861</v>
      </c>
      <c r="U518">
        <v>0.20935670759729386</v>
      </c>
      <c r="V518">
        <v>0.24201164332876288</v>
      </c>
      <c r="W518">
        <v>9.5059564204998503E-2</v>
      </c>
      <c r="X518">
        <v>1.7208888310253429E-2</v>
      </c>
      <c r="Y518">
        <v>4.0263191019345333E-3</v>
      </c>
    </row>
    <row r="519" spans="1:25">
      <c r="A519" s="1010"/>
      <c r="B519" s="1351">
        <v>269</v>
      </c>
      <c r="C519" s="1014">
        <v>1.0177923407764282</v>
      </c>
      <c r="D519" s="1014">
        <v>0.99119465543542917</v>
      </c>
      <c r="E519" s="1014">
        <v>1.0079388018357247</v>
      </c>
      <c r="F519" s="1014">
        <v>0.98168813589613102</v>
      </c>
      <c r="G519" s="1014">
        <v>0.97562624028559042</v>
      </c>
      <c r="H519" s="1014">
        <v>0.99175298094728415</v>
      </c>
      <c r="I519" s="1014">
        <v>0.98249825346847564</v>
      </c>
      <c r="K519">
        <v>2.3632657966805732</v>
      </c>
      <c r="L519">
        <v>0</v>
      </c>
      <c r="M519">
        <v>1.5767424276896768E-3</v>
      </c>
      <c r="N519">
        <v>0.14696313813053427</v>
      </c>
      <c r="O519">
        <v>2.066408799945357E-2</v>
      </c>
      <c r="P519">
        <v>2.8076050443513599E-2</v>
      </c>
      <c r="Q519">
        <v>5.4506018032998288E-3</v>
      </c>
      <c r="R519">
        <v>1.5557567278002809E-3</v>
      </c>
      <c r="S519">
        <v>0.25014592348534043</v>
      </c>
      <c r="T519">
        <v>1.3466900322897561</v>
      </c>
      <c r="U519">
        <v>0.20829449180804779</v>
      </c>
      <c r="V519">
        <v>0.24025051351557508</v>
      </c>
      <c r="W519">
        <v>9.6091745587027488E-2</v>
      </c>
      <c r="X519">
        <v>1.6425940359909616E-2</v>
      </c>
      <c r="Y519">
        <v>4.2342569580048782E-3</v>
      </c>
    </row>
    <row r="520" spans="1:25">
      <c r="A520" s="1010"/>
      <c r="B520" s="1351">
        <v>270</v>
      </c>
      <c r="C520" s="1014">
        <v>1.0209465127533492</v>
      </c>
      <c r="D520" s="1014">
        <v>1.0063335452513822</v>
      </c>
      <c r="E520" s="1014">
        <v>1.0261138536865386</v>
      </c>
      <c r="F520" s="1014">
        <v>0.97605837800598927</v>
      </c>
      <c r="G520" s="1014">
        <v>1.0159194244181744</v>
      </c>
      <c r="H520" s="1014">
        <v>1.015385079550823</v>
      </c>
      <c r="I520" s="1014">
        <v>0.99595684328433898</v>
      </c>
      <c r="K520">
        <v>2.3732212675474957</v>
      </c>
      <c r="L520">
        <v>0</v>
      </c>
      <c r="M520">
        <v>1.544471931638678E-3</v>
      </c>
      <c r="N520">
        <v>0.15211836826630631</v>
      </c>
      <c r="O520">
        <v>2.054349433969958E-2</v>
      </c>
      <c r="P520">
        <v>2.8474498001905536E-2</v>
      </c>
      <c r="Q520">
        <v>5.5177566165185909E-3</v>
      </c>
      <c r="R520">
        <v>1.5243941622778861E-3</v>
      </c>
      <c r="S520">
        <v>0.2529783555883115</v>
      </c>
      <c r="T520">
        <v>1.3393520428358718</v>
      </c>
      <c r="U520">
        <v>0.20771198504397897</v>
      </c>
      <c r="V520">
        <v>0.24687476167523492</v>
      </c>
      <c r="W520">
        <v>9.8408009396257892E-2</v>
      </c>
      <c r="X520">
        <v>1.7113175159451748E-2</v>
      </c>
      <c r="Y520">
        <v>4.1488983933198652E-3</v>
      </c>
    </row>
    <row r="521" spans="1:25">
      <c r="A521" s="1010"/>
      <c r="B521" s="1351">
        <v>271</v>
      </c>
      <c r="C521" s="1014">
        <v>1.0080183808870034</v>
      </c>
      <c r="D521" s="1014">
        <v>0.95318289798301026</v>
      </c>
      <c r="E521" s="1014">
        <v>1.0228052031736543</v>
      </c>
      <c r="F521" s="1014">
        <v>1.0073190300416126</v>
      </c>
      <c r="G521" s="1014">
        <v>0.98281282619002597</v>
      </c>
      <c r="H521" s="1014">
        <v>0.99442571009748859</v>
      </c>
      <c r="I521" s="1014">
        <v>0.97390005016959136</v>
      </c>
      <c r="K521">
        <v>2.4182986985302515</v>
      </c>
      <c r="L521">
        <v>0</v>
      </c>
      <c r="M521">
        <v>1.5611058450241471E-3</v>
      </c>
      <c r="N521">
        <v>0.15218782978114984</v>
      </c>
      <c r="O521">
        <v>2.1054635835968116E-2</v>
      </c>
      <c r="P521">
        <v>2.9007397968837001E-2</v>
      </c>
      <c r="Q521">
        <v>5.6365185869117771E-3</v>
      </c>
      <c r="R521">
        <v>1.5403841048401313E-3</v>
      </c>
      <c r="S521">
        <v>0.25569863012999322</v>
      </c>
      <c r="T521">
        <v>1.3821756320232308</v>
      </c>
      <c r="U521">
        <v>0.21036469083010989</v>
      </c>
      <c r="V521">
        <v>0.24202065686328966</v>
      </c>
      <c r="W521">
        <v>9.8643040751598215E-2</v>
      </c>
      <c r="X521">
        <v>1.7337969753455203E-2</v>
      </c>
      <c r="Y521">
        <v>4.1924177458911478E-3</v>
      </c>
    </row>
    <row r="522" spans="1:25">
      <c r="A522" s="1010"/>
      <c r="B522" s="1351">
        <v>272</v>
      </c>
      <c r="C522" s="1014">
        <v>0.99940884498213378</v>
      </c>
      <c r="D522" s="1014">
        <v>0.98959777510814873</v>
      </c>
      <c r="E522" s="1014">
        <v>1.0090952281337329</v>
      </c>
      <c r="F522" s="1014">
        <v>1.0321324107205252</v>
      </c>
      <c r="G522" s="1014">
        <v>1.0230830003785458</v>
      </c>
      <c r="H522" s="1014">
        <v>1.0026253950074524</v>
      </c>
      <c r="I522" s="1014">
        <v>1.0342918989957282</v>
      </c>
      <c r="K522">
        <v>2.474984905151588</v>
      </c>
      <c r="L522">
        <v>0</v>
      </c>
      <c r="M522">
        <v>1.6200291723537919E-3</v>
      </c>
      <c r="N522">
        <v>0.15154807170081339</v>
      </c>
      <c r="O522">
        <v>2.1052427736952799E-2</v>
      </c>
      <c r="P522">
        <v>2.9494586153027202E-2</v>
      </c>
      <c r="Q522">
        <v>5.5594631711835931E-3</v>
      </c>
      <c r="R522">
        <v>1.598701161502221E-3</v>
      </c>
      <c r="S522">
        <v>0.26936347987064713</v>
      </c>
      <c r="T522">
        <v>1.4159158741036135</v>
      </c>
      <c r="U522">
        <v>0.21212989819531819</v>
      </c>
      <c r="V522">
        <v>0.24947650002741661</v>
      </c>
      <c r="W522">
        <v>9.902197440542243E-2</v>
      </c>
      <c r="X522">
        <v>1.7092820248132558E-2</v>
      </c>
      <c r="Y522">
        <v>4.3511375499127947E-3</v>
      </c>
    </row>
    <row r="523" spans="1:25">
      <c r="A523" s="1010"/>
      <c r="B523" s="1351">
        <v>273</v>
      </c>
      <c r="C523" s="1014">
        <v>1.0198191647128994</v>
      </c>
      <c r="D523" s="1014">
        <v>0.96353769332245154</v>
      </c>
      <c r="E523" s="1014">
        <v>1.047690254988737</v>
      </c>
      <c r="F523" s="1014">
        <v>1.0068577130973149</v>
      </c>
      <c r="G523" s="1014">
        <v>0.98367967668492562</v>
      </c>
      <c r="H523" s="1014">
        <v>0.99210396479174412</v>
      </c>
      <c r="I523" s="1014">
        <v>1.0013205561735694</v>
      </c>
      <c r="K523">
        <v>2.4191125071004351</v>
      </c>
      <c r="L523">
        <v>0</v>
      </c>
      <c r="M523">
        <v>1.4581171245825022E-3</v>
      </c>
      <c r="N523">
        <v>0.1532122935228965</v>
      </c>
      <c r="O523">
        <v>2.0778006644936627E-2</v>
      </c>
      <c r="P523">
        <v>2.952874603654862E-2</v>
      </c>
      <c r="Q523">
        <v>5.700615663472971E-3</v>
      </c>
      <c r="R523">
        <v>1.4387171373705105E-3</v>
      </c>
      <c r="S523">
        <v>0.25844544893716409</v>
      </c>
      <c r="T523">
        <v>1.382088240192286</v>
      </c>
      <c r="U523">
        <v>0.20801431605797802</v>
      </c>
      <c r="V523">
        <v>0.24136758422471663</v>
      </c>
      <c r="W523">
        <v>9.7888646671694723E-2</v>
      </c>
      <c r="X523">
        <v>1.8192295361006569E-2</v>
      </c>
      <c r="Y523">
        <v>3.9157137749456583E-3</v>
      </c>
    </row>
    <row r="524" spans="1:25">
      <c r="A524" s="1010"/>
      <c r="B524" s="1351">
        <v>274</v>
      </c>
      <c r="C524" s="1014">
        <v>1.0114268118323302</v>
      </c>
      <c r="D524" s="1014">
        <v>0.97226329822361923</v>
      </c>
      <c r="E524" s="1014">
        <v>0.99974924480694238</v>
      </c>
      <c r="F524" s="1014">
        <v>1.0291400223516112</v>
      </c>
      <c r="G524" s="1014">
        <v>1.0122607633845477</v>
      </c>
      <c r="H524" s="1014">
        <v>0.99044952433350619</v>
      </c>
      <c r="I524" s="1014">
        <v>1.0052080323895063</v>
      </c>
      <c r="K524">
        <v>2.4481257802948444</v>
      </c>
      <c r="L524">
        <v>0</v>
      </c>
      <c r="M524">
        <v>1.6185974282785138E-3</v>
      </c>
      <c r="N524">
        <v>0.14717577705875221</v>
      </c>
      <c r="O524">
        <v>2.0877136787183899E-2</v>
      </c>
      <c r="P524">
        <v>2.9032658110418504E-2</v>
      </c>
      <c r="Q524">
        <v>5.4617477570935704E-3</v>
      </c>
      <c r="R524">
        <v>1.5970263071928682E-3</v>
      </c>
      <c r="S524">
        <v>0.25987532813526404</v>
      </c>
      <c r="T524">
        <v>1.4116025976897029</v>
      </c>
      <c r="U524">
        <v>0.209577722618806</v>
      </c>
      <c r="V524">
        <v>0.24692091026250201</v>
      </c>
      <c r="W524">
        <v>9.6698892535358946E-2</v>
      </c>
      <c r="X524">
        <v>1.657800131224604E-2</v>
      </c>
      <c r="Y524">
        <v>4.3465791485983096E-3</v>
      </c>
    </row>
    <row r="525" spans="1:25">
      <c r="A525" s="1010"/>
      <c r="B525" s="1351">
        <v>275</v>
      </c>
      <c r="C525" s="1014">
        <v>1.038930387733761</v>
      </c>
      <c r="D525" s="1014">
        <v>0.99136807739797306</v>
      </c>
      <c r="E525" s="1014">
        <v>0.99870827644808569</v>
      </c>
      <c r="F525" s="1014">
        <v>0.98167606061011203</v>
      </c>
      <c r="G525" s="1014">
        <v>0.99359309378020066</v>
      </c>
      <c r="H525" s="1014">
        <v>1.0221029795446035</v>
      </c>
      <c r="I525" s="1014">
        <v>0.97435211673091837</v>
      </c>
      <c r="K525">
        <v>2.3554385408019245</v>
      </c>
      <c r="L525">
        <v>0</v>
      </c>
      <c r="M525">
        <v>1.622660227328259E-3</v>
      </c>
      <c r="N525">
        <v>0.14714339795885609</v>
      </c>
      <c r="O525">
        <v>2.023696707912194E-2</v>
      </c>
      <c r="P525">
        <v>2.7783000633257757E-2</v>
      </c>
      <c r="Q525">
        <v>5.2887313292773862E-3</v>
      </c>
      <c r="R525">
        <v>1.6017046729053499E-3</v>
      </c>
      <c r="S525">
        <v>0.24535808605916692</v>
      </c>
      <c r="T525">
        <v>1.3464773547206381</v>
      </c>
      <c r="U525">
        <v>0.20402615274234195</v>
      </c>
      <c r="V525">
        <v>0.24210364831400372</v>
      </c>
      <c r="W525">
        <v>9.6737487380681761E-2</v>
      </c>
      <c r="X525">
        <v>1.5945358021154685E-2</v>
      </c>
      <c r="Y525">
        <v>4.3593121178448413E-3</v>
      </c>
    </row>
    <row r="526" spans="1:25">
      <c r="A526" s="1010"/>
      <c r="B526" s="1351">
        <v>276</v>
      </c>
      <c r="C526" s="1014">
        <v>0.98386720767593028</v>
      </c>
      <c r="D526" s="1014">
        <v>1.0253509294356657</v>
      </c>
      <c r="E526" s="1014">
        <v>0.99275168748872267</v>
      </c>
      <c r="F526" s="1014">
        <v>1.0159836405956229</v>
      </c>
      <c r="G526" s="1014">
        <v>0.97062293473588479</v>
      </c>
      <c r="H526" s="1014">
        <v>0.99794021018902168</v>
      </c>
      <c r="I526" s="1014">
        <v>0.99815808242987747</v>
      </c>
      <c r="K526">
        <v>2.433892139423373</v>
      </c>
      <c r="L526">
        <v>0</v>
      </c>
      <c r="M526">
        <v>1.68123969431304E-3</v>
      </c>
      <c r="N526">
        <v>0.14968805699093846</v>
      </c>
      <c r="O526">
        <v>2.1207689116659437E-2</v>
      </c>
      <c r="P526">
        <v>2.8627306206830933E-2</v>
      </c>
      <c r="Q526">
        <v>5.5092560674893766E-3</v>
      </c>
      <c r="R526">
        <v>1.6590019193251453E-3</v>
      </c>
      <c r="S526">
        <v>0.25888208426991344</v>
      </c>
      <c r="T526">
        <v>1.393403220610657</v>
      </c>
      <c r="U526">
        <v>0.21542401354206298</v>
      </c>
      <c r="V526">
        <v>0.24156238257585005</v>
      </c>
      <c r="W526">
        <v>9.8760638485298438E-2</v>
      </c>
      <c r="X526">
        <v>1.63344729980908E-2</v>
      </c>
      <c r="Y526">
        <v>4.5152563345673196E-3</v>
      </c>
    </row>
    <row r="527" spans="1:25">
      <c r="A527" s="1010"/>
      <c r="B527" s="1351">
        <v>277</v>
      </c>
      <c r="C527" s="1014">
        <v>1.0300874466918222</v>
      </c>
      <c r="D527" s="1014">
        <v>0.97147877981962094</v>
      </c>
      <c r="E527" s="1014">
        <v>0.97980574766952766</v>
      </c>
      <c r="F527" s="1014">
        <v>0.98423668787432328</v>
      </c>
      <c r="G527" s="1014">
        <v>1.0323793851524956</v>
      </c>
      <c r="H527" s="1014">
        <v>0.98552277474001448</v>
      </c>
      <c r="I527" s="1014">
        <v>0.99792795830036041</v>
      </c>
      <c r="K527">
        <v>2.3655907016377</v>
      </c>
      <c r="L527">
        <v>0</v>
      </c>
      <c r="M527">
        <v>1.6483453342518398E-3</v>
      </c>
      <c r="N527">
        <v>0.14110061120499059</v>
      </c>
      <c r="O527">
        <v>2.0489665528666771E-2</v>
      </c>
      <c r="P527">
        <v>2.765273632453193E-2</v>
      </c>
      <c r="Q527">
        <v>5.2533922555177649E-3</v>
      </c>
      <c r="R527">
        <v>1.6262679428798901E-3</v>
      </c>
      <c r="S527">
        <v>0.2528549531912978</v>
      </c>
      <c r="T527">
        <v>1.3495880383400751</v>
      </c>
      <c r="U527">
        <v>0.20571502743334985</v>
      </c>
      <c r="V527">
        <v>0.24931501001071413</v>
      </c>
      <c r="W527">
        <v>9.3821790010362463E-2</v>
      </c>
      <c r="X527">
        <v>1.5395389488130391E-2</v>
      </c>
      <c r="Y527">
        <v>4.4261652414357699E-3</v>
      </c>
    </row>
    <row r="528" spans="1:25">
      <c r="A528" s="1010"/>
      <c r="B528" s="1351">
        <v>278</v>
      </c>
      <c r="C528" s="1014">
        <v>1.0131946408298784</v>
      </c>
      <c r="D528" s="1014">
        <v>0.98088465286390658</v>
      </c>
      <c r="E528" s="1014">
        <v>1.0217098933879107</v>
      </c>
      <c r="F528" s="1014">
        <v>0.96940153252725414</v>
      </c>
      <c r="G528" s="1014">
        <v>1.006495486149106</v>
      </c>
      <c r="H528" s="1014">
        <v>0.98184977747368851</v>
      </c>
      <c r="I528" s="1014">
        <v>0.99343875047185715</v>
      </c>
      <c r="K528">
        <v>2.3601740080374616</v>
      </c>
      <c r="L528">
        <v>0</v>
      </c>
      <c r="M528">
        <v>1.5273322648353782E-3</v>
      </c>
      <c r="N528">
        <v>0.14837866408753683</v>
      </c>
      <c r="O528">
        <v>2.0814742563906561E-2</v>
      </c>
      <c r="P528">
        <v>2.8285336470937835E-2</v>
      </c>
      <c r="Q528">
        <v>5.5662401408360677E-3</v>
      </c>
      <c r="R528">
        <v>1.5067991564941072E-3</v>
      </c>
      <c r="S528">
        <v>0.25470137839843193</v>
      </c>
      <c r="T528">
        <v>1.3301247192132688</v>
      </c>
      <c r="U528">
        <v>0.20928626128429795</v>
      </c>
      <c r="V528">
        <v>0.24574994684509258</v>
      </c>
      <c r="W528">
        <v>9.6235607593009961E-2</v>
      </c>
      <c r="X528">
        <v>1.6950633960715798E-2</v>
      </c>
      <c r="Y528">
        <v>4.1010105877685174E-3</v>
      </c>
    </row>
    <row r="529" spans="1:25">
      <c r="A529" s="1010"/>
      <c r="B529" s="1351">
        <v>279</v>
      </c>
      <c r="C529" s="1014">
        <v>1.0099829045936721</v>
      </c>
      <c r="D529" s="1014">
        <v>1.0017121591027787</v>
      </c>
      <c r="E529" s="1014">
        <v>1.0037448389552446</v>
      </c>
      <c r="F529" s="1014">
        <v>1.0459835938016113</v>
      </c>
      <c r="G529" s="1014">
        <v>0.98723871237094418</v>
      </c>
      <c r="H529" s="1014">
        <v>0.97799772181007627</v>
      </c>
      <c r="I529" s="1014">
        <v>1.0066402906349332</v>
      </c>
      <c r="K529">
        <v>2.4598543440895368</v>
      </c>
      <c r="L529">
        <v>0</v>
      </c>
      <c r="M529">
        <v>1.576933372816811E-3</v>
      </c>
      <c r="N529">
        <v>0.14510356362289445</v>
      </c>
      <c r="O529">
        <v>2.0772811242682022E-2</v>
      </c>
      <c r="P529">
        <v>2.9326326359438402E-2</v>
      </c>
      <c r="Q529">
        <v>5.4563038095051114E-3</v>
      </c>
      <c r="R529">
        <v>1.5556499379076117E-3</v>
      </c>
      <c r="S529">
        <v>0.25570925393377308</v>
      </c>
      <c r="T529">
        <v>1.4347962224492004</v>
      </c>
      <c r="U529">
        <v>0.20989086890245925</v>
      </c>
      <c r="V529">
        <v>0.24272194224934787</v>
      </c>
      <c r="W529">
        <v>9.5111562385890608E-2</v>
      </c>
      <c r="X529">
        <v>1.6752806258134398E-2</v>
      </c>
      <c r="Y529">
        <v>4.2339663111203105E-3</v>
      </c>
    </row>
    <row r="530" spans="1:25">
      <c r="A530" s="1010"/>
      <c r="B530" s="1351">
        <v>280</v>
      </c>
      <c r="C530" s="1014">
        <v>0.98293875289603683</v>
      </c>
      <c r="D530" s="1014">
        <v>0.99484834763414154</v>
      </c>
      <c r="E530" s="1014">
        <v>0.97004748349711722</v>
      </c>
      <c r="F530" s="1014">
        <v>0.97353734640030676</v>
      </c>
      <c r="G530" s="1014">
        <v>0.99795829209450637</v>
      </c>
      <c r="H530" s="1014">
        <v>0.98235206245607343</v>
      </c>
      <c r="I530" s="1014">
        <v>1.0207902597504379</v>
      </c>
      <c r="K530">
        <v>2.3807899124914393</v>
      </c>
      <c r="L530">
        <v>0</v>
      </c>
      <c r="M530">
        <v>1.7477576638385535E-3</v>
      </c>
      <c r="N530">
        <v>0.14524977290459212</v>
      </c>
      <c r="O530">
        <v>2.1353925952212058E-2</v>
      </c>
      <c r="P530">
        <v>2.7536202242731588E-2</v>
      </c>
      <c r="Q530">
        <v>5.4207957753927057E-3</v>
      </c>
      <c r="R530">
        <v>1.7242732203974257E-3</v>
      </c>
      <c r="S530">
        <v>0.26746169460867686</v>
      </c>
      <c r="T530">
        <v>1.3347126715838282</v>
      </c>
      <c r="U530">
        <v>0.21554877761147254</v>
      </c>
      <c r="V530">
        <v>0.24637362439824087</v>
      </c>
      <c r="W530">
        <v>9.7153753808829943E-2</v>
      </c>
      <c r="X530">
        <v>1.5309274749493963E-2</v>
      </c>
      <c r="Y530">
        <v>4.6929032994074511E-3</v>
      </c>
    </row>
    <row r="531" spans="1:25">
      <c r="A531" s="1010"/>
      <c r="B531" s="1351">
        <v>281</v>
      </c>
      <c r="C531" s="1014">
        <v>0.98959657973304493</v>
      </c>
      <c r="D531" s="1014">
        <v>1.0068080888362265</v>
      </c>
      <c r="E531" s="1014">
        <v>1.0300266037221935</v>
      </c>
      <c r="F531" s="1014">
        <v>0.97047355274905533</v>
      </c>
      <c r="G531" s="1014">
        <v>1.0208699784517667</v>
      </c>
      <c r="H531" s="1014">
        <v>1.0128448260969585</v>
      </c>
      <c r="I531" s="1014">
        <v>0.98054824514260164</v>
      </c>
      <c r="K531">
        <v>2.3881976585542848</v>
      </c>
      <c r="L531">
        <v>0</v>
      </c>
      <c r="M531">
        <v>1.5763476236611282E-3</v>
      </c>
      <c r="N531">
        <v>0.15709509796698429</v>
      </c>
      <c r="O531">
        <v>2.1194735331498786E-2</v>
      </c>
      <c r="P531">
        <v>2.8632547714078849E-2</v>
      </c>
      <c r="Q531">
        <v>5.7147610650012731E-3</v>
      </c>
      <c r="R531">
        <v>1.5558040827693515E-3</v>
      </c>
      <c r="S531">
        <v>0.25671224304932355</v>
      </c>
      <c r="T531">
        <v>1.331771095105619</v>
      </c>
      <c r="U531">
        <v>0.21430577122036304</v>
      </c>
      <c r="V531">
        <v>0.24964247448795551</v>
      </c>
      <c r="W531">
        <v>0.10139663269542523</v>
      </c>
      <c r="X531">
        <v>1.7518457616307218E-2</v>
      </c>
      <c r="Y531">
        <v>4.2343858426201267E-3</v>
      </c>
    </row>
    <row r="532" spans="1:25">
      <c r="A532" s="1010"/>
      <c r="B532" s="1351">
        <v>282</v>
      </c>
      <c r="C532" s="1014">
        <v>1.0052252462295197</v>
      </c>
      <c r="D532" s="1014">
        <v>0.9986504758767013</v>
      </c>
      <c r="E532" s="1014">
        <v>1.0090649200132993</v>
      </c>
      <c r="F532" s="1014">
        <v>0.98967735670519685</v>
      </c>
      <c r="G532" s="1014">
        <v>1.0136601813696089</v>
      </c>
      <c r="H532" s="1014">
        <v>0.97106478862323209</v>
      </c>
      <c r="I532" s="1014">
        <v>0.99787419568878089</v>
      </c>
      <c r="K532">
        <v>2.3869447240143309</v>
      </c>
      <c r="L532">
        <v>0</v>
      </c>
      <c r="M532">
        <v>1.5569312209214661E-3</v>
      </c>
      <c r="N532">
        <v>0.14556900703660747</v>
      </c>
      <c r="O532">
        <v>2.0888704837031799E-2</v>
      </c>
      <c r="P532">
        <v>2.8446082457408074E-2</v>
      </c>
      <c r="Q532">
        <v>5.516060501057702E-3</v>
      </c>
      <c r="R532">
        <v>1.5357677235130688E-3</v>
      </c>
      <c r="S532">
        <v>0.25453167829130025</v>
      </c>
      <c r="T532">
        <v>1.3576738742446137</v>
      </c>
      <c r="U532">
        <v>0.21090237595089301</v>
      </c>
      <c r="V532">
        <v>0.2475065861607286</v>
      </c>
      <c r="W532">
        <v>9.5116936378409789E-2</v>
      </c>
      <c r="X532">
        <v>1.6634728175979076E-2</v>
      </c>
      <c r="Y532">
        <v>4.1798534777085792E-3</v>
      </c>
    </row>
    <row r="533" spans="1:25">
      <c r="A533" s="1010"/>
      <c r="B533" s="1351">
        <v>283</v>
      </c>
      <c r="C533" s="1014">
        <v>0.9640856731064027</v>
      </c>
      <c r="D533" s="1014">
        <v>1.0026913111273978</v>
      </c>
      <c r="E533" s="1014">
        <v>0.97687902860272069</v>
      </c>
      <c r="F533" s="1014">
        <v>0.96968144300637926</v>
      </c>
      <c r="G533" s="1014">
        <v>1.0117783269243663</v>
      </c>
      <c r="H533" s="1014">
        <v>1.027790716479309</v>
      </c>
      <c r="I533" s="1014">
        <v>1.0032253395881969</v>
      </c>
      <c r="K533">
        <v>2.4055653644411854</v>
      </c>
      <c r="L533">
        <v>0</v>
      </c>
      <c r="M533">
        <v>1.8350622765143344E-3</v>
      </c>
      <c r="N533">
        <v>0.1557857167968576</v>
      </c>
      <c r="O533">
        <v>2.1738610662648306E-2</v>
      </c>
      <c r="P533">
        <v>2.7763732666760532E-2</v>
      </c>
      <c r="Q533">
        <v>5.5570416473731043E-3</v>
      </c>
      <c r="R533">
        <v>1.8114948405734777E-3</v>
      </c>
      <c r="S533">
        <v>0.2710184223408732</v>
      </c>
      <c r="T533">
        <v>1.3295687406750747</v>
      </c>
      <c r="U533">
        <v>0.21978803746457243</v>
      </c>
      <c r="V533">
        <v>0.24995111448954371</v>
      </c>
      <c r="W533">
        <v>0.10376979537765225</v>
      </c>
      <c r="X533">
        <v>1.571742795884196E-2</v>
      </c>
      <c r="Y533">
        <v>4.9302917969273009E-3</v>
      </c>
    </row>
    <row r="534" spans="1:25">
      <c r="A534" s="1010"/>
      <c r="B534" s="1351">
        <v>284</v>
      </c>
      <c r="C534" s="1014">
        <v>1.0053236426002103</v>
      </c>
      <c r="D534" s="1014">
        <v>0.99159833618259829</v>
      </c>
      <c r="E534" s="1014">
        <v>0.96137390018681612</v>
      </c>
      <c r="F534" s="1014">
        <v>1.0150609725388953</v>
      </c>
      <c r="G534" s="1014">
        <v>0.97847399339925523</v>
      </c>
      <c r="H534" s="1014">
        <v>1.0461720764846927</v>
      </c>
      <c r="I534" s="1014">
        <v>1.0316236114807835</v>
      </c>
      <c r="K534">
        <v>2.4394927578027623</v>
      </c>
      <c r="L534">
        <v>0</v>
      </c>
      <c r="M534">
        <v>1.8540505038395097E-3</v>
      </c>
      <c r="N534">
        <v>0.15021288090504842</v>
      </c>
      <c r="O534">
        <v>2.0887782913584993E-2</v>
      </c>
      <c r="P534">
        <v>2.8015216745127497E-2</v>
      </c>
      <c r="Q534">
        <v>5.2555524443674726E-3</v>
      </c>
      <c r="R534">
        <v>1.8306575720544221E-3</v>
      </c>
      <c r="S534">
        <v>0.27021938046993788</v>
      </c>
      <c r="T534">
        <v>1.3914522122012438</v>
      </c>
      <c r="U534">
        <v>0.2107199669123116</v>
      </c>
      <c r="V534">
        <v>0.24166204531717744</v>
      </c>
      <c r="W534">
        <v>0.10100707275808715</v>
      </c>
      <c r="X534">
        <v>1.5101593632633461E-2</v>
      </c>
      <c r="Y534">
        <v>4.9824464350256975E-3</v>
      </c>
    </row>
    <row r="535" spans="1:25">
      <c r="A535" s="1010"/>
      <c r="B535" s="1351">
        <v>285</v>
      </c>
      <c r="C535" s="1014">
        <v>0.98597083207729885</v>
      </c>
      <c r="D535" s="1014">
        <v>0.98534513716190808</v>
      </c>
      <c r="E535" s="1014">
        <v>1.0318311265081053</v>
      </c>
      <c r="F535" s="1014">
        <v>0.98484442730755939</v>
      </c>
      <c r="G535" s="1014">
        <v>0.98731766723453762</v>
      </c>
      <c r="H535" s="1014">
        <v>0.97337666722791538</v>
      </c>
      <c r="I535" s="1014">
        <v>1.0312778675936103</v>
      </c>
      <c r="K535">
        <v>2.4098894403840898</v>
      </c>
      <c r="L535">
        <v>0</v>
      </c>
      <c r="M535">
        <v>1.5219826109141407E-3</v>
      </c>
      <c r="N535">
        <v>0.15242285164518882</v>
      </c>
      <c r="O535">
        <v>2.1374985149742051E-2</v>
      </c>
      <c r="P535">
        <v>2.9071764592285686E-2</v>
      </c>
      <c r="Q535">
        <v>5.773648501226033E-3</v>
      </c>
      <c r="R535">
        <v>1.5013433102667876E-3</v>
      </c>
      <c r="S535">
        <v>0.27041170069273485</v>
      </c>
      <c r="T535">
        <v>1.3515307698283872</v>
      </c>
      <c r="U535">
        <v>0.21510013108145143</v>
      </c>
      <c r="V535">
        <v>0.24414332241734577</v>
      </c>
      <c r="W535">
        <v>9.8278019869318403E-2</v>
      </c>
      <c r="X535">
        <v>1.7716724334200309E-2</v>
      </c>
      <c r="Y535">
        <v>4.0861615728569793E-3</v>
      </c>
    </row>
    <row r="536" spans="1:25">
      <c r="A536" s="1010"/>
      <c r="B536" s="1351">
        <v>286</v>
      </c>
      <c r="C536" s="1014">
        <v>0.98133082052016474</v>
      </c>
      <c r="D536" s="1014">
        <v>0.98226713013020661</v>
      </c>
      <c r="E536" s="1014">
        <v>0.98431317775630611</v>
      </c>
      <c r="F536" s="1014">
        <v>0.97855046059498996</v>
      </c>
      <c r="G536" s="1014">
        <v>1.0102989340788535</v>
      </c>
      <c r="H536" s="1014">
        <v>1.0025080285165575</v>
      </c>
      <c r="I536" s="1014">
        <v>1.0179947012289454</v>
      </c>
      <c r="K536">
        <v>2.4038540125040391</v>
      </c>
      <c r="L536">
        <v>0</v>
      </c>
      <c r="M536">
        <v>1.7394972346090256E-3</v>
      </c>
      <c r="N536">
        <v>0.15098239264932831</v>
      </c>
      <c r="O536">
        <v>2.1458536828915332E-2</v>
      </c>
      <c r="P536">
        <v>2.8012920478204809E-2</v>
      </c>
      <c r="Q536">
        <v>5.5270378756547903E-3</v>
      </c>
      <c r="R536">
        <v>1.7165937215522812E-3</v>
      </c>
      <c r="S536">
        <v>0.27079098832012327</v>
      </c>
      <c r="T536">
        <v>1.3418861127414738</v>
      </c>
      <c r="U536">
        <v>0.2159514671923351</v>
      </c>
      <c r="V536">
        <v>0.24853402401784944</v>
      </c>
      <c r="W536">
        <v>0.10012004453671397</v>
      </c>
      <c r="X536">
        <v>1.5941389141397429E-2</v>
      </c>
      <c r="Y536">
        <v>4.6720022350970822E-3</v>
      </c>
    </row>
    <row r="537" spans="1:25">
      <c r="A537" s="1010"/>
      <c r="B537" s="1351">
        <v>287</v>
      </c>
      <c r="C537" s="1014">
        <v>1.0187606512114504</v>
      </c>
      <c r="D537" s="1014">
        <v>1.0306616753929356</v>
      </c>
      <c r="E537" s="1014">
        <v>1.0313460138700508</v>
      </c>
      <c r="F537" s="1014">
        <v>1.0099910203271827</v>
      </c>
      <c r="G537" s="1014">
        <v>0.9773668909469162</v>
      </c>
      <c r="H537" s="1014">
        <v>0.96755545338293358</v>
      </c>
      <c r="I537" s="1014">
        <v>1.020376141015098</v>
      </c>
      <c r="K537">
        <v>2.4024159438774273</v>
      </c>
      <c r="L537">
        <v>0</v>
      </c>
      <c r="M537">
        <v>1.4512410088600432E-3</v>
      </c>
      <c r="N537">
        <v>0.14511388558568414</v>
      </c>
      <c r="O537">
        <v>2.0483064564170473E-2</v>
      </c>
      <c r="P537">
        <v>2.9146556047528083E-2</v>
      </c>
      <c r="Q537">
        <v>5.5300789870788673E-3</v>
      </c>
      <c r="R537">
        <v>1.4314426179282108E-3</v>
      </c>
      <c r="S537">
        <v>0.2526619039701713</v>
      </c>
      <c r="T537">
        <v>1.3860295118891477</v>
      </c>
      <c r="U537">
        <v>0.20817528519728659</v>
      </c>
      <c r="V537">
        <v>0.24040932746701457</v>
      </c>
      <c r="W537">
        <v>9.3591720159113545E-2</v>
      </c>
      <c r="X537">
        <v>1.7398493470094555E-2</v>
      </c>
      <c r="Y537">
        <v>3.8959149310684093E-3</v>
      </c>
    </row>
    <row r="538" spans="1:25">
      <c r="A538" s="1010"/>
      <c r="B538" s="1351">
        <v>288</v>
      </c>
      <c r="C538" s="1014">
        <v>1.0201419272411245</v>
      </c>
      <c r="D538" s="1014">
        <v>1.01175138830949</v>
      </c>
      <c r="E538" s="1014">
        <v>1.0000097355780435</v>
      </c>
      <c r="F538" s="1014">
        <v>1.0081518570995445</v>
      </c>
      <c r="G538" s="1014">
        <v>1.0146673329131954</v>
      </c>
      <c r="H538" s="1014">
        <v>0.98104656252322064</v>
      </c>
      <c r="I538" s="1014">
        <v>1.0234813268382814</v>
      </c>
      <c r="K538">
        <v>2.4061456422922505</v>
      </c>
      <c r="L538">
        <v>0</v>
      </c>
      <c r="M538">
        <v>1.5748222443718563E-3</v>
      </c>
      <c r="N538">
        <v>0.14328957575522833</v>
      </c>
      <c r="O538">
        <v>2.0518452236707917E-2</v>
      </c>
      <c r="P538">
        <v>2.8571287288707978E-2</v>
      </c>
      <c r="Q538">
        <v>5.3693167284419845E-3</v>
      </c>
      <c r="R538">
        <v>1.5536333576798252E-3</v>
      </c>
      <c r="S538">
        <v>0.2563421431776553</v>
      </c>
      <c r="T538">
        <v>1.3828202136777494</v>
      </c>
      <c r="U538">
        <v>0.20778816413739465</v>
      </c>
      <c r="V538">
        <v>0.24680392019005828</v>
      </c>
      <c r="W538">
        <v>9.4130965903807623E-2</v>
      </c>
      <c r="X538">
        <v>1.6304314238686803E-2</v>
      </c>
      <c r="Y538">
        <v>4.2284778445057696E-3</v>
      </c>
    </row>
    <row r="539" spans="1:25">
      <c r="A539" s="1010"/>
      <c r="B539" s="1351">
        <v>289</v>
      </c>
      <c r="C539" s="1014">
        <v>0.99743772518852958</v>
      </c>
      <c r="D539" s="1014">
        <v>0.9943830577555981</v>
      </c>
      <c r="E539" s="1014">
        <v>0.98247677422235269</v>
      </c>
      <c r="F539" s="1014">
        <v>1.0133359718548922</v>
      </c>
      <c r="G539" s="1014">
        <v>0.96760836283132334</v>
      </c>
      <c r="H539" s="1014">
        <v>1.0013107010270166</v>
      </c>
      <c r="I539" s="1014">
        <v>0.99871905900200586</v>
      </c>
      <c r="K539">
        <v>2.4228560680027269</v>
      </c>
      <c r="L539">
        <v>0</v>
      </c>
      <c r="M539">
        <v>1.7112486558181397E-3</v>
      </c>
      <c r="N539">
        <v>0.14770536480681637</v>
      </c>
      <c r="O539">
        <v>2.1053935242276528E-2</v>
      </c>
      <c r="P539">
        <v>2.8306902839584078E-2</v>
      </c>
      <c r="Q539">
        <v>5.4127320553802915E-3</v>
      </c>
      <c r="R539">
        <v>1.688690142182464E-3</v>
      </c>
      <c r="S539">
        <v>0.25965260587398292</v>
      </c>
      <c r="T539">
        <v>1.3895473689044036</v>
      </c>
      <c r="U539">
        <v>0.21245794555796679</v>
      </c>
      <c r="V539">
        <v>0.24022042235158045</v>
      </c>
      <c r="W539">
        <v>9.8055346758694525E-2</v>
      </c>
      <c r="X539">
        <v>1.5869944235211517E-2</v>
      </c>
      <c r="Y539">
        <v>4.5960578904649082E-3</v>
      </c>
    </row>
    <row r="540" spans="1:25">
      <c r="A540" s="1010"/>
      <c r="B540" s="1351">
        <v>290</v>
      </c>
      <c r="C540" s="1014">
        <v>1.0189021492142818</v>
      </c>
      <c r="D540" s="1014">
        <v>1.0098344905732413</v>
      </c>
      <c r="E540" s="1014">
        <v>1.0038685996872649</v>
      </c>
      <c r="F540" s="1014">
        <v>0.99481257629412712</v>
      </c>
      <c r="G540" s="1014">
        <v>0.99084196061331631</v>
      </c>
      <c r="H540" s="1014">
        <v>0.9993285912123987</v>
      </c>
      <c r="I540" s="1014">
        <v>0.99533439475763386</v>
      </c>
      <c r="K540">
        <v>2.3846516047181834</v>
      </c>
      <c r="L540">
        <v>0</v>
      </c>
      <c r="M540">
        <v>1.5939775699856198E-3</v>
      </c>
      <c r="N540">
        <v>0.14676959303002748</v>
      </c>
      <c r="O540">
        <v>2.0554500338502188E-2</v>
      </c>
      <c r="P540">
        <v>2.8285065230540741E-2</v>
      </c>
      <c r="Q540">
        <v>5.3996313043752223E-3</v>
      </c>
      <c r="R540">
        <v>1.5729233037056376E-3</v>
      </c>
      <c r="S540">
        <v>0.2513797249323052</v>
      </c>
      <c r="T540">
        <v>1.364606598411483</v>
      </c>
      <c r="U540">
        <v>0.20805394598441532</v>
      </c>
      <c r="V540">
        <v>0.24279595431552864</v>
      </c>
      <c r="W540">
        <v>9.619654583734695E-2</v>
      </c>
      <c r="X540">
        <v>1.6350120881276187E-2</v>
      </c>
      <c r="Y540">
        <v>4.2809787186590328E-3</v>
      </c>
    </row>
    <row r="541" spans="1:25">
      <c r="A541" s="1010"/>
      <c r="B541" s="1351">
        <v>291</v>
      </c>
      <c r="C541" s="1014">
        <v>1.0128257237426734</v>
      </c>
      <c r="D541" s="1014">
        <v>1.017127110934773</v>
      </c>
      <c r="E541" s="1014">
        <v>1.0137186812654682</v>
      </c>
      <c r="F541" s="1014">
        <v>0.98873671201986668</v>
      </c>
      <c r="G541" s="1014">
        <v>1.0041936615209779</v>
      </c>
      <c r="H541" s="1014">
        <v>1.0165908147893414</v>
      </c>
      <c r="I541" s="1014">
        <v>1.0075324623704982</v>
      </c>
      <c r="K541">
        <v>2.3935611429211083</v>
      </c>
      <c r="L541">
        <v>0</v>
      </c>
      <c r="M541">
        <v>1.5956761172389771E-3</v>
      </c>
      <c r="N541">
        <v>0.15139559942348907</v>
      </c>
      <c r="O541">
        <v>2.0651547829022544E-2</v>
      </c>
      <c r="P541">
        <v>2.8505561541739596E-2</v>
      </c>
      <c r="Q541">
        <v>5.4788440344089558E-3</v>
      </c>
      <c r="R541">
        <v>1.5749573084717367E-3</v>
      </c>
      <c r="S541">
        <v>0.25660477137452486</v>
      </c>
      <c r="T541">
        <v>1.3564832095622397</v>
      </c>
      <c r="U541">
        <v>0.20933544976848745</v>
      </c>
      <c r="V541">
        <v>0.24540790584672498</v>
      </c>
      <c r="W541">
        <v>9.8653317673373431E-2</v>
      </c>
      <c r="X541">
        <v>1.6779140066742734E-2</v>
      </c>
      <c r="Y541">
        <v>4.2865146091228623E-3</v>
      </c>
    </row>
    <row r="542" spans="1:25">
      <c r="A542" s="1010"/>
      <c r="B542" s="1351">
        <v>292</v>
      </c>
      <c r="C542" s="1014">
        <v>0.98382664188464675</v>
      </c>
      <c r="D542" s="1014">
        <v>0.98667899223863098</v>
      </c>
      <c r="E542" s="1014">
        <v>0.96900294748738425</v>
      </c>
      <c r="F542" s="1014">
        <v>1.0022156327710989</v>
      </c>
      <c r="G542" s="1014">
        <v>0.99192221862497632</v>
      </c>
      <c r="H542" s="1014">
        <v>1.0002115846304851</v>
      </c>
      <c r="I542" s="1014">
        <v>1.0013433963953142</v>
      </c>
      <c r="K542">
        <v>2.4213087675918659</v>
      </c>
      <c r="L542">
        <v>0</v>
      </c>
      <c r="M542">
        <v>1.7849994068270863E-3</v>
      </c>
      <c r="N542">
        <v>0.14791231025534679</v>
      </c>
      <c r="O542">
        <v>2.137268782586467E-2</v>
      </c>
      <c r="P542">
        <v>2.7984872610834311E-2</v>
      </c>
      <c r="Q542">
        <v>5.4197678200453058E-3</v>
      </c>
      <c r="R542">
        <v>1.7614428173121808E-3</v>
      </c>
      <c r="S542">
        <v>0.26476106661022802</v>
      </c>
      <c r="T542">
        <v>1.3740078975408259</v>
      </c>
      <c r="U542">
        <v>0.21535063687517816</v>
      </c>
      <c r="V542">
        <v>0.24528850577469793</v>
      </c>
      <c r="W542">
        <v>9.8997595421400186E-2</v>
      </c>
      <c r="X542">
        <v>1.5442916757703259E-2</v>
      </c>
      <c r="Y542">
        <v>4.794066689255084E-3</v>
      </c>
    </row>
    <row r="543" spans="1:25">
      <c r="A543" s="1010"/>
      <c r="B543" s="1351">
        <v>293</v>
      </c>
      <c r="C543" s="1014">
        <v>0.9883444410448794</v>
      </c>
      <c r="D543" s="1014">
        <v>1.0074168984058585</v>
      </c>
      <c r="E543" s="1014">
        <v>0.98039534014826801</v>
      </c>
      <c r="F543" s="1014">
        <v>1.0096546603352416</v>
      </c>
      <c r="G543" s="1014">
        <v>0.98260584785318217</v>
      </c>
      <c r="H543" s="1014">
        <v>0.99859464126557707</v>
      </c>
      <c r="I543" s="1014">
        <v>1.0080454204484348</v>
      </c>
      <c r="K543">
        <v>2.4263801865740589</v>
      </c>
      <c r="L543">
        <v>0</v>
      </c>
      <c r="M543">
        <v>1.7247905352128551E-3</v>
      </c>
      <c r="N543">
        <v>0.14793432600035075</v>
      </c>
      <c r="O543">
        <v>2.1185465745628775E-2</v>
      </c>
      <c r="P543">
        <v>2.8300792457755495E-2</v>
      </c>
      <c r="Q543">
        <v>5.4350459170638106E-3</v>
      </c>
      <c r="R543">
        <v>1.7019916638837348E-3</v>
      </c>
      <c r="S543">
        <v>0.26251768412809595</v>
      </c>
      <c r="T543">
        <v>1.384454053862024</v>
      </c>
      <c r="U543">
        <v>0.2144054921293497</v>
      </c>
      <c r="V543">
        <v>0.24336559539318106</v>
      </c>
      <c r="W543">
        <v>9.8330710265156787E-2</v>
      </c>
      <c r="X543">
        <v>1.5841559299092613E-2</v>
      </c>
      <c r="Y543">
        <v>4.6322602476903145E-3</v>
      </c>
    </row>
    <row r="544" spans="1:25">
      <c r="A544" s="1010"/>
      <c r="B544" s="1351">
        <v>294</v>
      </c>
      <c r="C544" s="1014">
        <v>0.95212172699679409</v>
      </c>
      <c r="D544" s="1014">
        <v>1.0326874525060574</v>
      </c>
      <c r="E544" s="1014">
        <v>1.0010878491837603</v>
      </c>
      <c r="F544" s="1014">
        <v>1.010076611809833</v>
      </c>
      <c r="G544" s="1014">
        <v>1.0212733529364586</v>
      </c>
      <c r="H544" s="1014">
        <v>0.9931369628333081</v>
      </c>
      <c r="I544" s="1014">
        <v>1.0290119935594331</v>
      </c>
      <c r="K544">
        <v>2.4697467954443244</v>
      </c>
      <c r="L544">
        <v>0</v>
      </c>
      <c r="M544">
        <v>1.6966448983390652E-3</v>
      </c>
      <c r="N544">
        <v>0.1549032912292066</v>
      </c>
      <c r="O544">
        <v>2.1886212304968709E-2</v>
      </c>
      <c r="P544">
        <v>2.9155649580343015E-2</v>
      </c>
      <c r="Q544">
        <v>5.7334434601515197E-3</v>
      </c>
      <c r="R544">
        <v>1.6740948213955077E-3</v>
      </c>
      <c r="S544">
        <v>0.27444061630808991</v>
      </c>
      <c r="T544">
        <v>1.3854838372473979</v>
      </c>
      <c r="U544">
        <v>0.22263655767085477</v>
      </c>
      <c r="V544">
        <v>0.25229756535533243</v>
      </c>
      <c r="W544">
        <v>0.10169518729794487</v>
      </c>
      <c r="X544">
        <v>1.6980650828350024E-2</v>
      </c>
      <c r="Y544">
        <v>4.5563342386290163E-3</v>
      </c>
    </row>
    <row r="545" spans="1:25">
      <c r="A545" s="1010"/>
      <c r="B545" s="1351">
        <v>295</v>
      </c>
      <c r="C545" s="1014">
        <v>1.0242366454923848</v>
      </c>
      <c r="D545" s="1014">
        <v>0.99791667056845001</v>
      </c>
      <c r="E545" s="1014">
        <v>1.012463501860839</v>
      </c>
      <c r="F545" s="1014">
        <v>1.012142079624226</v>
      </c>
      <c r="G545" s="1014">
        <v>0.98118633682099088</v>
      </c>
      <c r="H545" s="1014">
        <v>0.99661562586150687</v>
      </c>
      <c r="I545" s="1014">
        <v>0.96719662852005495</v>
      </c>
      <c r="K545">
        <v>2.3992799442112016</v>
      </c>
      <c r="L545">
        <v>0</v>
      </c>
      <c r="M545">
        <v>1.5574549630222897E-3</v>
      </c>
      <c r="N545">
        <v>0.14717164475276781</v>
      </c>
      <c r="O545">
        <v>2.0506500963177483E-2</v>
      </c>
      <c r="P545">
        <v>2.8655910202196093E-2</v>
      </c>
      <c r="Q545">
        <v>5.4335529147339131E-3</v>
      </c>
      <c r="R545">
        <v>1.5368271102404346E-3</v>
      </c>
      <c r="S545">
        <v>0.24429731694894599</v>
      </c>
      <c r="T545">
        <v>1.3885663209906227</v>
      </c>
      <c r="U545">
        <v>0.20699906627935816</v>
      </c>
      <c r="V545">
        <v>0.24079830531660518</v>
      </c>
      <c r="W545">
        <v>9.5971713256210608E-2</v>
      </c>
      <c r="X545">
        <v>1.6717503660209979E-2</v>
      </c>
      <c r="Y545">
        <v>4.182736779153727E-3</v>
      </c>
    </row>
    <row r="546" spans="1:25">
      <c r="A546" s="1010"/>
      <c r="B546" s="1351">
        <v>296</v>
      </c>
      <c r="C546" s="1014">
        <v>0.96677538086035852</v>
      </c>
      <c r="D546" s="1014">
        <v>1.0109989018270424</v>
      </c>
      <c r="E546" s="1014">
        <v>1.0160969330485496</v>
      </c>
      <c r="F546" s="1014">
        <v>1.0169931698494152</v>
      </c>
      <c r="G546" s="1014">
        <v>1.0113702241117974</v>
      </c>
      <c r="H546" s="1014">
        <v>1.0444773989475145</v>
      </c>
      <c r="I546" s="1014">
        <v>0.9937562867506784</v>
      </c>
      <c r="K546">
        <v>2.481651222278352</v>
      </c>
      <c r="L546">
        <v>0</v>
      </c>
      <c r="M546">
        <v>1.7113418462090047E-3</v>
      </c>
      <c r="N546">
        <v>0.16359682539429024</v>
      </c>
      <c r="O546">
        <v>2.1665657452597895E-2</v>
      </c>
      <c r="P546">
        <v>2.9449644247623495E-2</v>
      </c>
      <c r="Q546">
        <v>5.7615309597664191E-3</v>
      </c>
      <c r="R546">
        <v>1.6897144646909918E-3</v>
      </c>
      <c r="S546">
        <v>0.26840405420022856</v>
      </c>
      <c r="T546">
        <v>1.395301719223494</v>
      </c>
      <c r="U546">
        <v>0.21931513841136743</v>
      </c>
      <c r="V546">
        <v>0.24955956377376393</v>
      </c>
      <c r="W546">
        <v>0.10645513389306806</v>
      </c>
      <c r="X546">
        <v>1.7564736345004439E-2</v>
      </c>
      <c r="Y546">
        <v>4.5988457586652954E-3</v>
      </c>
    </row>
    <row r="547" spans="1:25">
      <c r="A547" s="1010"/>
      <c r="B547" s="1351">
        <v>297</v>
      </c>
      <c r="C547" s="1014">
        <v>1.0186809382584208</v>
      </c>
      <c r="D547" s="1014">
        <v>1.0169768323328696</v>
      </c>
      <c r="E547" s="1014">
        <v>1.0179971887952697</v>
      </c>
      <c r="F547" s="1014">
        <v>0.99196863856558726</v>
      </c>
      <c r="G547" s="1014">
        <v>0.97853035680796874</v>
      </c>
      <c r="H547" s="1014">
        <v>0.97561371297524502</v>
      </c>
      <c r="I547" s="1014">
        <v>0.98440347384899651</v>
      </c>
      <c r="K547">
        <v>2.370222272245138</v>
      </c>
      <c r="L547">
        <v>0</v>
      </c>
      <c r="M547">
        <v>1.509118682169626E-3</v>
      </c>
      <c r="N547">
        <v>0.14496366486759868</v>
      </c>
      <c r="O547">
        <v>2.0536297459037112E-2</v>
      </c>
      <c r="P547">
        <v>2.8428691859406788E-2</v>
      </c>
      <c r="Q547">
        <v>5.4715446398980313E-3</v>
      </c>
      <c r="R547">
        <v>1.4887007518256108E-3</v>
      </c>
      <c r="S547">
        <v>0.2459672823319323</v>
      </c>
      <c r="T547">
        <v>1.3610092863635426</v>
      </c>
      <c r="U547">
        <v>0.20814661489687519</v>
      </c>
      <c r="V547">
        <v>0.24065814318053</v>
      </c>
      <c r="W547">
        <v>9.4225174143194923E-2</v>
      </c>
      <c r="X547">
        <v>1.6784237737066884E-2</v>
      </c>
      <c r="Y547">
        <v>4.0517526963983657E-3</v>
      </c>
    </row>
    <row r="548" spans="1:25">
      <c r="A548" s="1010"/>
      <c r="B548" s="1351">
        <v>298</v>
      </c>
      <c r="C548" s="1014">
        <v>0.96261692158826839</v>
      </c>
      <c r="D548" s="1014">
        <v>0.99015038396427457</v>
      </c>
      <c r="E548" s="1014">
        <v>0.97238263029149219</v>
      </c>
      <c r="F548" s="1014">
        <v>1.0108394853409641</v>
      </c>
      <c r="G548" s="1014">
        <v>1.0161768875109158</v>
      </c>
      <c r="H548" s="1014">
        <v>0.97800721035500238</v>
      </c>
      <c r="I548" s="1014">
        <v>0.99073724710674171</v>
      </c>
      <c r="K548">
        <v>2.4455177096406744</v>
      </c>
      <c r="L548">
        <v>0</v>
      </c>
      <c r="M548">
        <v>1.7700570615435832E-3</v>
      </c>
      <c r="N548">
        <v>0.14813772349451645</v>
      </c>
      <c r="O548">
        <v>2.1829053690290111E-2</v>
      </c>
      <c r="P548">
        <v>2.8361522425611626E-2</v>
      </c>
      <c r="Q548">
        <v>5.5546417049177213E-3</v>
      </c>
      <c r="R548">
        <v>1.7461673212381069E-3</v>
      </c>
      <c r="S548">
        <v>0.2653385795610162</v>
      </c>
      <c r="T548">
        <v>1.3859043812341711</v>
      </c>
      <c r="U548">
        <v>0.22010748683328552</v>
      </c>
      <c r="V548">
        <v>0.25081817855688998</v>
      </c>
      <c r="W548">
        <v>9.8944838677914149E-2</v>
      </c>
      <c r="X548">
        <v>1.579270137785781E-2</v>
      </c>
      <c r="Y548">
        <v>4.7524918245073827E-3</v>
      </c>
    </row>
    <row r="549" spans="1:25">
      <c r="A549" s="1010"/>
      <c r="B549" s="1351">
        <v>299</v>
      </c>
      <c r="C549" s="1014">
        <v>1.0009223019149576</v>
      </c>
      <c r="D549" s="1014">
        <v>1.016063050492896</v>
      </c>
      <c r="E549" s="1014">
        <v>1.0432194072072278</v>
      </c>
      <c r="F549" s="1014">
        <v>0.97872989071454752</v>
      </c>
      <c r="G549" s="1014">
        <v>0.99203119432983256</v>
      </c>
      <c r="H549" s="1014">
        <v>0.98491534046185947</v>
      </c>
      <c r="I549" s="1014">
        <v>1.0207034235729746</v>
      </c>
      <c r="K549">
        <v>2.3876864489650873</v>
      </c>
      <c r="L549">
        <v>0</v>
      </c>
      <c r="M549">
        <v>1.4714337115328546E-3</v>
      </c>
      <c r="N549">
        <v>0.15252902482405414</v>
      </c>
      <c r="O549">
        <v>2.0921534051381082E-2</v>
      </c>
      <c r="P549">
        <v>2.9012527697837319E-2</v>
      </c>
      <c r="Q549">
        <v>5.7148899724586239E-3</v>
      </c>
      <c r="R549">
        <v>1.4517136612320206E-3</v>
      </c>
      <c r="S549">
        <v>0.26069233427297545</v>
      </c>
      <c r="T549">
        <v>1.3433824252430375</v>
      </c>
      <c r="U549">
        <v>0.21192614113197142</v>
      </c>
      <c r="V549">
        <v>0.24396297238866976</v>
      </c>
      <c r="W549">
        <v>9.7702287122901216E-2</v>
      </c>
      <c r="X549">
        <v>1.7910946281503571E-2</v>
      </c>
      <c r="Y549">
        <v>3.9510860285937493E-3</v>
      </c>
    </row>
    <row r="550" spans="1:25">
      <c r="A550" s="1010"/>
      <c r="B550" s="1351">
        <v>300</v>
      </c>
      <c r="C550" s="1014">
        <v>0.97113773298987272</v>
      </c>
      <c r="D550" s="1014">
        <v>0.98969930137515205</v>
      </c>
      <c r="E550" s="1014">
        <v>1.0104792328370054</v>
      </c>
      <c r="F550" s="1014">
        <v>0.98866816130619439</v>
      </c>
      <c r="G550" s="1014">
        <v>0.99579467790371423</v>
      </c>
      <c r="H550" s="1014">
        <v>0.99615550275382325</v>
      </c>
      <c r="I550" s="1014">
        <v>0.99993805800588109</v>
      </c>
      <c r="K550">
        <v>2.4227062304237852</v>
      </c>
      <c r="L550">
        <v>0</v>
      </c>
      <c r="M550">
        <v>1.6516390978391149E-3</v>
      </c>
      <c r="N550">
        <v>0.15513855677604943</v>
      </c>
      <c r="O550">
        <v>2.1665752388729205E-2</v>
      </c>
      <c r="P550">
        <v>2.8724425683200064E-2</v>
      </c>
      <c r="Q550">
        <v>5.7293501731215408E-3</v>
      </c>
      <c r="R550">
        <v>1.6297537106170813E-3</v>
      </c>
      <c r="S550">
        <v>0.26742746903289194</v>
      </c>
      <c r="T550">
        <v>1.3563197262142794</v>
      </c>
      <c r="U550">
        <v>0.2183101607069681</v>
      </c>
      <c r="V550">
        <v>0.24663049513632529</v>
      </c>
      <c r="W550">
        <v>0.10128530033690231</v>
      </c>
      <c r="X550">
        <v>1.7061227010406285E-2</v>
      </c>
      <c r="Y550">
        <v>4.4356523521333789E-3</v>
      </c>
    </row>
    <row r="551" spans="1:25">
      <c r="A551" s="1010"/>
      <c r="B551" s="1351">
        <v>301</v>
      </c>
      <c r="C551" s="1014">
        <v>0.98610260155052698</v>
      </c>
      <c r="D551" s="1014">
        <v>0.99062191915259912</v>
      </c>
      <c r="E551" s="1014">
        <v>1.0281177789707465</v>
      </c>
      <c r="F551" s="1014">
        <v>1.0117702373774611</v>
      </c>
      <c r="G551" s="1014">
        <v>0.98987065738340652</v>
      </c>
      <c r="H551" s="1014">
        <v>1.0171113288311033</v>
      </c>
      <c r="I551" s="1014">
        <v>1.0095526343798671</v>
      </c>
      <c r="K551">
        <v>2.455546395433136</v>
      </c>
      <c r="L551">
        <v>0</v>
      </c>
      <c r="M551">
        <v>1.600624210649923E-3</v>
      </c>
      <c r="N551">
        <v>0.15860791140667777</v>
      </c>
      <c r="O551">
        <v>2.1344515368435048E-2</v>
      </c>
      <c r="P551">
        <v>2.947570279655155E-2</v>
      </c>
      <c r="Q551">
        <v>5.7442897799795545E-3</v>
      </c>
      <c r="R551">
        <v>1.5798517900108603E-3</v>
      </c>
      <c r="S551">
        <v>0.26775599835395064</v>
      </c>
      <c r="T551">
        <v>1.3884001131482344</v>
      </c>
      <c r="U551">
        <v>0.21505845785633926</v>
      </c>
      <c r="V551">
        <v>0.24458311732813653</v>
      </c>
      <c r="W551">
        <v>0.10248665194130452</v>
      </c>
      <c r="X551">
        <v>1.7810574099758503E-2</v>
      </c>
      <c r="Y551">
        <v>4.2998357744069527E-3</v>
      </c>
    </row>
    <row r="552" spans="1:25">
      <c r="A552" s="1010"/>
      <c r="B552" s="1351">
        <v>302</v>
      </c>
      <c r="C552" s="1014">
        <v>1.0152178758155868</v>
      </c>
      <c r="D552" s="1014">
        <v>1.0209047162099671</v>
      </c>
      <c r="E552" s="1014">
        <v>0.99809391235563194</v>
      </c>
      <c r="F552" s="1014">
        <v>0.99659159600461544</v>
      </c>
      <c r="G552" s="1014">
        <v>0.99943257781806094</v>
      </c>
      <c r="H552" s="1014">
        <v>1.036545430422213</v>
      </c>
      <c r="I552" s="1014">
        <v>0.99255965251763068</v>
      </c>
      <c r="K552">
        <v>2.3997811335080694</v>
      </c>
      <c r="L552">
        <v>0</v>
      </c>
      <c r="M552">
        <v>1.6753159698271361E-3</v>
      </c>
      <c r="N552">
        <v>0.1516641304057135</v>
      </c>
      <c r="O552">
        <v>2.0575913247907911E-2</v>
      </c>
      <c r="P552">
        <v>2.8254181185440923E-2</v>
      </c>
      <c r="Q552">
        <v>5.3739889094889396E-3</v>
      </c>
      <c r="R552">
        <v>1.6539818561240975E-3</v>
      </c>
      <c r="S552">
        <v>0.25325912127450129</v>
      </c>
      <c r="T552">
        <v>1.3669224240719489</v>
      </c>
      <c r="U552">
        <v>0.20878953721444898</v>
      </c>
      <c r="V552">
        <v>0.24450581002493504</v>
      </c>
      <c r="W552">
        <v>9.9746044389848229E-2</v>
      </c>
      <c r="X552">
        <v>1.6209723520142057E-2</v>
      </c>
      <c r="Y552">
        <v>4.5015933773974569E-3</v>
      </c>
    </row>
    <row r="553" spans="1:25">
      <c r="A553" s="1010"/>
      <c r="B553" s="1351">
        <v>303</v>
      </c>
      <c r="C553" s="1014">
        <v>0.99809259963223085</v>
      </c>
      <c r="D553" s="1014">
        <v>0.99924337181912182</v>
      </c>
      <c r="E553" s="1014">
        <v>1.0051812307059929</v>
      </c>
      <c r="F553" s="1014">
        <v>0.99194301062511758</v>
      </c>
      <c r="G553" s="1014">
        <v>1.0008315571043975</v>
      </c>
      <c r="H553" s="1014">
        <v>0.99800988733126972</v>
      </c>
      <c r="I553" s="1014">
        <v>1.0035852564984253</v>
      </c>
      <c r="K553">
        <v>2.4033817690875696</v>
      </c>
      <c r="L553">
        <v>0</v>
      </c>
      <c r="M553">
        <v>1.6244053763275184E-3</v>
      </c>
      <c r="N553">
        <v>0.15016279675317606</v>
      </c>
      <c r="O553">
        <v>2.1032648733557754E-2</v>
      </c>
      <c r="P553">
        <v>2.847767681368291E-2</v>
      </c>
      <c r="Q553">
        <v>5.5325167804222072E-3</v>
      </c>
      <c r="R553">
        <v>1.6029208495271969E-3</v>
      </c>
      <c r="S553">
        <v>0.26001451206844051</v>
      </c>
      <c r="T553">
        <v>1.3606985379292258</v>
      </c>
      <c r="U553">
        <v>0.21239622740083933</v>
      </c>
      <c r="V553">
        <v>0.24577383431578481</v>
      </c>
      <c r="W553">
        <v>9.8344058399538622E-2</v>
      </c>
      <c r="X553">
        <v>1.6607822270003729E-2</v>
      </c>
      <c r="Y553">
        <v>4.3626221496969944E-3</v>
      </c>
    </row>
    <row r="554" spans="1:25">
      <c r="A554" s="1010"/>
      <c r="B554" s="1351">
        <v>304</v>
      </c>
      <c r="C554" s="1014">
        <v>1.0347679092323849</v>
      </c>
      <c r="D554" s="1014">
        <v>1.0048859358213673</v>
      </c>
      <c r="E554" s="1014">
        <v>0.97335947730546102</v>
      </c>
      <c r="F554" s="1014">
        <v>0.98166065358672516</v>
      </c>
      <c r="G554" s="1014">
        <v>1.0230544690335683</v>
      </c>
      <c r="H554" s="1014">
        <v>1.0101994274801136</v>
      </c>
      <c r="I554" s="1014">
        <v>1.0185081038951771</v>
      </c>
      <c r="K554">
        <v>2.3621057344141736</v>
      </c>
      <c r="L554">
        <v>0</v>
      </c>
      <c r="M554">
        <v>1.6919019936328726E-3</v>
      </c>
      <c r="N554">
        <v>0.14207811367147452</v>
      </c>
      <c r="O554">
        <v>2.0241718674216647E-2</v>
      </c>
      <c r="P554">
        <v>2.7453946722654905E-2</v>
      </c>
      <c r="Q554">
        <v>5.155863814380505E-3</v>
      </c>
      <c r="R554">
        <v>1.6697947650108874E-3</v>
      </c>
      <c r="S554">
        <v>0.25457512669036436</v>
      </c>
      <c r="T554">
        <v>1.3459195718407622</v>
      </c>
      <c r="U554">
        <v>0.20476332316201193</v>
      </c>
      <c r="V554">
        <v>0.24747238982950712</v>
      </c>
      <c r="W554">
        <v>9.4841200505967477E-2</v>
      </c>
      <c r="X554">
        <v>1.5081955828789784E-2</v>
      </c>
      <c r="Y554">
        <v>4.5446309026632862E-3</v>
      </c>
    </row>
    <row r="555" spans="1:25">
      <c r="A555" s="1010"/>
      <c r="B555" s="1351">
        <v>305</v>
      </c>
      <c r="C555" s="1014">
        <v>1.0170958386146038</v>
      </c>
      <c r="D555" s="1014">
        <v>1.0051498980657017</v>
      </c>
      <c r="E555" s="1014">
        <v>1.0133024712835101</v>
      </c>
      <c r="F555" s="1014">
        <v>1.0256563832380401</v>
      </c>
      <c r="G555" s="1014">
        <v>1.0075615379644189</v>
      </c>
      <c r="H555" s="1014">
        <v>0.9668749415787119</v>
      </c>
      <c r="I555" s="1014">
        <v>0.97908898262941579</v>
      </c>
      <c r="K555">
        <v>2.4202707876295659</v>
      </c>
      <c r="L555">
        <v>0</v>
      </c>
      <c r="M555">
        <v>1.5165237203686656E-3</v>
      </c>
      <c r="N555">
        <v>0.14360788302695199</v>
      </c>
      <c r="O555">
        <v>2.0618235439310486E-2</v>
      </c>
      <c r="P555">
        <v>2.9036825931797502E-2</v>
      </c>
      <c r="Q555">
        <v>5.46773530233448E-3</v>
      </c>
      <c r="R555">
        <v>1.495820155986457E-3</v>
      </c>
      <c r="S555">
        <v>0.24571098524659568</v>
      </c>
      <c r="T555">
        <v>1.407125367558274</v>
      </c>
      <c r="U555">
        <v>0.2084551865264769</v>
      </c>
      <c r="V555">
        <v>0.24572562364088821</v>
      </c>
      <c r="W555">
        <v>9.3601545043773202E-2</v>
      </c>
      <c r="X555">
        <v>1.6870974109933507E-2</v>
      </c>
      <c r="Y555">
        <v>4.0711293676132382E-3</v>
      </c>
    </row>
    <row r="556" spans="1:25">
      <c r="A556" s="1010"/>
      <c r="B556" s="1351">
        <v>306</v>
      </c>
      <c r="C556" s="1014">
        <v>1.0052916034731731</v>
      </c>
      <c r="D556" s="1014">
        <v>1.0209485300785497</v>
      </c>
      <c r="E556" s="1014">
        <v>1.0274589982685551</v>
      </c>
      <c r="F556" s="1014">
        <v>1.0349110173656995</v>
      </c>
      <c r="G556" s="1014">
        <v>0.99389570830185703</v>
      </c>
      <c r="H556" s="1014">
        <v>0.96423191407734865</v>
      </c>
      <c r="I556" s="1014">
        <v>0.99842334797152632</v>
      </c>
      <c r="K556">
        <v>2.4449841103053123</v>
      </c>
      <c r="L556">
        <v>0</v>
      </c>
      <c r="M556">
        <v>1.4806326536258162E-3</v>
      </c>
      <c r="N556">
        <v>0.14632107911271375</v>
      </c>
      <c r="O556">
        <v>2.0798220027753427E-2</v>
      </c>
      <c r="P556">
        <v>2.9611591523145627E-2</v>
      </c>
      <c r="Q556">
        <v>5.5936204754614824E-3</v>
      </c>
      <c r="R556">
        <v>1.4603636668293505E-3</v>
      </c>
      <c r="S556">
        <v>0.25141785450450144</v>
      </c>
      <c r="T556">
        <v>1.4201401864078493</v>
      </c>
      <c r="U556">
        <v>0.2109511734884687</v>
      </c>
      <c r="V556">
        <v>0.24406391480126241</v>
      </c>
      <c r="W556">
        <v>9.458357394051746E-2</v>
      </c>
      <c r="X556">
        <v>1.7548536518078594E-2</v>
      </c>
      <c r="Y556">
        <v>3.9746284923561038E-3</v>
      </c>
    </row>
    <row r="557" spans="1:25">
      <c r="A557" s="1010"/>
      <c r="B557" s="1351">
        <v>307</v>
      </c>
      <c r="C557" s="1014">
        <v>0.96752948919988935</v>
      </c>
      <c r="D557" s="1014">
        <v>0.97735930066887478</v>
      </c>
      <c r="E557" s="1014">
        <v>1.0103665477397932</v>
      </c>
      <c r="F557" s="1014">
        <v>1.0296256909641825</v>
      </c>
      <c r="G557" s="1014">
        <v>0.96063588254687415</v>
      </c>
      <c r="H557" s="1014">
        <v>0.97047905752449304</v>
      </c>
      <c r="I557" s="1014">
        <v>0.9974092058220172</v>
      </c>
      <c r="K557">
        <v>2.4696380277168681</v>
      </c>
      <c r="L557">
        <v>0</v>
      </c>
      <c r="M557">
        <v>1.6199114017942464E-3</v>
      </c>
      <c r="N557">
        <v>0.15205257745263279</v>
      </c>
      <c r="O557">
        <v>2.1806583399014489E-2</v>
      </c>
      <c r="P557">
        <v>2.9423208291057993E-2</v>
      </c>
      <c r="Q557">
        <v>5.7659425203832465E-3</v>
      </c>
      <c r="R557">
        <v>1.5978785195849762E-3</v>
      </c>
      <c r="S557">
        <v>0.26717734576372676</v>
      </c>
      <c r="T557">
        <v>1.4125054328936504</v>
      </c>
      <c r="U557">
        <v>0.21912391417466984</v>
      </c>
      <c r="V557">
        <v>0.24086816438087075</v>
      </c>
      <c r="W557">
        <v>9.9277151522399326E-2</v>
      </c>
      <c r="X557">
        <v>1.7310841610872898E-2</v>
      </c>
      <c r="Y557">
        <v>4.348898589797888E-3</v>
      </c>
    </row>
    <row r="558" spans="1:25">
      <c r="A558" s="1010"/>
      <c r="B558" s="1351">
        <v>308</v>
      </c>
      <c r="C558" s="1014">
        <v>1.042972538469358</v>
      </c>
      <c r="D558" s="1014">
        <v>1.0027206736000873</v>
      </c>
      <c r="E558" s="1014">
        <v>1.0270898829439199</v>
      </c>
      <c r="F558" s="1014">
        <v>1.0023272565354122</v>
      </c>
      <c r="G558" s="1014">
        <v>0.98588081472231748</v>
      </c>
      <c r="H558" s="1014">
        <v>0.98710950097565453</v>
      </c>
      <c r="I558" s="1014">
        <v>1.0179824367239012</v>
      </c>
      <c r="K558">
        <v>2.3844471877777056</v>
      </c>
      <c r="L558">
        <v>0</v>
      </c>
      <c r="M558">
        <v>1.4679304951650241E-3</v>
      </c>
      <c r="N558">
        <v>0.14495106044854361</v>
      </c>
      <c r="O558">
        <v>2.0126187629668446E-2</v>
      </c>
      <c r="P558">
        <v>2.8822059636305464E-2</v>
      </c>
      <c r="Q558">
        <v>5.4109013408552564E-3</v>
      </c>
      <c r="R558">
        <v>1.4483011243586496E-3</v>
      </c>
      <c r="S558">
        <v>0.25122640686520448</v>
      </c>
      <c r="T558">
        <v>1.3754195942746492</v>
      </c>
      <c r="U558">
        <v>0.20332862918274058</v>
      </c>
      <c r="V558">
        <v>0.24045420459317854</v>
      </c>
      <c r="W558">
        <v>9.3718099741715286E-2</v>
      </c>
      <c r="X558">
        <v>1.7067875207481167E-2</v>
      </c>
      <c r="Y558">
        <v>3.9417982281669131E-3</v>
      </c>
    </row>
    <row r="559" spans="1:25">
      <c r="A559" s="1010"/>
      <c r="B559" s="1351">
        <v>309</v>
      </c>
      <c r="C559" s="1014">
        <v>0.99939333016228959</v>
      </c>
      <c r="D559" s="1014">
        <v>0.99588522191383733</v>
      </c>
      <c r="E559" s="1014">
        <v>0.96703684244461341</v>
      </c>
      <c r="F559" s="1014">
        <v>0.99052776702278544</v>
      </c>
      <c r="G559" s="1014">
        <v>0.99424192703559255</v>
      </c>
      <c r="H559" s="1014">
        <v>0.99679347984145761</v>
      </c>
      <c r="I559" s="1014">
        <v>0.99385093775553324</v>
      </c>
      <c r="K559">
        <v>2.3869165777580097</v>
      </c>
      <c r="L559">
        <v>0</v>
      </c>
      <c r="M559">
        <v>1.7547222414319701E-3</v>
      </c>
      <c r="N559">
        <v>0.1445336311308639</v>
      </c>
      <c r="O559">
        <v>2.0995539326576298E-2</v>
      </c>
      <c r="P559">
        <v>2.757541478736935E-2</v>
      </c>
      <c r="Q559">
        <v>5.3134291088324489E-3</v>
      </c>
      <c r="R559">
        <v>1.7314858111081163E-3</v>
      </c>
      <c r="S559">
        <v>0.25717881964352302</v>
      </c>
      <c r="T559">
        <v>1.3579423413281781</v>
      </c>
      <c r="U559">
        <v>0.21198961607046796</v>
      </c>
      <c r="V559">
        <v>0.24470487764585588</v>
      </c>
      <c r="W559">
        <v>9.6852257985385617E-2</v>
      </c>
      <c r="X559">
        <v>1.5141353567586877E-2</v>
      </c>
      <c r="Y559">
        <v>4.7125335936920622E-3</v>
      </c>
    </row>
    <row r="560" spans="1:25">
      <c r="A560" s="1010"/>
      <c r="B560" s="1351">
        <v>310</v>
      </c>
      <c r="C560" s="1014">
        <v>0.9877106230225734</v>
      </c>
      <c r="D560" s="1014">
        <v>0.97749987769645708</v>
      </c>
      <c r="E560" s="1014">
        <v>0.99532208321650717</v>
      </c>
      <c r="F560" s="1014">
        <v>0.9943955577419602</v>
      </c>
      <c r="G560" s="1014">
        <v>0.98932402621066495</v>
      </c>
      <c r="H560" s="1014">
        <v>0.99743557266689042</v>
      </c>
      <c r="I560" s="1014">
        <v>1.0157924257710553</v>
      </c>
      <c r="K560">
        <v>2.4183832234487159</v>
      </c>
      <c r="L560">
        <v>0</v>
      </c>
      <c r="M560">
        <v>1.6825562490865214E-3</v>
      </c>
      <c r="N560">
        <v>0.15097263996239715</v>
      </c>
      <c r="O560">
        <v>2.1350186181657276E-2</v>
      </c>
      <c r="P560">
        <v>2.8443710088482049E-2</v>
      </c>
      <c r="Q560">
        <v>5.5606694512477734E-3</v>
      </c>
      <c r="R560">
        <v>1.6602898003368E-3</v>
      </c>
      <c r="S560">
        <v>0.26876554276073744</v>
      </c>
      <c r="T560">
        <v>1.3638507695206734</v>
      </c>
      <c r="U560">
        <v>0.21459463497808073</v>
      </c>
      <c r="V560">
        <v>0.24450079506739938</v>
      </c>
      <c r="W560">
        <v>9.9455403013336385E-2</v>
      </c>
      <c r="X560">
        <v>1.6392377351323147E-2</v>
      </c>
      <c r="Y560">
        <v>4.5187615221311817E-3</v>
      </c>
    </row>
    <row r="561" spans="1:25">
      <c r="A561" s="1010"/>
      <c r="B561" s="1351">
        <v>311</v>
      </c>
      <c r="C561" s="1014">
        <v>0.97645388379794407</v>
      </c>
      <c r="D561" s="1014">
        <v>1.0052081277715579</v>
      </c>
      <c r="E561" s="1014">
        <v>0.99821512370875165</v>
      </c>
      <c r="F561" s="1014">
        <v>0.99230339036140647</v>
      </c>
      <c r="G561" s="1014">
        <v>0.99804431450667153</v>
      </c>
      <c r="H561" s="1014">
        <v>1.0021349787594416</v>
      </c>
      <c r="I561" s="1014">
        <v>0.99205326425384643</v>
      </c>
      <c r="K561">
        <v>2.4171065402449305</v>
      </c>
      <c r="L561">
        <v>0</v>
      </c>
      <c r="M561">
        <v>1.6893257115661931E-3</v>
      </c>
      <c r="N561">
        <v>0.15292067733980541</v>
      </c>
      <c r="O561">
        <v>2.1465881704994021E-2</v>
      </c>
      <c r="P561">
        <v>2.8442000099184624E-2</v>
      </c>
      <c r="Q561">
        <v>5.6071134776165543E-3</v>
      </c>
      <c r="R561">
        <v>1.6670745140225636E-3</v>
      </c>
      <c r="S561">
        <v>0.26223920001586659</v>
      </c>
      <c r="T561">
        <v>1.3610433328845777</v>
      </c>
      <c r="U561">
        <v>0.21707864364019386</v>
      </c>
      <c r="V561">
        <v>0.24670804175072908</v>
      </c>
      <c r="W561">
        <v>0.10056519100721148</v>
      </c>
      <c r="X561">
        <v>1.6521482246091693E-2</v>
      </c>
      <c r="Y561">
        <v>4.5372272762035657E-3</v>
      </c>
    </row>
    <row r="562" spans="1:25">
      <c r="A562" s="1010"/>
      <c r="B562" s="1351">
        <v>312</v>
      </c>
      <c r="C562" s="1014">
        <v>1.0264700465368508</v>
      </c>
      <c r="D562" s="1014">
        <v>0.9900622054825905</v>
      </c>
      <c r="E562" s="1014">
        <v>0.97221821959610577</v>
      </c>
      <c r="F562" s="1014">
        <v>1.0165803077122386</v>
      </c>
      <c r="G562" s="1014">
        <v>0.95926991808017736</v>
      </c>
      <c r="H562" s="1014">
        <v>0.99025633850282679</v>
      </c>
      <c r="I562" s="1014">
        <v>1.0011083618579375</v>
      </c>
      <c r="K562">
        <v>2.3977115490575076</v>
      </c>
      <c r="L562">
        <v>0</v>
      </c>
      <c r="M562">
        <v>1.6813418554555426E-3</v>
      </c>
      <c r="N562">
        <v>0.14066684655876549</v>
      </c>
      <c r="O562">
        <v>2.0471439361982032E-2</v>
      </c>
      <c r="P562">
        <v>2.7924294800283491E-2</v>
      </c>
      <c r="Q562">
        <v>5.2083077183817375E-3</v>
      </c>
      <c r="R562">
        <v>1.6589301651832623E-3</v>
      </c>
      <c r="S562">
        <v>0.25246515138265313</v>
      </c>
      <c r="T562">
        <v>1.3937717014039495</v>
      </c>
      <c r="U562">
        <v>0.20641482198221253</v>
      </c>
      <c r="V562">
        <v>0.23706284976317721</v>
      </c>
      <c r="W562">
        <v>9.3964240717527375E-2</v>
      </c>
      <c r="X562">
        <v>1.5269246015401408E-2</v>
      </c>
      <c r="Y562">
        <v>4.5150610434468597E-3</v>
      </c>
    </row>
    <row r="563" spans="1:25">
      <c r="A563" s="1010"/>
      <c r="B563" s="1351">
        <v>313</v>
      </c>
      <c r="C563" s="1014">
        <v>1.0242907727774964</v>
      </c>
      <c r="D563" s="1014">
        <v>0.98649498777482325</v>
      </c>
      <c r="E563" s="1014">
        <v>1.0137297128951159</v>
      </c>
      <c r="F563" s="1014">
        <v>1.033589674793862</v>
      </c>
      <c r="G563" s="1014">
        <v>0.98565895692446059</v>
      </c>
      <c r="H563" s="1014">
        <v>0.99729517849418481</v>
      </c>
      <c r="I563" s="1014">
        <v>0.9916241416657241</v>
      </c>
      <c r="K563">
        <v>2.4390172896513911</v>
      </c>
      <c r="L563">
        <v>0</v>
      </c>
      <c r="M563">
        <v>1.5582798791691852E-3</v>
      </c>
      <c r="N563">
        <v>0.14781478525729413</v>
      </c>
      <c r="O563">
        <v>2.0558238413535653E-2</v>
      </c>
      <c r="P563">
        <v>2.9204808395762224E-2</v>
      </c>
      <c r="Q563">
        <v>5.454149121555521E-3</v>
      </c>
      <c r="R563">
        <v>1.5376551638856067E-3</v>
      </c>
      <c r="S563">
        <v>0.25197220447598023</v>
      </c>
      <c r="T563">
        <v>1.4180188384688874</v>
      </c>
      <c r="U563">
        <v>0.20699236177849129</v>
      </c>
      <c r="V563">
        <v>0.24155419455745106</v>
      </c>
      <c r="W563">
        <v>9.631934112054763E-2</v>
      </c>
      <c r="X563">
        <v>1.6964002308959704E-2</v>
      </c>
      <c r="Y563">
        <v>4.1849904682080743E-3</v>
      </c>
    </row>
    <row r="564" spans="1:25">
      <c r="A564" s="1010"/>
      <c r="B564" s="1351">
        <v>314</v>
      </c>
      <c r="C564" s="1014">
        <v>0.95831473546451684</v>
      </c>
      <c r="D564" s="1014">
        <v>1.0103575486495904</v>
      </c>
      <c r="E564" s="1014">
        <v>0.97446154322612699</v>
      </c>
      <c r="F564" s="1014">
        <v>0.97954888229025117</v>
      </c>
      <c r="G564" s="1014">
        <v>1.0105737213750754</v>
      </c>
      <c r="H564" s="1014">
        <v>1.002986296307439</v>
      </c>
      <c r="I564" s="1014">
        <v>0.98407665433986824</v>
      </c>
      <c r="K564">
        <v>2.4081464458954889</v>
      </c>
      <c r="L564">
        <v>0</v>
      </c>
      <c r="M564">
        <v>1.8075499954005214E-3</v>
      </c>
      <c r="N564">
        <v>0.15228240946195445</v>
      </c>
      <c r="O564">
        <v>2.1831241018161768E-2</v>
      </c>
      <c r="P564">
        <v>2.7822694989674667E-2</v>
      </c>
      <c r="Q564">
        <v>5.5669920255864303E-3</v>
      </c>
      <c r="R564">
        <v>1.7837617977971734E-3</v>
      </c>
      <c r="S564">
        <v>0.26425462339028616</v>
      </c>
      <c r="T564">
        <v>1.3430474200905043</v>
      </c>
      <c r="U564">
        <v>0.22110300421842477</v>
      </c>
      <c r="V564">
        <v>0.25014375385795845</v>
      </c>
      <c r="W564">
        <v>0.10158490952551086</v>
      </c>
      <c r="X564">
        <v>1.5678373918341669E-2</v>
      </c>
      <c r="Y564">
        <v>4.8548115966852955E-3</v>
      </c>
    </row>
    <row r="565" spans="1:25">
      <c r="A565" s="1010"/>
      <c r="B565" s="1351">
        <v>315</v>
      </c>
      <c r="C565" s="1014">
        <v>0.99710358695387624</v>
      </c>
      <c r="D565" s="1014">
        <v>1.0210265917306958</v>
      </c>
      <c r="E565" s="1014">
        <v>1.0057754212132517</v>
      </c>
      <c r="F565" s="1014">
        <v>0.97746176711970834</v>
      </c>
      <c r="G565" s="1014">
        <v>0.99971131702311067</v>
      </c>
      <c r="H565" s="1014">
        <v>1.0051526952283951</v>
      </c>
      <c r="I565" s="1014">
        <v>1.0081791360301451</v>
      </c>
      <c r="K565">
        <v>2.3833984069266161</v>
      </c>
      <c r="L565">
        <v>0</v>
      </c>
      <c r="M565">
        <v>1.6278934134747321E-3</v>
      </c>
      <c r="N565">
        <v>0.15076987731574085</v>
      </c>
      <c r="O565">
        <v>2.0954254839821555E-2</v>
      </c>
      <c r="P565">
        <v>2.8209181319578086E-2</v>
      </c>
      <c r="Q565">
        <v>5.5151788161593943E-3</v>
      </c>
      <c r="R565">
        <v>1.6065157545916277E-3</v>
      </c>
      <c r="S565">
        <v>0.25927781484131412</v>
      </c>
      <c r="T565">
        <v>1.3408464571866754</v>
      </c>
      <c r="U565">
        <v>0.21260893887625182</v>
      </c>
      <c r="V565">
        <v>0.2456424539304094</v>
      </c>
      <c r="W565">
        <v>9.870693081449769E-2</v>
      </c>
      <c r="X565">
        <v>1.6516290348824892E-2</v>
      </c>
      <c r="Y565">
        <v>4.37240629622224E-3</v>
      </c>
    </row>
    <row r="566" spans="1:25">
      <c r="A566" s="1010"/>
      <c r="B566" s="1351">
        <v>316</v>
      </c>
      <c r="C566" s="1014">
        <v>0.9936137956701302</v>
      </c>
      <c r="D566" s="1014">
        <v>1.0219046016362567</v>
      </c>
      <c r="E566" s="1014">
        <v>0.98862282887171149</v>
      </c>
      <c r="F566" s="1014">
        <v>0.98438974113609889</v>
      </c>
      <c r="G566" s="1014">
        <v>0.96832899615743351</v>
      </c>
      <c r="H566" s="1014">
        <v>0.96332039222420174</v>
      </c>
      <c r="I566" s="1014">
        <v>0.99294959124224136</v>
      </c>
      <c r="K566">
        <v>2.3676048103554082</v>
      </c>
      <c r="L566">
        <v>0</v>
      </c>
      <c r="M566">
        <v>1.6219988160512929E-3</v>
      </c>
      <c r="N566">
        <v>0.14255341189920978</v>
      </c>
      <c r="O566">
        <v>2.1012477336921801E-2</v>
      </c>
      <c r="P566">
        <v>2.7822099254632679E-2</v>
      </c>
      <c r="Q566">
        <v>5.4358205873418393E-3</v>
      </c>
      <c r="R566">
        <v>1.5997735996926671E-3</v>
      </c>
      <c r="S566">
        <v>0.25247169474546616</v>
      </c>
      <c r="T566">
        <v>1.3499850185222049</v>
      </c>
      <c r="U566">
        <v>0.21329668632972718</v>
      </c>
      <c r="V566">
        <v>0.24056284675095224</v>
      </c>
      <c r="W566">
        <v>9.4286164905514114E-2</v>
      </c>
      <c r="X566">
        <v>1.5846758866655611E-2</v>
      </c>
      <c r="Y566">
        <v>4.3540563731380346E-3</v>
      </c>
    </row>
    <row r="567" spans="1:25">
      <c r="A567" s="1010"/>
      <c r="B567" s="1351">
        <v>317</v>
      </c>
      <c r="C567" s="1014">
        <v>0.99705137144575517</v>
      </c>
      <c r="D567" s="1014">
        <v>0.97779479281141179</v>
      </c>
      <c r="E567" s="1014">
        <v>0.97917344827425512</v>
      </c>
      <c r="F567" s="1014">
        <v>0.99062168393117422</v>
      </c>
      <c r="G567" s="1014">
        <v>1.0001952117267179</v>
      </c>
      <c r="H567" s="1014">
        <v>0.97189119631894838</v>
      </c>
      <c r="I567" s="1014">
        <v>1.0196617367929375</v>
      </c>
      <c r="K567">
        <v>2.395054373983049</v>
      </c>
      <c r="L567">
        <v>0</v>
      </c>
      <c r="M567">
        <v>1.679207454541335E-3</v>
      </c>
      <c r="N567">
        <v>0.14344038908905923</v>
      </c>
      <c r="O567">
        <v>2.1137985649154378E-2</v>
      </c>
      <c r="P567">
        <v>2.7962788374104264E-2</v>
      </c>
      <c r="Q567">
        <v>5.4161336527553637E-3</v>
      </c>
      <c r="R567">
        <v>1.6564012547929253E-3</v>
      </c>
      <c r="S567">
        <v>0.26485323492150248</v>
      </c>
      <c r="T567">
        <v>1.3583296724289105</v>
      </c>
      <c r="U567">
        <v>0.21252898216204968</v>
      </c>
      <c r="V567">
        <v>0.24582436507298452</v>
      </c>
      <c r="W567">
        <v>9.5414011129241028E-2</v>
      </c>
      <c r="X567">
        <v>1.566143952001393E-2</v>
      </c>
      <c r="Y567">
        <v>4.5081781830194501E-3</v>
      </c>
    </row>
    <row r="568" spans="1:25">
      <c r="A568" s="1010"/>
      <c r="B568" s="1351">
        <v>318</v>
      </c>
      <c r="C568" s="1014">
        <v>0.97563503393807849</v>
      </c>
      <c r="D568" s="1014">
        <v>1.0152331391830174</v>
      </c>
      <c r="E568" s="1014">
        <v>0.99389944954969567</v>
      </c>
      <c r="F568" s="1014">
        <v>1.0091334125088598</v>
      </c>
      <c r="G568" s="1014">
        <v>0.99222162838464367</v>
      </c>
      <c r="H568" s="1014">
        <v>0.98170271687985866</v>
      </c>
      <c r="I568" s="1014">
        <v>0.99876956443683529</v>
      </c>
      <c r="K568">
        <v>2.4318649351064661</v>
      </c>
      <c r="L568">
        <v>0</v>
      </c>
      <c r="M568">
        <v>1.6675113221536965E-3</v>
      </c>
      <c r="N568">
        <v>0.14894870222413331</v>
      </c>
      <c r="O568">
        <v>2.1434121187959104E-2</v>
      </c>
      <c r="P568">
        <v>2.8637146591714437E-2</v>
      </c>
      <c r="Q568">
        <v>5.5745292228349657E-3</v>
      </c>
      <c r="R568">
        <v>1.6450903201814904E-3</v>
      </c>
      <c r="S568">
        <v>0.26112122044377578</v>
      </c>
      <c r="T568">
        <v>1.384033273366754</v>
      </c>
      <c r="U568">
        <v>0.21724572660722402</v>
      </c>
      <c r="V568">
        <v>0.24578253141020262</v>
      </c>
      <c r="W568">
        <v>9.8205459908853626E-2</v>
      </c>
      <c r="X568">
        <v>1.6427251597327362E-2</v>
      </c>
      <c r="Y568">
        <v>4.4773935476557173E-3</v>
      </c>
    </row>
    <row r="569" spans="1:25">
      <c r="A569" s="1010"/>
      <c r="B569" s="1351">
        <v>319</v>
      </c>
      <c r="C569" s="1014">
        <v>1.0333933186685138</v>
      </c>
      <c r="D569" s="1014">
        <v>1.0219678586521364</v>
      </c>
      <c r="E569" s="1014">
        <v>1.0177087565229259</v>
      </c>
      <c r="F569" s="1014">
        <v>0.98988631490754797</v>
      </c>
      <c r="G569" s="1014">
        <v>1.0224651503133015</v>
      </c>
      <c r="H569" s="1014">
        <v>1.0427361466348328</v>
      </c>
      <c r="I569" s="1014">
        <v>0.99051627771401529</v>
      </c>
      <c r="K569">
        <v>2.3864563333488777</v>
      </c>
      <c r="L569">
        <v>0</v>
      </c>
      <c r="M569">
        <v>1.5892244872241542E-3</v>
      </c>
      <c r="N569">
        <v>0.15266037126426243</v>
      </c>
      <c r="O569">
        <v>2.0221946046417385E-2</v>
      </c>
      <c r="P569">
        <v>2.8473164754564247E-2</v>
      </c>
      <c r="Q569">
        <v>5.3862445734488432E-3</v>
      </c>
      <c r="R569">
        <v>1.56910684696582E-3</v>
      </c>
      <c r="S569">
        <v>0.24882151068613512</v>
      </c>
      <c r="T569">
        <v>1.3581460819198594</v>
      </c>
      <c r="U569">
        <v>0.20518228297358379</v>
      </c>
      <c r="V569">
        <v>0.24728596804599004</v>
      </c>
      <c r="W569">
        <v>9.9244743417442133E-2</v>
      </c>
      <c r="X569">
        <v>1.6783545725922069E-2</v>
      </c>
      <c r="Y569">
        <v>4.2705915815078746E-3</v>
      </c>
    </row>
    <row r="570" spans="1:25">
      <c r="A570" s="1010"/>
      <c r="B570" s="1351">
        <v>320</v>
      </c>
      <c r="C570" s="1014">
        <v>1.0258942638931772</v>
      </c>
      <c r="D570" s="1014">
        <v>0.96772195610728695</v>
      </c>
      <c r="E570" s="1014">
        <v>0.99915039438737074</v>
      </c>
      <c r="F570" s="1014">
        <v>1.0074626033538083</v>
      </c>
      <c r="G570" s="1014">
        <v>0.98260182930514972</v>
      </c>
      <c r="H570" s="1014">
        <v>1.0097252184139656</v>
      </c>
      <c r="I570" s="1014">
        <v>0.98395159901876195</v>
      </c>
      <c r="K570">
        <v>2.4027784290609158</v>
      </c>
      <c r="L570">
        <v>0</v>
      </c>
      <c r="M570">
        <v>1.6305282272931275E-3</v>
      </c>
      <c r="N570">
        <v>0.14803077056698929</v>
      </c>
      <c r="O570">
        <v>2.0603542517919279E-2</v>
      </c>
      <c r="P570">
        <v>2.8398583128131878E-2</v>
      </c>
      <c r="Q570">
        <v>5.3869270760076669E-3</v>
      </c>
      <c r="R570">
        <v>1.6092129328186789E-3</v>
      </c>
      <c r="S570">
        <v>0.2529661770278237</v>
      </c>
      <c r="T570">
        <v>1.381856083302061</v>
      </c>
      <c r="U570">
        <v>0.20662020292493841</v>
      </c>
      <c r="V570">
        <v>0.24098814758833573</v>
      </c>
      <c r="W570">
        <v>9.7295287467974709E-2</v>
      </c>
      <c r="X570">
        <v>1.6274275628974589E-2</v>
      </c>
      <c r="Y570">
        <v>4.3797471262317089E-3</v>
      </c>
    </row>
    <row r="571" spans="1:25">
      <c r="A571" s="1010"/>
      <c r="B571" s="1351">
        <v>321</v>
      </c>
      <c r="C571" s="1014">
        <v>1.0007144527254188</v>
      </c>
      <c r="D571" s="1014">
        <v>1.0341556923994089</v>
      </c>
      <c r="E571" s="1014">
        <v>1.0193473254073542</v>
      </c>
      <c r="F571" s="1014">
        <v>1.006813371065751</v>
      </c>
      <c r="G571" s="1014">
        <v>1.0281320552271416</v>
      </c>
      <c r="H571" s="1014">
        <v>1.003045488365641</v>
      </c>
      <c r="I571" s="1014">
        <v>0.99777256317907659</v>
      </c>
      <c r="K571">
        <v>2.4240340165718828</v>
      </c>
      <c r="L571">
        <v>0</v>
      </c>
      <c r="M571">
        <v>1.5691840984412755E-3</v>
      </c>
      <c r="N571">
        <v>0.15140548786669111</v>
      </c>
      <c r="O571">
        <v>2.0828992748320344E-2</v>
      </c>
      <c r="P571">
        <v>2.9034349430833457E-2</v>
      </c>
      <c r="Q571">
        <v>5.5569874852695548E-3</v>
      </c>
      <c r="R571">
        <v>1.5485341254454525E-3</v>
      </c>
      <c r="S571">
        <v>0.25398949902967344</v>
      </c>
      <c r="T571">
        <v>1.381406191344358</v>
      </c>
      <c r="U571">
        <v>0.21188823309773586</v>
      </c>
      <c r="V571">
        <v>0.25021948266421756</v>
      </c>
      <c r="W571">
        <v>9.8334518922366651E-2</v>
      </c>
      <c r="X571">
        <v>1.7176324540088359E-2</v>
      </c>
      <c r="Y571">
        <v>4.2145994153252623E-3</v>
      </c>
    </row>
    <row r="572" spans="1:25">
      <c r="A572" s="1010"/>
      <c r="B572" s="1351">
        <v>322</v>
      </c>
      <c r="C572" s="1014">
        <v>0.95554162696481781</v>
      </c>
      <c r="D572" s="1014">
        <v>1.0256965914307483</v>
      </c>
      <c r="E572" s="1014">
        <v>1.0075592499577561</v>
      </c>
      <c r="F572" s="1014">
        <v>0.99325546638314477</v>
      </c>
      <c r="G572" s="1014">
        <v>1.0186846711675142</v>
      </c>
      <c r="H572" s="1014">
        <v>0.98705803661082214</v>
      </c>
      <c r="I572" s="1014">
        <v>1.0008847296347458</v>
      </c>
      <c r="K572">
        <v>2.4360076050458139</v>
      </c>
      <c r="L572">
        <v>0</v>
      </c>
      <c r="M572">
        <v>1.6602849694052641E-3</v>
      </c>
      <c r="N572">
        <v>0.15456270439502603</v>
      </c>
      <c r="O572">
        <v>2.1844967368300026E-2</v>
      </c>
      <c r="P572">
        <v>2.8850779728752572E-2</v>
      </c>
      <c r="Q572">
        <v>5.759895849347726E-3</v>
      </c>
      <c r="R572">
        <v>1.6380822502376376E-3</v>
      </c>
      <c r="S572">
        <v>0.26640028179574871</v>
      </c>
      <c r="T572">
        <v>1.3625500506982711</v>
      </c>
      <c r="U572">
        <v>0.22186290314191531</v>
      </c>
      <c r="V572">
        <v>0.25159760671606601</v>
      </c>
      <c r="W572">
        <v>0.10108337806961534</v>
      </c>
      <c r="X572">
        <v>1.7058920110457579E-2</v>
      </c>
      <c r="Y572">
        <v>4.4583198914781852E-3</v>
      </c>
    </row>
    <row r="573" spans="1:25">
      <c r="A573" s="1010"/>
      <c r="B573" s="1351">
        <v>323</v>
      </c>
      <c r="C573" s="1014">
        <v>1.0303846980243239</v>
      </c>
      <c r="D573" s="1014">
        <v>1.0155121563750458</v>
      </c>
      <c r="E573" s="1014">
        <v>1.0354904171412465</v>
      </c>
      <c r="F573" s="1014">
        <v>0.98208923930992442</v>
      </c>
      <c r="G573" s="1014">
        <v>0.96861527277597836</v>
      </c>
      <c r="H573" s="1014">
        <v>1.0307126427551412</v>
      </c>
      <c r="I573" s="1014">
        <v>1.007893833698474</v>
      </c>
      <c r="K573">
        <v>2.374899743204566</v>
      </c>
      <c r="L573">
        <v>0</v>
      </c>
      <c r="M573">
        <v>1.5203248136214994E-3</v>
      </c>
      <c r="N573">
        <v>0.15406297066815389</v>
      </c>
      <c r="O573">
        <v>2.0320746744920768E-2</v>
      </c>
      <c r="P573">
        <v>2.865246251425585E-2</v>
      </c>
      <c r="Q573">
        <v>5.5087399749463098E-3</v>
      </c>
      <c r="R573">
        <v>1.500854856322097E-3</v>
      </c>
      <c r="S573">
        <v>0.25386866758855414</v>
      </c>
      <c r="T573">
        <v>1.3478279779864242</v>
      </c>
      <c r="U573">
        <v>0.20584062157374536</v>
      </c>
      <c r="V573">
        <v>0.23821098176261535</v>
      </c>
      <c r="W573">
        <v>9.9125349127055881E-2</v>
      </c>
      <c r="X573">
        <v>1.7415863058953426E-2</v>
      </c>
      <c r="Y573">
        <v>4.0848321622383305E-3</v>
      </c>
    </row>
    <row r="574" spans="1:25">
      <c r="A574" s="1010"/>
      <c r="B574" s="1351">
        <v>324</v>
      </c>
      <c r="C574" s="1014">
        <v>0.97286765359929828</v>
      </c>
      <c r="D574" s="1014">
        <v>0.98284098156269506</v>
      </c>
      <c r="E574" s="1014">
        <v>1.0085521239155788</v>
      </c>
      <c r="F574" s="1014">
        <v>0.97746456922059222</v>
      </c>
      <c r="G574" s="1014">
        <v>1.009786253355879</v>
      </c>
      <c r="H574" s="1014">
        <v>1.0004246872649394</v>
      </c>
      <c r="I574" s="1014">
        <v>0.98202976764665295</v>
      </c>
      <c r="K574">
        <v>2.4054738233515165</v>
      </c>
      <c r="L574">
        <v>0</v>
      </c>
      <c r="M574">
        <v>1.6649549473517578E-3</v>
      </c>
      <c r="N574">
        <v>0.15549097135998582</v>
      </c>
      <c r="O574">
        <v>2.1659017002628327E-2</v>
      </c>
      <c r="P574">
        <v>2.8443058932393333E-2</v>
      </c>
      <c r="Q574">
        <v>5.7165430626389454E-3</v>
      </c>
      <c r="R574">
        <v>1.6429872617449075E-3</v>
      </c>
      <c r="S574">
        <v>0.26344152378279123</v>
      </c>
      <c r="T574">
        <v>1.3409090869319338</v>
      </c>
      <c r="U574">
        <v>0.21791518791091322</v>
      </c>
      <c r="V574">
        <v>0.24891176183211061</v>
      </c>
      <c r="W574">
        <v>0.10163084993423974</v>
      </c>
      <c r="X574">
        <v>1.6906120571624127E-2</v>
      </c>
      <c r="Y574">
        <v>4.4716697158643653E-3</v>
      </c>
    </row>
    <row r="575" spans="1:25">
      <c r="A575" s="1010"/>
      <c r="B575" s="1351">
        <v>325</v>
      </c>
      <c r="C575" s="1014">
        <v>1.0022998000251713</v>
      </c>
      <c r="D575" s="1014">
        <v>1.0005066120065507</v>
      </c>
      <c r="E575" s="1014">
        <v>1.0094038760417394</v>
      </c>
      <c r="F575" s="1014">
        <v>1.0368752301860575</v>
      </c>
      <c r="G575" s="1014">
        <v>1.0059778258947325</v>
      </c>
      <c r="H575" s="1014">
        <v>0.96470292903081645</v>
      </c>
      <c r="I575" s="1014">
        <v>0.97844020210623806</v>
      </c>
      <c r="K575">
        <v>2.4464288746104672</v>
      </c>
      <c r="L575">
        <v>0</v>
      </c>
      <c r="M575">
        <v>1.5495206055237483E-3</v>
      </c>
      <c r="N575">
        <v>0.14501129155325132</v>
      </c>
      <c r="O575">
        <v>2.0941341482015593E-2</v>
      </c>
      <c r="P575">
        <v>2.9267424316868434E-2</v>
      </c>
      <c r="Q575">
        <v>5.5318350561173986E-3</v>
      </c>
      <c r="R575">
        <v>1.5283189400826351E-3</v>
      </c>
      <c r="S575">
        <v>0.24954336543443861</v>
      </c>
      <c r="T575">
        <v>1.4224291766237713</v>
      </c>
      <c r="U575">
        <v>0.21151910144847641</v>
      </c>
      <c r="V575">
        <v>0.24637497159602717</v>
      </c>
      <c r="W575">
        <v>9.4733568731092704E-2</v>
      </c>
      <c r="X575">
        <v>1.6938419689147503E-2</v>
      </c>
      <c r="Y575">
        <v>4.1595803447017354E-3</v>
      </c>
    </row>
    <row r="576" spans="1:25">
      <c r="A576" s="1010"/>
      <c r="B576" s="1351">
        <v>326</v>
      </c>
      <c r="C576" s="1014">
        <v>1.0058841387818223</v>
      </c>
      <c r="D576" s="1014">
        <v>1.0389810642564192</v>
      </c>
      <c r="E576" s="1014">
        <v>0.99988306882985245</v>
      </c>
      <c r="F576" s="1014">
        <v>0.98798634723864076</v>
      </c>
      <c r="G576" s="1014">
        <v>1.0052023247283812</v>
      </c>
      <c r="H576" s="1014">
        <v>1.0157800349458475</v>
      </c>
      <c r="I576" s="1014">
        <v>0.97860138996120249</v>
      </c>
      <c r="K576">
        <v>2.3828828308106274</v>
      </c>
      <c r="L576">
        <v>0</v>
      </c>
      <c r="M576">
        <v>1.6444887118695504E-3</v>
      </c>
      <c r="N576">
        <v>0.14964087448184848</v>
      </c>
      <c r="O576">
        <v>2.0687978389665532E-2</v>
      </c>
      <c r="P576">
        <v>2.8109324964845382E-2</v>
      </c>
      <c r="Q576">
        <v>5.4129894687477507E-3</v>
      </c>
      <c r="R576">
        <v>1.6231190602267189E-3</v>
      </c>
      <c r="S576">
        <v>0.24815035501523811</v>
      </c>
      <c r="T576">
        <v>1.3551577110846125</v>
      </c>
      <c r="U576">
        <v>0.21073300301243109</v>
      </c>
      <c r="V576">
        <v>0.24605496043847871</v>
      </c>
      <c r="W576">
        <v>9.8310714505628088E-2</v>
      </c>
      <c r="X576">
        <v>1.62286940798896E-2</v>
      </c>
      <c r="Y576">
        <v>4.4175950208827242E-3</v>
      </c>
    </row>
    <row r="577" spans="1:25">
      <c r="A577" s="1010"/>
      <c r="B577" s="1351">
        <v>327</v>
      </c>
      <c r="C577" s="1014">
        <v>1.0303748055809987</v>
      </c>
      <c r="D577" s="1014">
        <v>1.0178731176861786</v>
      </c>
      <c r="E577" s="1014">
        <v>1.0285697245511147</v>
      </c>
      <c r="F577" s="1014">
        <v>0.99055930108810009</v>
      </c>
      <c r="G577" s="1014">
        <v>1.0414261848765543</v>
      </c>
      <c r="H577" s="1014">
        <v>1.0068340734396353</v>
      </c>
      <c r="I577" s="1014">
        <v>0.97261480857351801</v>
      </c>
      <c r="K577">
        <v>2.3800923888401835</v>
      </c>
      <c r="L577">
        <v>0</v>
      </c>
      <c r="M577">
        <v>1.5059269776936893E-3</v>
      </c>
      <c r="N577">
        <v>0.14940765567711167</v>
      </c>
      <c r="O577">
        <v>2.0306101094537631E-2</v>
      </c>
      <c r="P577">
        <v>2.8687052192748544E-2</v>
      </c>
      <c r="Q577">
        <v>5.4672737641363886E-3</v>
      </c>
      <c r="R577">
        <v>1.4861840194370132E-3</v>
      </c>
      <c r="S577">
        <v>0.24273758301582216</v>
      </c>
      <c r="T577">
        <v>1.3593031752551759</v>
      </c>
      <c r="U577">
        <v>0.20581952809756993</v>
      </c>
      <c r="V577">
        <v>0.25065887199472886</v>
      </c>
      <c r="W577">
        <v>9.6516425277713577E-2</v>
      </c>
      <c r="X577">
        <v>1.7163562448420169E-2</v>
      </c>
      <c r="Y577">
        <v>4.044902980477212E-3</v>
      </c>
    </row>
    <row r="578" spans="1:25">
      <c r="A578" s="1010"/>
      <c r="B578" s="1351">
        <v>328</v>
      </c>
      <c r="C578" s="1014">
        <v>1.0088536894467273</v>
      </c>
      <c r="D578" s="1014">
        <v>0.98771591513094303</v>
      </c>
      <c r="E578" s="1014">
        <v>0.98163347232677489</v>
      </c>
      <c r="F578" s="1014">
        <v>0.96439581584827261</v>
      </c>
      <c r="G578" s="1014">
        <v>0.9841393354616027</v>
      </c>
      <c r="H578" s="1014">
        <v>0.97289430777560248</v>
      </c>
      <c r="I578" s="1014">
        <v>0.97882953696938768</v>
      </c>
      <c r="K578">
        <v>2.3343691174711729</v>
      </c>
      <c r="L578">
        <v>0</v>
      </c>
      <c r="M578">
        <v>1.649179210251845E-3</v>
      </c>
      <c r="N578">
        <v>0.14192979026818017</v>
      </c>
      <c r="O578">
        <v>2.0845969439921428E-2</v>
      </c>
      <c r="P578">
        <v>2.7252839299801213E-2</v>
      </c>
      <c r="Q578">
        <v>5.3546799883893784E-3</v>
      </c>
      <c r="R578">
        <v>1.6268039339267129E-3</v>
      </c>
      <c r="S578">
        <v>0.25009578056794884</v>
      </c>
      <c r="T578">
        <v>1.322420152006385</v>
      </c>
      <c r="U578">
        <v>0.21005096955169969</v>
      </c>
      <c r="V578">
        <v>0.24234020343149237</v>
      </c>
      <c r="W578">
        <v>9.4269099051394661E-2</v>
      </c>
      <c r="X578">
        <v>1.540438510991048E-2</v>
      </c>
      <c r="Y578">
        <v>4.4276240323758214E-3</v>
      </c>
    </row>
    <row r="579" spans="1:25">
      <c r="A579" s="1010"/>
      <c r="B579" s="1351">
        <v>329</v>
      </c>
      <c r="C579" s="1014">
        <v>1.0276230624186771</v>
      </c>
      <c r="D579" s="1014">
        <v>0.98656963956619748</v>
      </c>
      <c r="E579" s="1014">
        <v>1.0116885142214906</v>
      </c>
      <c r="F579" s="1014">
        <v>1.0157186435385985</v>
      </c>
      <c r="G579" s="1014">
        <v>0.97638553888694501</v>
      </c>
      <c r="H579" s="1014">
        <v>0.98891879811847883</v>
      </c>
      <c r="I579" s="1014">
        <v>0.99551286754005353</v>
      </c>
      <c r="K579">
        <v>2.4074426242808324</v>
      </c>
      <c r="L579">
        <v>0</v>
      </c>
      <c r="M579">
        <v>1.5467032406501523E-3</v>
      </c>
      <c r="N579">
        <v>0.1457989217033939</v>
      </c>
      <c r="O579">
        <v>2.0489907950470978E-2</v>
      </c>
      <c r="P579">
        <v>2.8781493345558084E-2</v>
      </c>
      <c r="Q579">
        <v>5.4249567396038667E-3</v>
      </c>
      <c r="R579">
        <v>1.5260583502563825E-3</v>
      </c>
      <c r="S579">
        <v>0.25142157287546185</v>
      </c>
      <c r="T579">
        <v>1.3934559734695147</v>
      </c>
      <c r="U579">
        <v>0.20631434131364254</v>
      </c>
      <c r="V579">
        <v>0.23978064254249717</v>
      </c>
      <c r="W579">
        <v>9.5119938544397098E-2</v>
      </c>
      <c r="X579">
        <v>1.6722092922290193E-2</v>
      </c>
      <c r="Y579">
        <v>4.1534277643979134E-3</v>
      </c>
    </row>
    <row r="580" spans="1:25">
      <c r="A580" s="1010"/>
      <c r="B580" s="1351">
        <v>330</v>
      </c>
      <c r="C580" s="1014">
        <v>1.0158714653419234</v>
      </c>
      <c r="D580" s="1014">
        <v>0.9912874922150744</v>
      </c>
      <c r="E580" s="1014">
        <v>0.98015759329474184</v>
      </c>
      <c r="F580" s="1014">
        <v>1.0140430910498937</v>
      </c>
      <c r="G580" s="1014">
        <v>1.0401195961336342</v>
      </c>
      <c r="H580" s="1014">
        <v>1.0004666213248097</v>
      </c>
      <c r="I580" s="1014">
        <v>0.98692780604544084</v>
      </c>
      <c r="K580">
        <v>2.4180943343428116</v>
      </c>
      <c r="L580">
        <v>0</v>
      </c>
      <c r="M580">
        <v>1.6880096341868283E-3</v>
      </c>
      <c r="N580">
        <v>0.14467916833968852</v>
      </c>
      <c r="O580">
        <v>2.0684567014674794E-2</v>
      </c>
      <c r="P580">
        <v>2.8269242872878613E-2</v>
      </c>
      <c r="Q580">
        <v>5.3052604154299561E-3</v>
      </c>
      <c r="R580">
        <v>1.665738694817194E-3</v>
      </c>
      <c r="S580">
        <v>0.25223710435391167</v>
      </c>
      <c r="T580">
        <v>1.3904663447246663</v>
      </c>
      <c r="U580">
        <v>0.20859495852159826</v>
      </c>
      <c r="V580">
        <v>0.25148355980714288</v>
      </c>
      <c r="W580">
        <v>9.6180837596787999E-2</v>
      </c>
      <c r="X580">
        <v>1.5681970018719908E-2</v>
      </c>
      <c r="Y580">
        <v>4.5335916166792337E-3</v>
      </c>
    </row>
    <row r="581" spans="1:25">
      <c r="A581" s="1010"/>
      <c r="B581" s="1351">
        <v>331</v>
      </c>
      <c r="C581" s="1014">
        <v>0.98120467395667088</v>
      </c>
      <c r="D581" s="1014">
        <v>1.0124132903232725</v>
      </c>
      <c r="E581" s="1014">
        <v>0.95953077140459397</v>
      </c>
      <c r="F581" s="1014">
        <v>1.0377017937708617</v>
      </c>
      <c r="G581" s="1014">
        <v>1.0039732740797875</v>
      </c>
      <c r="H581" s="1014">
        <v>0.9883238363909862</v>
      </c>
      <c r="I581" s="1014">
        <v>1.020568669712018</v>
      </c>
      <c r="K581">
        <v>2.468648603753699</v>
      </c>
      <c r="L581">
        <v>0</v>
      </c>
      <c r="M581">
        <v>1.7932014993611678E-3</v>
      </c>
      <c r="N581">
        <v>0.14436580948037434</v>
      </c>
      <c r="O581">
        <v>2.1302403225079512E-2</v>
      </c>
      <c r="P581">
        <v>2.8475683875956861E-2</v>
      </c>
      <c r="Q581">
        <v>5.3497331921552298E-3</v>
      </c>
      <c r="R581">
        <v>1.7692520219183003E-3</v>
      </c>
      <c r="S581">
        <v>0.26597140281177267</v>
      </c>
      <c r="T581">
        <v>1.4224473762580494</v>
      </c>
      <c r="U581">
        <v>0.21589329028083945</v>
      </c>
      <c r="V581">
        <v>0.24755287732072156</v>
      </c>
      <c r="W581">
        <v>9.7185138690980347E-2</v>
      </c>
      <c r="X581">
        <v>1.5313517325318774E-2</v>
      </c>
      <c r="Y581">
        <v>4.8153207698893368E-3</v>
      </c>
    </row>
    <row r="582" spans="1:25">
      <c r="A582" s="1010"/>
      <c r="B582" s="1351">
        <v>332</v>
      </c>
      <c r="C582" s="1014">
        <v>1.026085051277162</v>
      </c>
      <c r="D582" s="1014">
        <v>1.008771376815047</v>
      </c>
      <c r="E582" s="1014">
        <v>1.0076456667201155</v>
      </c>
      <c r="F582" s="1014">
        <v>0.96873205465254741</v>
      </c>
      <c r="G582" s="1014">
        <v>0.99640953844660562</v>
      </c>
      <c r="H582" s="1014">
        <v>0.98891457323464194</v>
      </c>
      <c r="I582" s="1014">
        <v>0.98928261177070431</v>
      </c>
      <c r="K582">
        <v>2.3396520073301179</v>
      </c>
      <c r="L582">
        <v>0</v>
      </c>
      <c r="M582">
        <v>1.5544501165310029E-3</v>
      </c>
      <c r="N582">
        <v>0.1447515544695365</v>
      </c>
      <c r="O582">
        <v>2.0417783505121998E-2</v>
      </c>
      <c r="P582">
        <v>2.7807179977056166E-2</v>
      </c>
      <c r="Q582">
        <v>5.3840538047475904E-3</v>
      </c>
      <c r="R582">
        <v>1.5337017347228853E-3</v>
      </c>
      <c r="S582">
        <v>0.24740989191324597</v>
      </c>
      <c r="T582">
        <v>1.3289105934740597</v>
      </c>
      <c r="U582">
        <v>0.2066101001166098</v>
      </c>
      <c r="V582">
        <v>0.24330444856375627</v>
      </c>
      <c r="W582">
        <v>9.4662093019253421E-2</v>
      </c>
      <c r="X582">
        <v>1.624082633126548E-2</v>
      </c>
      <c r="Y582">
        <v>4.1742305372747205E-3</v>
      </c>
    </row>
    <row r="583" spans="1:25">
      <c r="A583" s="1010"/>
      <c r="B583" s="1351">
        <v>333</v>
      </c>
      <c r="C583" s="1014">
        <v>1.0380736084890771</v>
      </c>
      <c r="D583" s="1014">
        <v>0.99246465915836346</v>
      </c>
      <c r="E583" s="1014">
        <v>0.99602134844573953</v>
      </c>
      <c r="F583" s="1014">
        <v>1.0119285166549195</v>
      </c>
      <c r="G583" s="1014">
        <v>1.0326242771133252</v>
      </c>
      <c r="H583" s="1014">
        <v>1.0024474152351015</v>
      </c>
      <c r="I583" s="1014">
        <v>1.0055595669720356</v>
      </c>
      <c r="K583">
        <v>2.4057441550651397</v>
      </c>
      <c r="L583">
        <v>0</v>
      </c>
      <c r="M583">
        <v>1.6012780998903089E-3</v>
      </c>
      <c r="N583">
        <v>0.14399331691191961</v>
      </c>
      <c r="O583">
        <v>2.0247024381133301E-2</v>
      </c>
      <c r="P583">
        <v>2.8470184128233385E-2</v>
      </c>
      <c r="Q583">
        <v>5.2770670378519194E-3</v>
      </c>
      <c r="R583">
        <v>1.5801932078324391E-3</v>
      </c>
      <c r="S583">
        <v>0.2516419962970084</v>
      </c>
      <c r="T583">
        <v>1.3879131705653409</v>
      </c>
      <c r="U583">
        <v>0.2041857027289706</v>
      </c>
      <c r="V583">
        <v>0.24882902829690989</v>
      </c>
      <c r="W583">
        <v>9.4818123263294862E-2</v>
      </c>
      <c r="X583">
        <v>1.6088861345363227E-2</v>
      </c>
      <c r="Y583">
        <v>4.3007650011689337E-3</v>
      </c>
    </row>
    <row r="584" spans="1:25">
      <c r="A584" s="1010"/>
      <c r="B584" s="1351">
        <v>334</v>
      </c>
      <c r="C584" s="1014">
        <v>1.0031852980058071</v>
      </c>
      <c r="D584" s="1014">
        <v>0.97921209009130461</v>
      </c>
      <c r="E584" s="1014">
        <v>0.9856720697219975</v>
      </c>
      <c r="F584" s="1014">
        <v>1.0381150934492012</v>
      </c>
      <c r="G584" s="1014">
        <v>0.99159082236396401</v>
      </c>
      <c r="H584" s="1014">
        <v>1.0096429656548862</v>
      </c>
      <c r="I584" s="1014">
        <v>0.98576737674992632</v>
      </c>
      <c r="K584">
        <v>2.4601073533327855</v>
      </c>
      <c r="L584">
        <v>0</v>
      </c>
      <c r="M584">
        <v>1.7100717021414648E-3</v>
      </c>
      <c r="N584">
        <v>0.14905371127649414</v>
      </c>
      <c r="O584">
        <v>2.1006352060308514E-2</v>
      </c>
      <c r="P584">
        <v>2.8840247375103944E-2</v>
      </c>
      <c r="Q584">
        <v>5.4180267940769104E-3</v>
      </c>
      <c r="R584">
        <v>1.6877147439315929E-3</v>
      </c>
      <c r="S584">
        <v>0.25751811720807438</v>
      </c>
      <c r="T584">
        <v>1.423597502475791</v>
      </c>
      <c r="U584">
        <v>0.21125156518112431</v>
      </c>
      <c r="V584">
        <v>0.24394814867374606</v>
      </c>
      <c r="W584">
        <v>9.8760340681197961E-2</v>
      </c>
      <c r="X584">
        <v>1.6142295387108103E-2</v>
      </c>
      <c r="Y584">
        <v>4.5934031779659825E-3</v>
      </c>
    </row>
    <row r="585" spans="1:25">
      <c r="A585" s="1010"/>
      <c r="B585" s="1351">
        <v>335</v>
      </c>
      <c r="C585" s="1014">
        <v>0.98926580414962739</v>
      </c>
      <c r="D585" s="1014">
        <v>0.99998367860899373</v>
      </c>
      <c r="E585" s="1014">
        <v>0.99381584939703582</v>
      </c>
      <c r="F585" s="1014">
        <v>0.98579446715832175</v>
      </c>
      <c r="G585" s="1014">
        <v>1.0080778308559264</v>
      </c>
      <c r="H585" s="1014">
        <v>0.97069119174294083</v>
      </c>
      <c r="I585" s="1014">
        <v>0.96636146693457692</v>
      </c>
      <c r="K585">
        <v>2.3810583736642306</v>
      </c>
      <c r="L585">
        <v>0</v>
      </c>
      <c r="M585">
        <v>1.6317948165954972E-3</v>
      </c>
      <c r="N585">
        <v>0.14569900633067714</v>
      </c>
      <c r="O585">
        <v>2.1209232678239695E-2</v>
      </c>
      <c r="P585">
        <v>2.8035641396607788E-2</v>
      </c>
      <c r="Q585">
        <v>5.515575727045227E-3</v>
      </c>
      <c r="R585">
        <v>1.6096051550080976E-3</v>
      </c>
      <c r="S585">
        <v>0.2501502237165778</v>
      </c>
      <c r="T585">
        <v>1.352021972372931</v>
      </c>
      <c r="U585">
        <v>0.21425208015334909</v>
      </c>
      <c r="V585">
        <v>0.24760999404113146</v>
      </c>
      <c r="W585">
        <v>9.6067653733436884E-2</v>
      </c>
      <c r="X585">
        <v>1.6138368550082924E-2</v>
      </c>
      <c r="Y585">
        <v>4.380814625735298E-3</v>
      </c>
    </row>
    <row r="586" spans="1:25">
      <c r="A586" s="1010"/>
      <c r="B586" s="1351">
        <v>336</v>
      </c>
      <c r="C586" s="1014">
        <v>1.0258025159661408</v>
      </c>
      <c r="D586" s="1014">
        <v>0.97517368572585927</v>
      </c>
      <c r="E586" s="1014">
        <v>1.0363365704156795</v>
      </c>
      <c r="F586" s="1014">
        <v>1.0230492135491489</v>
      </c>
      <c r="G586" s="1014">
        <v>0.99177343364025339</v>
      </c>
      <c r="H586" s="1014">
        <v>0.99992965713350779</v>
      </c>
      <c r="I586" s="1014">
        <v>1.0038235421002522</v>
      </c>
      <c r="K586">
        <v>2.4363586955741821</v>
      </c>
      <c r="L586">
        <v>0</v>
      </c>
      <c r="M586">
        <v>1.4921419731741394E-3</v>
      </c>
      <c r="N586">
        <v>0.15153252839627082</v>
      </c>
      <c r="O586">
        <v>2.0594899090500458E-2</v>
      </c>
      <c r="P586">
        <v>2.9568150643116946E-2</v>
      </c>
      <c r="Q586">
        <v>5.5877173166400812E-3</v>
      </c>
      <c r="R586">
        <v>1.4724446633537379E-3</v>
      </c>
      <c r="S586">
        <v>0.25658536420862671</v>
      </c>
      <c r="T586">
        <v>1.4040606622131975</v>
      </c>
      <c r="U586">
        <v>0.20676293076802779</v>
      </c>
      <c r="V586">
        <v>0.24242957877714721</v>
      </c>
      <c r="W586">
        <v>9.7449587650927677E-2</v>
      </c>
      <c r="X586">
        <v>1.7799464837151523E-2</v>
      </c>
      <c r="Y586">
        <v>4.0075089823960524E-3</v>
      </c>
    </row>
    <row r="587" spans="1:25">
      <c r="A587" s="1010"/>
      <c r="B587" s="1351">
        <v>337</v>
      </c>
      <c r="C587" s="1014">
        <v>1.0305226230543945</v>
      </c>
      <c r="D587" s="1014">
        <v>0.99993984801545543</v>
      </c>
      <c r="E587" s="1014">
        <v>0.98113227899688549</v>
      </c>
      <c r="F587" s="1014">
        <v>1.0152773026088269</v>
      </c>
      <c r="G587" s="1014">
        <v>1.0213928151829832</v>
      </c>
      <c r="H587" s="1014">
        <v>0.99785305490231357</v>
      </c>
      <c r="I587" s="1014">
        <v>1.0020132950713379</v>
      </c>
      <c r="K587">
        <v>2.4066762261217183</v>
      </c>
      <c r="L587">
        <v>0</v>
      </c>
      <c r="M587">
        <v>1.6531582169290713E-3</v>
      </c>
      <c r="N587">
        <v>0.14210553602399872</v>
      </c>
      <c r="O587">
        <v>2.0352168263130091E-2</v>
      </c>
      <c r="P587">
        <v>2.8203837189676256E-2</v>
      </c>
      <c r="Q587">
        <v>5.2251774555397736E-3</v>
      </c>
      <c r="R587">
        <v>1.6312899660680905E-3</v>
      </c>
      <c r="S587">
        <v>0.25114587604061095</v>
      </c>
      <c r="T587">
        <v>1.392180025823103</v>
      </c>
      <c r="U587">
        <v>0.20563254292937844</v>
      </c>
      <c r="V587">
        <v>0.24740715377848907</v>
      </c>
      <c r="W587">
        <v>9.4414365775573023E-2</v>
      </c>
      <c r="X587">
        <v>1.5591577560034705E-2</v>
      </c>
      <c r="Y587">
        <v>4.4398335330445527E-3</v>
      </c>
    </row>
    <row r="588" spans="1:25">
      <c r="A588" s="1010"/>
      <c r="B588" s="1351">
        <v>338</v>
      </c>
      <c r="C588" s="1014">
        <v>0.98156383585940288</v>
      </c>
      <c r="D588" s="1014">
        <v>1.0081094014956384</v>
      </c>
      <c r="E588" s="1014">
        <v>0.97455001522664142</v>
      </c>
      <c r="F588" s="1014">
        <v>1.0001296879407886</v>
      </c>
      <c r="G588" s="1014">
        <v>0.97148271591144286</v>
      </c>
      <c r="H588" s="1014">
        <v>0.98846205563156653</v>
      </c>
      <c r="I588" s="1014">
        <v>1.0100333553626175</v>
      </c>
      <c r="K588">
        <v>2.4122665689345482</v>
      </c>
      <c r="L588">
        <v>0</v>
      </c>
      <c r="M588">
        <v>1.7397161370136212E-3</v>
      </c>
      <c r="N588">
        <v>0.14657807168386069</v>
      </c>
      <c r="O588">
        <v>2.1324658551394565E-2</v>
      </c>
      <c r="P588">
        <v>2.801649386803971E-2</v>
      </c>
      <c r="Q588">
        <v>5.4383034068300655E-3</v>
      </c>
      <c r="R588">
        <v>1.7164842435380811E-3</v>
      </c>
      <c r="S588">
        <v>0.26382801002160522</v>
      </c>
      <c r="T588">
        <v>1.3712674131116023</v>
      </c>
      <c r="U588">
        <v>0.2158663149837603</v>
      </c>
      <c r="V588">
        <v>0.24192150718444544</v>
      </c>
      <c r="W588">
        <v>9.7774400201113387E-2</v>
      </c>
      <c r="X588">
        <v>1.5602923543336727E-2</v>
      </c>
      <c r="Y588">
        <v>4.6717042720318481E-3</v>
      </c>
    </row>
    <row r="589" spans="1:25">
      <c r="A589" s="1010"/>
      <c r="B589" s="1351">
        <v>339</v>
      </c>
      <c r="C589" s="1014">
        <v>0.97805647261377116</v>
      </c>
      <c r="D589" s="1014">
        <v>1.0260456581249975</v>
      </c>
      <c r="E589" s="1014">
        <v>1.0414676099793674</v>
      </c>
      <c r="F589" s="1014">
        <v>1.0313674923758334</v>
      </c>
      <c r="G589" s="1014">
        <v>0.98530736249123463</v>
      </c>
      <c r="H589" s="1014">
        <v>1.0092329900533512</v>
      </c>
      <c r="I589" s="1014">
        <v>1.0140848900454575</v>
      </c>
      <c r="K589">
        <v>2.4841630031430433</v>
      </c>
      <c r="L589">
        <v>0</v>
      </c>
      <c r="M589">
        <v>1.545338991180637E-3</v>
      </c>
      <c r="N589">
        <v>0.15939925149832779</v>
      </c>
      <c r="O589">
        <v>2.1363463088498336E-2</v>
      </c>
      <c r="P589">
        <v>3.013894829934884E-2</v>
      </c>
      <c r="Q589">
        <v>5.8255760745473759E-3</v>
      </c>
      <c r="R589">
        <v>1.5251274913353646E-3</v>
      </c>
      <c r="S589">
        <v>0.26588659055185049</v>
      </c>
      <c r="T589">
        <v>1.4155922082566303</v>
      </c>
      <c r="U589">
        <v>0.21687456838145028</v>
      </c>
      <c r="V589">
        <v>0.24428031735721867</v>
      </c>
      <c r="W589">
        <v>0.10220588112210625</v>
      </c>
      <c r="X589">
        <v>1.8465515739637711E-2</v>
      </c>
      <c r="Y589">
        <v>4.150894273272465E-3</v>
      </c>
    </row>
    <row r="590" spans="1:25">
      <c r="A590" s="1010"/>
      <c r="B590" s="1351">
        <v>340</v>
      </c>
      <c r="C590" s="1014">
        <v>1.0169221485545197</v>
      </c>
      <c r="D590" s="1014">
        <v>1.0155451797852157</v>
      </c>
      <c r="E590" s="1014">
        <v>0.96739376672239286</v>
      </c>
      <c r="F590" s="1014">
        <v>0.99925252070310366</v>
      </c>
      <c r="G590" s="1014">
        <v>0.97259372943398104</v>
      </c>
      <c r="H590" s="1014">
        <v>0.96857517389602887</v>
      </c>
      <c r="I590" s="1014">
        <v>0.97218075386387715</v>
      </c>
      <c r="K590">
        <v>2.3628248613268181</v>
      </c>
      <c r="L590">
        <v>0</v>
      </c>
      <c r="M590">
        <v>1.667238022498902E-3</v>
      </c>
      <c r="N590">
        <v>0.13742247232393115</v>
      </c>
      <c r="O590">
        <v>2.0545317876273353E-2</v>
      </c>
      <c r="P590">
        <v>2.7435261547836272E-2</v>
      </c>
      <c r="Q590">
        <v>5.2013897717351201E-3</v>
      </c>
      <c r="R590">
        <v>1.6445168629513317E-3</v>
      </c>
      <c r="S590">
        <v>0.24254631228759854</v>
      </c>
      <c r="T590">
        <v>1.3699110122043077</v>
      </c>
      <c r="U590">
        <v>0.20833671700792714</v>
      </c>
      <c r="V590">
        <v>0.23992767978027293</v>
      </c>
      <c r="W590">
        <v>9.2067010355085799E-2</v>
      </c>
      <c r="X590">
        <v>1.4978576545281966E-2</v>
      </c>
      <c r="Y590">
        <v>4.4758327861153489E-3</v>
      </c>
    </row>
    <row r="591" spans="1:25">
      <c r="A591" s="1010"/>
      <c r="B591" s="1351">
        <v>341</v>
      </c>
      <c r="C591" s="1014">
        <v>1.0068752402788956</v>
      </c>
      <c r="D591" s="1014">
        <v>1.0000064772253117</v>
      </c>
      <c r="E591" s="1014">
        <v>1.0339502223169816</v>
      </c>
      <c r="F591" s="1014">
        <v>0.99918615453206783</v>
      </c>
      <c r="G591" s="1014">
        <v>0.993248411473869</v>
      </c>
      <c r="H591" s="1014">
        <v>0.98360330458792178</v>
      </c>
      <c r="I591" s="1014">
        <v>1.0178417460119045</v>
      </c>
      <c r="K591">
        <v>2.4110615137076445</v>
      </c>
      <c r="L591">
        <v>0</v>
      </c>
      <c r="M591">
        <v>1.4945395736684025E-3</v>
      </c>
      <c r="N591">
        <v>0.15065503123599236</v>
      </c>
      <c r="O591">
        <v>2.086470604558378E-2</v>
      </c>
      <c r="P591">
        <v>2.9184270384610082E-2</v>
      </c>
      <c r="Q591">
        <v>5.6476172301920657E-3</v>
      </c>
      <c r="R591">
        <v>1.4744831424551045E-3</v>
      </c>
      <c r="S591">
        <v>0.26030619259922028</v>
      </c>
      <c r="T591">
        <v>1.3712584279007314</v>
      </c>
      <c r="U591">
        <v>0.21064152348114323</v>
      </c>
      <c r="V591">
        <v>0.24383343991573173</v>
      </c>
      <c r="W591">
        <v>9.7019034056965422E-2</v>
      </c>
      <c r="X591">
        <v>1.7658270238157074E-2</v>
      </c>
      <c r="Y591">
        <v>4.0130570505255156E-3</v>
      </c>
    </row>
    <row r="592" spans="1:25">
      <c r="A592" s="1010"/>
      <c r="B592" s="1351">
        <v>342</v>
      </c>
      <c r="C592" s="1014">
        <v>1.0195965552378596</v>
      </c>
      <c r="D592" s="1014">
        <v>1.0204800936826619</v>
      </c>
      <c r="E592" s="1014">
        <v>0.98522848635607807</v>
      </c>
      <c r="F592" s="1014">
        <v>1.0291424201980206</v>
      </c>
      <c r="G592" s="1014">
        <v>1.021508102616878</v>
      </c>
      <c r="H592" s="1014">
        <v>1.0089366875457213</v>
      </c>
      <c r="I592" s="1014">
        <v>0.99773913429002159</v>
      </c>
      <c r="K592">
        <v>2.4344104506272162</v>
      </c>
      <c r="L592">
        <v>0</v>
      </c>
      <c r="M592">
        <v>1.6676994921271692E-3</v>
      </c>
      <c r="N592">
        <v>0.14516422358297712</v>
      </c>
      <c r="O592">
        <v>2.0481098606530686E-2</v>
      </c>
      <c r="P592">
        <v>2.8587991168730838E-2</v>
      </c>
      <c r="Q592">
        <v>5.2801777750584372E-3</v>
      </c>
      <c r="R592">
        <v>1.6458812327432531E-3</v>
      </c>
      <c r="S592">
        <v>0.25114966118758802</v>
      </c>
      <c r="T592">
        <v>1.4112831698718502</v>
      </c>
      <c r="U592">
        <v>0.20784981131127564</v>
      </c>
      <c r="V592">
        <v>0.24806002726598575</v>
      </c>
      <c r="W592">
        <v>9.6208889964150959E-2</v>
      </c>
      <c r="X592">
        <v>1.5887672001528491E-2</v>
      </c>
      <c r="Y592">
        <v>4.4795461509245793E-3</v>
      </c>
    </row>
    <row r="593" spans="1:25">
      <c r="A593" s="1010"/>
      <c r="B593" s="1351">
        <v>343</v>
      </c>
      <c r="C593" s="1014">
        <v>0.99996609887557575</v>
      </c>
      <c r="D593" s="1014">
        <v>0.99178626737596653</v>
      </c>
      <c r="E593" s="1014">
        <v>0.95313541322689677</v>
      </c>
      <c r="F593" s="1014">
        <v>0.99847463742556508</v>
      </c>
      <c r="G593" s="1014">
        <v>0.97512867335816578</v>
      </c>
      <c r="H593" s="1014">
        <v>1.0075690172560636</v>
      </c>
      <c r="I593" s="1014">
        <v>1.0003796873475954</v>
      </c>
      <c r="K593">
        <v>2.3967495695058254</v>
      </c>
      <c r="L593">
        <v>0</v>
      </c>
      <c r="M593">
        <v>1.825857505139862E-3</v>
      </c>
      <c r="N593">
        <v>0.1442102336447745</v>
      </c>
      <c r="O593">
        <v>2.0993379332506102E-2</v>
      </c>
      <c r="P593">
        <v>2.7413167315894271E-2</v>
      </c>
      <c r="Q593">
        <v>5.2375154977327663E-3</v>
      </c>
      <c r="R593">
        <v>1.8019376637849499E-3</v>
      </c>
      <c r="S593">
        <v>0.26006006852480856</v>
      </c>
      <c r="T593">
        <v>1.3685392533089664</v>
      </c>
      <c r="U593">
        <v>0.21182098369897856</v>
      </c>
      <c r="V593">
        <v>0.24145226619795493</v>
      </c>
      <c r="W593">
        <v>9.7463168026375183E-2</v>
      </c>
      <c r="X593">
        <v>1.4679173486954909E-2</v>
      </c>
      <c r="Y593">
        <v>4.9042803122314087E-3</v>
      </c>
    </row>
    <row r="594" spans="1:25">
      <c r="A594" s="1010"/>
      <c r="B594" s="1351">
        <v>344</v>
      </c>
      <c r="C594" s="1014">
        <v>0.98600851000750367</v>
      </c>
      <c r="D594" s="1014">
        <v>0.98740755945385394</v>
      </c>
      <c r="E594" s="1014">
        <v>0.96949976976456664</v>
      </c>
      <c r="F594" s="1014">
        <v>1.0106536712631184</v>
      </c>
      <c r="G594" s="1014">
        <v>0.98031851935343162</v>
      </c>
      <c r="H594" s="1014">
        <v>0.99831556287056089</v>
      </c>
      <c r="I594" s="1014">
        <v>0.96139535648405106</v>
      </c>
      <c r="K594">
        <v>2.4178297770579031</v>
      </c>
      <c r="L594">
        <v>0</v>
      </c>
      <c r="M594">
        <v>1.7755628071006932E-3</v>
      </c>
      <c r="N594">
        <v>0.14734812280339718</v>
      </c>
      <c r="O594">
        <v>2.1322264663665082E-2</v>
      </c>
      <c r="P594">
        <v>2.7963598109557949E-2</v>
      </c>
      <c r="Q594">
        <v>5.4097287804228305E-3</v>
      </c>
      <c r="R594">
        <v>1.7520862494924344E-3</v>
      </c>
      <c r="S594">
        <v>0.25338844154025919</v>
      </c>
      <c r="T594">
        <v>1.3855869881350906</v>
      </c>
      <c r="U594">
        <v>0.21487581648875553</v>
      </c>
      <c r="V594">
        <v>0.24316313844043741</v>
      </c>
      <c r="W594">
        <v>9.8590151007164298E-2</v>
      </c>
      <c r="X594">
        <v>1.5436402450718523E-2</v>
      </c>
      <c r="Y594">
        <v>4.7686011960414894E-3</v>
      </c>
    </row>
    <row r="595" spans="1:25">
      <c r="A595" s="1010"/>
      <c r="B595" s="1351">
        <v>345</v>
      </c>
      <c r="C595" s="1014">
        <v>0.99121938280086752</v>
      </c>
      <c r="D595" s="1014">
        <v>0.97240264011147737</v>
      </c>
      <c r="E595" s="1014">
        <v>1.0196554524262249</v>
      </c>
      <c r="F595" s="1014">
        <v>0.97216587007946476</v>
      </c>
      <c r="G595" s="1014">
        <v>0.99600995385723035</v>
      </c>
      <c r="H595" s="1014">
        <v>1.0257975560404209</v>
      </c>
      <c r="I595" s="1014">
        <v>1.0030169911472879</v>
      </c>
      <c r="K595">
        <v>2.3995772634650741</v>
      </c>
      <c r="L595">
        <v>0</v>
      </c>
      <c r="M595">
        <v>1.6411930245201188E-3</v>
      </c>
      <c r="N595">
        <v>0.15854754754541953</v>
      </c>
      <c r="O595">
        <v>2.131550628743005E-2</v>
      </c>
      <c r="P595">
        <v>2.8534622472600097E-2</v>
      </c>
      <c r="Q595">
        <v>5.6885276474439818E-3</v>
      </c>
      <c r="R595">
        <v>1.6200744684614307E-3</v>
      </c>
      <c r="S595">
        <v>0.26780629126279271</v>
      </c>
      <c r="T595">
        <v>1.3338743191983522</v>
      </c>
      <c r="U595">
        <v>0.21391901459099855</v>
      </c>
      <c r="V595">
        <v>0.24533327888854428</v>
      </c>
      <c r="W595">
        <v>0.10295456023449581</v>
      </c>
      <c r="X595">
        <v>1.7215405247304229E-2</v>
      </c>
      <c r="Y595">
        <v>4.4093086457470156E-3</v>
      </c>
    </row>
    <row r="596" spans="1:25">
      <c r="A596" s="1010"/>
      <c r="B596" s="1351">
        <v>346</v>
      </c>
      <c r="C596" s="1014">
        <v>1.025549228413863</v>
      </c>
      <c r="D596" s="1014">
        <v>1.011862525305451</v>
      </c>
      <c r="E596" s="1014">
        <v>0.97073877642362327</v>
      </c>
      <c r="F596" s="1014">
        <v>0.97276525898111776</v>
      </c>
      <c r="G596" s="1014">
        <v>1.0146491208846691</v>
      </c>
      <c r="H596" s="1014">
        <v>0.95309630168983328</v>
      </c>
      <c r="I596" s="1014">
        <v>0.97890270918137712</v>
      </c>
      <c r="K596">
        <v>2.3246875455084726</v>
      </c>
      <c r="L596">
        <v>0</v>
      </c>
      <c r="M596">
        <v>1.6168909239809941E-3</v>
      </c>
      <c r="N596">
        <v>0.1345991716099999</v>
      </c>
      <c r="O596">
        <v>2.0390924535900835E-2</v>
      </c>
      <c r="P596">
        <v>2.7072035486618448E-2</v>
      </c>
      <c r="Q596">
        <v>5.1799911315169953E-3</v>
      </c>
      <c r="R596">
        <v>1.5944980334366779E-3</v>
      </c>
      <c r="S596">
        <v>0.2413840944813283</v>
      </c>
      <c r="T596">
        <v>1.3336685998006423</v>
      </c>
      <c r="U596">
        <v>0.20659524906643983</v>
      </c>
      <c r="V596">
        <v>0.24658761466425161</v>
      </c>
      <c r="W596">
        <v>8.9991986937856941E-2</v>
      </c>
      <c r="X596">
        <v>1.4900572663581987E-2</v>
      </c>
      <c r="Y596">
        <v>4.3396980208791807E-3</v>
      </c>
    </row>
    <row r="597" spans="1:25">
      <c r="A597" s="1010"/>
      <c r="B597" s="1351">
        <v>347</v>
      </c>
      <c r="C597" s="1014">
        <v>0.99545773524714565</v>
      </c>
      <c r="D597" s="1014">
        <v>0.98794824866625675</v>
      </c>
      <c r="E597" s="1014">
        <v>0.96584417727428018</v>
      </c>
      <c r="F597" s="1014">
        <v>1.0050413432791718</v>
      </c>
      <c r="G597" s="1014">
        <v>1.0063650055115398</v>
      </c>
      <c r="H597" s="1014">
        <v>1.0214040486246805</v>
      </c>
      <c r="I597" s="1014">
        <v>1.0008077382545859</v>
      </c>
      <c r="K597">
        <v>2.4239419025926718</v>
      </c>
      <c r="L597">
        <v>0</v>
      </c>
      <c r="M597">
        <v>1.8127904978806791E-3</v>
      </c>
      <c r="N597">
        <v>0.14882633819590935</v>
      </c>
      <c r="O597">
        <v>2.1114892178362332E-2</v>
      </c>
      <c r="P597">
        <v>2.7935762060809933E-2</v>
      </c>
      <c r="Q597">
        <v>5.3371114004601141E-3</v>
      </c>
      <c r="R597">
        <v>1.7893635204308826E-3</v>
      </c>
      <c r="S597">
        <v>0.26314802902767442</v>
      </c>
      <c r="T597">
        <v>1.3778136676280812</v>
      </c>
      <c r="U597">
        <v>0.21282365531071806</v>
      </c>
      <c r="V597">
        <v>0.2470282365869147</v>
      </c>
      <c r="W597">
        <v>9.9801433214276758E-2</v>
      </c>
      <c r="X597">
        <v>1.5266146327825945E-2</v>
      </c>
      <c r="Y597">
        <v>4.8700576390868812E-3</v>
      </c>
    </row>
    <row r="598" spans="1:25">
      <c r="A598" s="1010"/>
      <c r="B598" s="1351">
        <v>348</v>
      </c>
      <c r="C598" s="1014">
        <v>0.96370486805625089</v>
      </c>
      <c r="D598" s="1014">
        <v>0.97990325968038039</v>
      </c>
      <c r="E598" s="1014">
        <v>1.0359167843483998</v>
      </c>
      <c r="F598" s="1014">
        <v>0.96442962534198662</v>
      </c>
      <c r="G598" s="1014">
        <v>1.0226512106514158</v>
      </c>
      <c r="H598" s="1014">
        <v>0.99968778692221838</v>
      </c>
      <c r="I598" s="1014">
        <v>0.98536438659875292</v>
      </c>
      <c r="K598">
        <v>2.4063359688958172</v>
      </c>
      <c r="L598">
        <v>0</v>
      </c>
      <c r="M598">
        <v>1.5876061073195941E-3</v>
      </c>
      <c r="N598">
        <v>0.16102293394983511</v>
      </c>
      <c r="O598">
        <v>2.1898346078223746E-2</v>
      </c>
      <c r="P598">
        <v>2.8899121597781012E-2</v>
      </c>
      <c r="Q598">
        <v>5.9389056880177725E-3</v>
      </c>
      <c r="R598">
        <v>1.5666435340830817E-3</v>
      </c>
      <c r="S598">
        <v>0.26741914489722074</v>
      </c>
      <c r="T598">
        <v>1.3236007221255284</v>
      </c>
      <c r="U598">
        <v>0.22008448742032471</v>
      </c>
      <c r="V598">
        <v>0.2516203901608578</v>
      </c>
      <c r="W598">
        <v>0.10357792139996612</v>
      </c>
      <c r="X598">
        <v>1.8031070895426021E-2</v>
      </c>
      <c r="Y598">
        <v>4.2638872558719357E-3</v>
      </c>
    </row>
    <row r="599" spans="1:25">
      <c r="A599" s="1010"/>
      <c r="B599" s="1351">
        <v>349</v>
      </c>
      <c r="C599" s="1014">
        <v>1.024146526681349</v>
      </c>
      <c r="D599" s="1014">
        <v>1.014355972016489</v>
      </c>
      <c r="E599" s="1014">
        <v>0.98128861891781494</v>
      </c>
      <c r="F599" s="1014">
        <v>0.9793249206793414</v>
      </c>
      <c r="G599" s="1014">
        <v>0.99042645820470732</v>
      </c>
      <c r="H599" s="1014">
        <v>1.0005122808030558</v>
      </c>
      <c r="I599" s="1014">
        <v>0.99425765603139782</v>
      </c>
      <c r="K599">
        <v>2.3523142277322675</v>
      </c>
      <c r="L599">
        <v>0</v>
      </c>
      <c r="M599">
        <v>1.6621018329623766E-3</v>
      </c>
      <c r="N599">
        <v>0.14294701659868894</v>
      </c>
      <c r="O599">
        <v>2.0414588357573257E-2</v>
      </c>
      <c r="P599">
        <v>2.7468631928014894E-2</v>
      </c>
      <c r="Q599">
        <v>5.2420354246441765E-3</v>
      </c>
      <c r="R599">
        <v>1.6401737117558574E-3</v>
      </c>
      <c r="S599">
        <v>0.24918488758071969</v>
      </c>
      <c r="T599">
        <v>1.3428842926890203</v>
      </c>
      <c r="U599">
        <v>0.20691328320641322</v>
      </c>
      <c r="V599">
        <v>0.24249243912671006</v>
      </c>
      <c r="W599">
        <v>9.4964485563806697E-2</v>
      </c>
      <c r="X599">
        <v>1.5360483217603504E-2</v>
      </c>
      <c r="Y599">
        <v>4.464012160280674E-3</v>
      </c>
    </row>
    <row r="600" spans="1:25">
      <c r="A600" s="1010"/>
      <c r="B600" s="1351">
        <v>350</v>
      </c>
      <c r="C600" s="1014">
        <v>0.95684368423719446</v>
      </c>
      <c r="D600" s="1014">
        <v>1.0048363546625629</v>
      </c>
      <c r="E600" s="1014">
        <v>0.9983853068872478</v>
      </c>
      <c r="F600" s="1014">
        <v>0.9551020163011652</v>
      </c>
      <c r="G600" s="1014">
        <v>1.0148467997790558</v>
      </c>
      <c r="H600" s="1014">
        <v>1.0152774578295405</v>
      </c>
      <c r="I600" s="1014">
        <v>0.99409298025601323</v>
      </c>
      <c r="K600">
        <v>2.390759522907778</v>
      </c>
      <c r="L600">
        <v>0</v>
      </c>
      <c r="M600">
        <v>1.7460823804930563E-3</v>
      </c>
      <c r="N600">
        <v>0.15816701048188203</v>
      </c>
      <c r="O600">
        <v>2.1907718639336209E-2</v>
      </c>
      <c r="P600">
        <v>2.7965067010242282E-2</v>
      </c>
      <c r="Q600">
        <v>5.7235058467598075E-3</v>
      </c>
      <c r="R600">
        <v>1.7233813169317133E-3</v>
      </c>
      <c r="S600">
        <v>0.26937517787012361</v>
      </c>
      <c r="T600">
        <v>1.3100214424279613</v>
      </c>
      <c r="U600">
        <v>0.22152820751668159</v>
      </c>
      <c r="V600">
        <v>0.25088648708150646</v>
      </c>
      <c r="W600">
        <v>0.10400480140944975</v>
      </c>
      <c r="X600">
        <v>1.6512329855206592E-2</v>
      </c>
      <c r="Y600">
        <v>4.6904758321896795E-3</v>
      </c>
    </row>
    <row r="601" spans="1:25">
      <c r="A601" s="1010"/>
      <c r="B601" s="1351">
        <v>351</v>
      </c>
      <c r="C601" s="1014">
        <v>1.0002140442944907</v>
      </c>
      <c r="D601" s="1014">
        <v>1.0163327815627874</v>
      </c>
      <c r="E601" s="1014">
        <v>1.0162664136716573</v>
      </c>
      <c r="F601" s="1014">
        <v>0.99555547915385034</v>
      </c>
      <c r="G601" s="1014">
        <v>1.0115916282728259</v>
      </c>
      <c r="H601" s="1014">
        <v>0.97982067271082107</v>
      </c>
      <c r="I601" s="1014">
        <v>0.96306932319586092</v>
      </c>
      <c r="K601">
        <v>2.3913536461947413</v>
      </c>
      <c r="L601">
        <v>0</v>
      </c>
      <c r="M601">
        <v>1.5493914056951771E-3</v>
      </c>
      <c r="N601">
        <v>0.14806567469063972</v>
      </c>
      <c r="O601">
        <v>2.0917225767093598E-2</v>
      </c>
      <c r="P601">
        <v>2.8600034630765263E-2</v>
      </c>
      <c r="Q601">
        <v>5.5634403878303358E-3</v>
      </c>
      <c r="R601">
        <v>1.5285186032390479E-3</v>
      </c>
      <c r="S601">
        <v>0.24548736892820244</v>
      </c>
      <c r="T601">
        <v>1.3658931406750336</v>
      </c>
      <c r="U601">
        <v>0.21198368333120679</v>
      </c>
      <c r="V601">
        <v>0.24743858534092975</v>
      </c>
      <c r="W601">
        <v>9.6339178003504153E-2</v>
      </c>
      <c r="X601">
        <v>1.692606347999882E-2</v>
      </c>
      <c r="Y601">
        <v>4.1601237619945516E-3</v>
      </c>
    </row>
    <row r="602" spans="1:25">
      <c r="A602" s="1010"/>
      <c r="B602" s="1351">
        <v>352</v>
      </c>
      <c r="C602" s="1014">
        <v>0.99760733586974559</v>
      </c>
      <c r="D602" s="1014">
        <v>0.99681949191138308</v>
      </c>
      <c r="E602" s="1014">
        <v>1.020276352613118</v>
      </c>
      <c r="F602" s="1014">
        <v>1.0403572122625466</v>
      </c>
      <c r="G602" s="1014">
        <v>0.97134016193436312</v>
      </c>
      <c r="H602" s="1014">
        <v>1.0227847125632432</v>
      </c>
      <c r="I602" s="1014">
        <v>1.0205569495121285</v>
      </c>
      <c r="K602">
        <v>2.4839507647208126</v>
      </c>
      <c r="L602">
        <v>0</v>
      </c>
      <c r="M602">
        <v>1.6149602630793083E-3</v>
      </c>
      <c r="N602">
        <v>0.15629983462753702</v>
      </c>
      <c r="O602">
        <v>2.1064194997672224E-2</v>
      </c>
      <c r="P602">
        <v>2.9751832758196595E-2</v>
      </c>
      <c r="Q602">
        <v>5.6249305759307486E-3</v>
      </c>
      <c r="R602">
        <v>1.5941180500223728E-3</v>
      </c>
      <c r="S602">
        <v>0.2671480146992502</v>
      </c>
      <c r="T602">
        <v>1.4274512677186162</v>
      </c>
      <c r="U602">
        <v>0.21255136649622913</v>
      </c>
      <c r="V602">
        <v>0.240717411699296</v>
      </c>
      <c r="W602">
        <v>0.10145812028967924</v>
      </c>
      <c r="X602">
        <v>1.7565969240173365E-2</v>
      </c>
      <c r="Y602">
        <v>4.3386638312869399E-3</v>
      </c>
    </row>
    <row r="603" spans="1:25">
      <c r="A603" s="1010"/>
      <c r="B603" s="1351">
        <v>353</v>
      </c>
      <c r="C603" s="1014">
        <v>1.0020160548318835</v>
      </c>
      <c r="D603" s="1014">
        <v>0.99133684938655742</v>
      </c>
      <c r="E603" s="1014">
        <v>1.0368278410399745</v>
      </c>
      <c r="F603" s="1014">
        <v>1.021712832963126</v>
      </c>
      <c r="G603" s="1014">
        <v>1.0054232381856236</v>
      </c>
      <c r="H603" s="1014">
        <v>0.99361427125483637</v>
      </c>
      <c r="I603" s="1014">
        <v>0.99581103017725814</v>
      </c>
      <c r="K603">
        <v>2.4488860718429448</v>
      </c>
      <c r="L603">
        <v>0</v>
      </c>
      <c r="M603">
        <v>1.5108868351788639E-3</v>
      </c>
      <c r="N603">
        <v>0.15365036613867386</v>
      </c>
      <c r="O603">
        <v>2.1008008476318941E-2</v>
      </c>
      <c r="P603">
        <v>2.9693246254912223E-2</v>
      </c>
      <c r="Q603">
        <v>5.7025595159249922E-3</v>
      </c>
      <c r="R603">
        <v>1.4908153118358711E-3</v>
      </c>
      <c r="S603">
        <v>0.25790245374677156</v>
      </c>
      <c r="T603">
        <v>1.4022375096845152</v>
      </c>
      <c r="U603">
        <v>0.21167287891989761</v>
      </c>
      <c r="V603">
        <v>0.24620125436397439</v>
      </c>
      <c r="W603">
        <v>9.8783526268678853E-2</v>
      </c>
      <c r="X603">
        <v>1.7996832164939389E-2</v>
      </c>
      <c r="Y603">
        <v>4.0575078316817731E-3</v>
      </c>
    </row>
    <row r="604" spans="1:25">
      <c r="A604" s="1010"/>
      <c r="B604" s="1351">
        <v>354</v>
      </c>
      <c r="C604" s="1014">
        <v>1.0218255843548816</v>
      </c>
      <c r="D604" s="1014">
        <v>1.0051765244456721</v>
      </c>
      <c r="E604" s="1014">
        <v>0.98397540903477088</v>
      </c>
      <c r="F604" s="1014">
        <v>0.98066145910301039</v>
      </c>
      <c r="G604" s="1014">
        <v>0.9830651884406193</v>
      </c>
      <c r="H604" s="1014">
        <v>0.99910066713414092</v>
      </c>
      <c r="I604" s="1014">
        <v>0.97379756379872062</v>
      </c>
      <c r="K604">
        <v>2.351386184811044</v>
      </c>
      <c r="L604">
        <v>0</v>
      </c>
      <c r="M604">
        <v>1.657618271092585E-3</v>
      </c>
      <c r="N604">
        <v>0.14372212222860381</v>
      </c>
      <c r="O604">
        <v>2.0503657706649359E-2</v>
      </c>
      <c r="P604">
        <v>2.7493363212558932E-2</v>
      </c>
      <c r="Q604">
        <v>5.2792827725341319E-3</v>
      </c>
      <c r="R604">
        <v>1.6357184032252294E-3</v>
      </c>
      <c r="S604">
        <v>0.24563132655886177</v>
      </c>
      <c r="T604">
        <v>1.344773783934373</v>
      </c>
      <c r="U604">
        <v>0.20739222240197017</v>
      </c>
      <c r="V604">
        <v>0.24136338100645219</v>
      </c>
      <c r="W604">
        <v>9.5324961222182064E-2</v>
      </c>
      <c r="X604">
        <v>1.5472097355569876E-2</v>
      </c>
      <c r="Y604">
        <v>4.4518862791523691E-3</v>
      </c>
    </row>
    <row r="605" spans="1:25">
      <c r="A605" s="1010"/>
      <c r="B605" s="1351">
        <v>355</v>
      </c>
      <c r="C605" s="1014">
        <v>1.0275874548026334</v>
      </c>
      <c r="D605" s="1014">
        <v>1.031295687566514</v>
      </c>
      <c r="E605" s="1014">
        <v>1.0095469959284276</v>
      </c>
      <c r="F605" s="1014">
        <v>1.006366555449409</v>
      </c>
      <c r="G605" s="1014">
        <v>0.98240509559778277</v>
      </c>
      <c r="H605" s="1014">
        <v>0.97564749568207076</v>
      </c>
      <c r="I605" s="1014">
        <v>0.9851832631837798</v>
      </c>
      <c r="K605">
        <v>2.3795786511390284</v>
      </c>
      <c r="L605">
        <v>0</v>
      </c>
      <c r="M605">
        <v>1.5179256895182041E-3</v>
      </c>
      <c r="N605">
        <v>0.14213800367774199</v>
      </c>
      <c r="O605">
        <v>2.0290343732762513E-2</v>
      </c>
      <c r="P605">
        <v>2.8447471271114834E-2</v>
      </c>
      <c r="Q605">
        <v>5.3606355178813878E-3</v>
      </c>
      <c r="R605">
        <v>1.4973893140800307E-3</v>
      </c>
      <c r="S605">
        <v>0.24226641447837632</v>
      </c>
      <c r="T605">
        <v>1.3805792107751478</v>
      </c>
      <c r="U605">
        <v>0.20631435507242235</v>
      </c>
      <c r="V605">
        <v>0.24081784555175542</v>
      </c>
      <c r="W605">
        <v>9.284865601909098E-2</v>
      </c>
      <c r="X605">
        <v>1.6460851319503703E-2</v>
      </c>
      <c r="Y605">
        <v>4.075400098671118E-3</v>
      </c>
    </row>
    <row r="606" spans="1:25">
      <c r="A606" s="1010"/>
      <c r="B606" s="1351">
        <v>356</v>
      </c>
      <c r="C606" s="1014">
        <v>1.0329102861536625</v>
      </c>
      <c r="D606" s="1014">
        <v>1.0298533295309731</v>
      </c>
      <c r="E606" s="1014">
        <v>1.0174063900047958</v>
      </c>
      <c r="F606" s="1014">
        <v>1.0033016977874125</v>
      </c>
      <c r="G606" s="1014">
        <v>0.98216179460374875</v>
      </c>
      <c r="H606" s="1014">
        <v>0.98869067222583629</v>
      </c>
      <c r="I606" s="1014">
        <v>0.96354527787749533</v>
      </c>
      <c r="K606">
        <v>2.3723211198007634</v>
      </c>
      <c r="L606">
        <v>0</v>
      </c>
      <c r="M606">
        <v>1.5059586114701162E-3</v>
      </c>
      <c r="N606">
        <v>0.14442866541122718</v>
      </c>
      <c r="O606">
        <v>2.0197026796925328E-2</v>
      </c>
      <c r="P606">
        <v>2.8464097565506875E-2</v>
      </c>
      <c r="Q606">
        <v>5.3779881519614887E-3</v>
      </c>
      <c r="R606">
        <v>1.4858529290760472E-3</v>
      </c>
      <c r="S606">
        <v>0.2369767595364573</v>
      </c>
      <c r="T606">
        <v>1.376545702178013</v>
      </c>
      <c r="U606">
        <v>0.20527723156304017</v>
      </c>
      <c r="V606">
        <v>0.24043600615091318</v>
      </c>
      <c r="W606">
        <v>9.3909941892840007E-2</v>
      </c>
      <c r="X606">
        <v>1.6683804374612372E-2</v>
      </c>
      <c r="Y606">
        <v>4.0440018616585719E-3</v>
      </c>
    </row>
    <row r="607" spans="1:25">
      <c r="A607" s="1010"/>
      <c r="B607" s="1351">
        <v>357</v>
      </c>
      <c r="C607" s="1014">
        <v>1.0278319993537779</v>
      </c>
      <c r="D607" s="1014">
        <v>0.98749301905831932</v>
      </c>
      <c r="E607" s="1014">
        <v>1.0147163932623606</v>
      </c>
      <c r="F607" s="1014">
        <v>0.97391431678121942</v>
      </c>
      <c r="G607" s="1014">
        <v>1.0124564124563245</v>
      </c>
      <c r="H607" s="1014">
        <v>0.98371804277427477</v>
      </c>
      <c r="I607" s="1014">
        <v>1.0098968851532064</v>
      </c>
      <c r="K607">
        <v>2.3576709981251494</v>
      </c>
      <c r="L607">
        <v>0</v>
      </c>
      <c r="M607">
        <v>1.5282911156976582E-3</v>
      </c>
      <c r="N607">
        <v>0.14537554813658779</v>
      </c>
      <c r="O607">
        <v>2.048349152037077E-2</v>
      </c>
      <c r="P607">
        <v>2.8181679549659867E-2</v>
      </c>
      <c r="Q607">
        <v>5.4396687531515333E-3</v>
      </c>
      <c r="R607">
        <v>1.5077841374933807E-3</v>
      </c>
      <c r="S607">
        <v>0.25447074531562047</v>
      </c>
      <c r="T607">
        <v>1.3361689112162951</v>
      </c>
      <c r="U607">
        <v>0.20628249210277247</v>
      </c>
      <c r="V607">
        <v>0.24591518801888082</v>
      </c>
      <c r="W607">
        <v>9.4674963972831039E-2</v>
      </c>
      <c r="X607">
        <v>1.6595125135831057E-2</v>
      </c>
      <c r="Y607">
        <v>4.1036913813496398E-3</v>
      </c>
    </row>
    <row r="608" spans="1:25">
      <c r="A608" s="1010"/>
      <c r="B608" s="1351">
        <v>358</v>
      </c>
      <c r="C608" s="1014">
        <v>0.98354119830479347</v>
      </c>
      <c r="D608" s="1014">
        <v>0.9876777483938578</v>
      </c>
      <c r="E608" s="1014">
        <v>0.99002957698945726</v>
      </c>
      <c r="F608" s="1014">
        <v>0.98043148833588234</v>
      </c>
      <c r="G608" s="1014">
        <v>1.0165011241858437</v>
      </c>
      <c r="H608" s="1014">
        <v>0.97143310979487008</v>
      </c>
      <c r="I608" s="1014">
        <v>0.97054082176710066</v>
      </c>
      <c r="K608">
        <v>2.3825467651466763</v>
      </c>
      <c r="L608">
        <v>0</v>
      </c>
      <c r="M608">
        <v>1.659997701653769E-3</v>
      </c>
      <c r="N608">
        <v>0.14653190422363663</v>
      </c>
      <c r="O608">
        <v>2.1388312872353422E-2</v>
      </c>
      <c r="P608">
        <v>2.795304597979429E-2</v>
      </c>
      <c r="Q608">
        <v>5.540923262535441E-3</v>
      </c>
      <c r="R608">
        <v>1.6374417682589644E-3</v>
      </c>
      <c r="S608">
        <v>0.25430939351252446</v>
      </c>
      <c r="T608">
        <v>1.3445864642863232</v>
      </c>
      <c r="U608">
        <v>0.215485971421988</v>
      </c>
      <c r="V608">
        <v>0.24942967816499356</v>
      </c>
      <c r="W608">
        <v>9.6835892839554058E-2</v>
      </c>
      <c r="X608">
        <v>1.6051157805700895E-2</v>
      </c>
      <c r="Y608">
        <v>4.4565767106670628E-3</v>
      </c>
    </row>
    <row r="609" spans="1:25">
      <c r="A609" s="1010"/>
      <c r="B609" s="1351">
        <v>359</v>
      </c>
      <c r="C609" s="1014">
        <v>0.95753107523222214</v>
      </c>
      <c r="D609" s="1014">
        <v>0.96848635191765775</v>
      </c>
      <c r="E609" s="1014">
        <v>0.99127212232503015</v>
      </c>
      <c r="F609" s="1014">
        <v>0.99391878139815626</v>
      </c>
      <c r="G609" s="1014">
        <v>0.98401566840730192</v>
      </c>
      <c r="H609" s="1014">
        <v>0.98351404008539378</v>
      </c>
      <c r="I609" s="1014">
        <v>0.99787652388587955</v>
      </c>
      <c r="K609">
        <v>2.4342515796790418</v>
      </c>
      <c r="L609">
        <v>0</v>
      </c>
      <c r="M609">
        <v>1.7293061701217343E-3</v>
      </c>
      <c r="N609">
        <v>0.15325037189499643</v>
      </c>
      <c r="O609">
        <v>2.206520879862537E-2</v>
      </c>
      <c r="P609">
        <v>2.8502360698863562E-2</v>
      </c>
      <c r="Q609">
        <v>5.7234631582172343E-3</v>
      </c>
      <c r="R609">
        <v>1.7060971104356979E-3</v>
      </c>
      <c r="S609">
        <v>0.27234518629491539</v>
      </c>
      <c r="T609">
        <v>1.3631099103900219</v>
      </c>
      <c r="U609">
        <v>0.22134380496568068</v>
      </c>
      <c r="V609">
        <v>0.24559913331398392</v>
      </c>
      <c r="W609">
        <v>0.10120048635420312</v>
      </c>
      <c r="X609">
        <v>1.6491428949373891E-2</v>
      </c>
      <c r="Y609">
        <v>4.6434339198446672E-3</v>
      </c>
    </row>
    <row r="610" spans="1:25">
      <c r="A610" s="1010"/>
      <c r="B610" s="1351">
        <v>360</v>
      </c>
      <c r="C610" s="1014">
        <v>0.96457100637543902</v>
      </c>
      <c r="D610" s="1014">
        <v>1.0211519941190974</v>
      </c>
      <c r="E610" s="1014">
        <v>0.99025191375913257</v>
      </c>
      <c r="F610" s="1014">
        <v>0.99501268702105428</v>
      </c>
      <c r="G610" s="1014">
        <v>0.99736805528862271</v>
      </c>
      <c r="H610" s="1014">
        <v>1.0180292481657491</v>
      </c>
      <c r="I610" s="1014">
        <v>0.98636749492461895</v>
      </c>
      <c r="K610">
        <v>2.4299406130350798</v>
      </c>
      <c r="L610">
        <v>0</v>
      </c>
      <c r="M610">
        <v>1.7600648956796359E-3</v>
      </c>
      <c r="N610">
        <v>0.15556756810132844</v>
      </c>
      <c r="O610">
        <v>2.1649775867821585E-2</v>
      </c>
      <c r="P610">
        <v>2.8379110954043659E-2</v>
      </c>
      <c r="Q610">
        <v>5.609919163254558E-3</v>
      </c>
      <c r="R610">
        <v>1.7372438971011556E-3</v>
      </c>
      <c r="S610">
        <v>0.26319394426744958</v>
      </c>
      <c r="T610">
        <v>1.3645882332440744</v>
      </c>
      <c r="U610">
        <v>0.21972471488327994</v>
      </c>
      <c r="V610">
        <v>0.24740802306524423</v>
      </c>
      <c r="W610">
        <v>0.10279343804195912</v>
      </c>
      <c r="X610">
        <v>1.6320501239589211E-2</v>
      </c>
      <c r="Y610">
        <v>4.7282052056125765E-3</v>
      </c>
    </row>
    <row r="611" spans="1:25">
      <c r="A611" s="1010"/>
      <c r="B611" s="1351">
        <v>361</v>
      </c>
      <c r="C611" s="1014">
        <v>0.97536507672408257</v>
      </c>
      <c r="D611" s="1014">
        <v>1.0340761974605979</v>
      </c>
      <c r="E611" s="1014">
        <v>1.0095111571958864</v>
      </c>
      <c r="F611" s="1014">
        <v>1.0382476364786524</v>
      </c>
      <c r="G611" s="1014">
        <v>0.9739379616679803</v>
      </c>
      <c r="H611" s="1014">
        <v>0.97598924482763982</v>
      </c>
      <c r="I611" s="1014">
        <v>0.99464912776064163</v>
      </c>
      <c r="K611">
        <v>2.4670373817582174</v>
      </c>
      <c r="L611">
        <v>0</v>
      </c>
      <c r="M611">
        <v>1.5989293675736811E-3</v>
      </c>
      <c r="N611">
        <v>0.14970767797151932</v>
      </c>
      <c r="O611">
        <v>2.1364033430429658E-2</v>
      </c>
      <c r="P611">
        <v>2.9432035122090583E-2</v>
      </c>
      <c r="Q611">
        <v>5.6440981969842399E-3</v>
      </c>
      <c r="R611">
        <v>1.5773046489204901E-3</v>
      </c>
      <c r="S611">
        <v>0.2573732916395155</v>
      </c>
      <c r="T611">
        <v>1.4243143150566262</v>
      </c>
      <c r="U611">
        <v>0.21736058158275817</v>
      </c>
      <c r="V611">
        <v>0.24262387460353488</v>
      </c>
      <c r="W611">
        <v>9.7795453736962926E-2</v>
      </c>
      <c r="X611">
        <v>1.7150741840425178E-2</v>
      </c>
      <c r="Y611">
        <v>4.292903296023799E-3</v>
      </c>
    </row>
    <row r="612" spans="1:25">
      <c r="A612" s="1010"/>
      <c r="B612" s="1351">
        <v>362</v>
      </c>
      <c r="C612" s="1014">
        <v>0.98444771723626312</v>
      </c>
      <c r="D612" s="1014">
        <v>0.97860339419565012</v>
      </c>
      <c r="E612" s="1014">
        <v>0.98049884670478071</v>
      </c>
      <c r="F612" s="1014">
        <v>0.99260316221054545</v>
      </c>
      <c r="G612" s="1014">
        <v>0.99317843570730879</v>
      </c>
      <c r="H612" s="1014">
        <v>1.0399289928457434</v>
      </c>
      <c r="I612" s="1014">
        <v>1.0391021510056748</v>
      </c>
      <c r="K612">
        <v>2.4363385670165583</v>
      </c>
      <c r="L612">
        <v>0</v>
      </c>
      <c r="M612">
        <v>1.814454481763178E-3</v>
      </c>
      <c r="N612">
        <v>0.15575638219774643</v>
      </c>
      <c r="O612">
        <v>2.1405612279832838E-2</v>
      </c>
      <c r="P612">
        <v>2.8254600008465032E-2</v>
      </c>
      <c r="Q612">
        <v>5.4921012399126107E-3</v>
      </c>
      <c r="R612">
        <v>1.7914237037233271E-3</v>
      </c>
      <c r="S612">
        <v>0.27938968884529264</v>
      </c>
      <c r="T612">
        <v>1.361074989606003</v>
      </c>
      <c r="U612">
        <v>0.21525452826372191</v>
      </c>
      <c r="V612">
        <v>0.24542152027176425</v>
      </c>
      <c r="W612">
        <v>0.10352349755902433</v>
      </c>
      <c r="X612">
        <v>1.5913012743963145E-2</v>
      </c>
      <c r="Y612">
        <v>4.8756647788696763E-3</v>
      </c>
    </row>
    <row r="613" spans="1:25">
      <c r="A613" s="1010"/>
      <c r="B613" s="1351">
        <v>363</v>
      </c>
      <c r="C613" s="1014">
        <v>1.0039458738005638</v>
      </c>
      <c r="D613" s="1014">
        <v>0.99321722632416787</v>
      </c>
      <c r="E613" s="1014">
        <v>0.98973827374041667</v>
      </c>
      <c r="F613" s="1014">
        <v>1.0271505651368</v>
      </c>
      <c r="G613" s="1014">
        <v>0.96424965208542257</v>
      </c>
      <c r="H613" s="1014">
        <v>0.98459502432317603</v>
      </c>
      <c r="I613" s="1014">
        <v>0.99791209712271833</v>
      </c>
      <c r="K613">
        <v>2.4324309089203395</v>
      </c>
      <c r="L613">
        <v>0</v>
      </c>
      <c r="M613">
        <v>1.6472598511270077E-3</v>
      </c>
      <c r="N613">
        <v>0.14530624600359332</v>
      </c>
      <c r="O613">
        <v>2.0927647688769823E-2</v>
      </c>
      <c r="P613">
        <v>2.8647315396232293E-2</v>
      </c>
      <c r="Q613">
        <v>5.4199857040740833E-3</v>
      </c>
      <c r="R613">
        <v>1.6251762092803863E-3</v>
      </c>
      <c r="S613">
        <v>0.25655673177821486</v>
      </c>
      <c r="T613">
        <v>1.4086516308072592</v>
      </c>
      <c r="U613">
        <v>0.21110534137061016</v>
      </c>
      <c r="V613">
        <v>0.23921600344028657</v>
      </c>
      <c r="W613">
        <v>9.6042674556688912E-2</v>
      </c>
      <c r="X613">
        <v>1.6156221913989945E-2</v>
      </c>
      <c r="Y613">
        <v>4.4231939024678051E-3</v>
      </c>
    </row>
    <row r="614" spans="1:25">
      <c r="A614" s="1010"/>
      <c r="B614" s="1351">
        <v>364</v>
      </c>
      <c r="C614" s="1014">
        <v>0.98757269550320115</v>
      </c>
      <c r="D614" s="1014">
        <v>1.0219720437781061</v>
      </c>
      <c r="E614" s="1014">
        <v>0.99294101861778838</v>
      </c>
      <c r="F614" s="1014">
        <v>0.99415165093625579</v>
      </c>
      <c r="G614" s="1014">
        <v>0.98541697329518296</v>
      </c>
      <c r="H614" s="1014">
        <v>0.98762708873459348</v>
      </c>
      <c r="I614" s="1014">
        <v>0.95866710111090392</v>
      </c>
      <c r="K614">
        <v>2.3896159764483156</v>
      </c>
      <c r="L614">
        <v>0</v>
      </c>
      <c r="M614">
        <v>1.658175601392329E-3</v>
      </c>
      <c r="N614">
        <v>0.14769840131804512</v>
      </c>
      <c r="O614">
        <v>2.1143590125002623E-2</v>
      </c>
      <c r="P614">
        <v>2.8087403484386375E-2</v>
      </c>
      <c r="Q614">
        <v>5.4936542235797612E-3</v>
      </c>
      <c r="R614">
        <v>1.6360138669933935E-3</v>
      </c>
      <c r="S614">
        <v>0.24726841125051599</v>
      </c>
      <c r="T614">
        <v>1.3634651059881053</v>
      </c>
      <c r="U614">
        <v>0.21461637212241766</v>
      </c>
      <c r="V614">
        <v>0.24385070427536806</v>
      </c>
      <c r="W614">
        <v>9.7436883595763621E-2</v>
      </c>
      <c r="X614">
        <v>1.6124921365399673E-2</v>
      </c>
      <c r="Y614">
        <v>4.4526904341297049E-3</v>
      </c>
    </row>
    <row r="615" spans="1:25">
      <c r="A615" s="1010"/>
      <c r="B615" s="1351">
        <v>365</v>
      </c>
      <c r="C615" s="1014">
        <v>0.97930565567549965</v>
      </c>
      <c r="D615" s="1014">
        <v>1.0234558922502002</v>
      </c>
      <c r="E615" s="1014">
        <v>0.98050928713066121</v>
      </c>
      <c r="F615" s="1014">
        <v>0.9932958688975746</v>
      </c>
      <c r="G615" s="1014">
        <v>1.0204123161316525</v>
      </c>
      <c r="H615" s="1014">
        <v>1.0049213924876192</v>
      </c>
      <c r="I615" s="1014">
        <v>0.99369046742973177</v>
      </c>
      <c r="K615">
        <v>2.4130959837135491</v>
      </c>
      <c r="L615">
        <v>0</v>
      </c>
      <c r="M615">
        <v>1.7452504919636825E-3</v>
      </c>
      <c r="N615">
        <v>0.14975340815844854</v>
      </c>
      <c r="O615">
        <v>2.1306909467955298E-2</v>
      </c>
      <c r="P615">
        <v>2.8084488438813501E-2</v>
      </c>
      <c r="Q615">
        <v>5.4668347630372214E-3</v>
      </c>
      <c r="R615">
        <v>1.7223264129847427E-3</v>
      </c>
      <c r="S615">
        <v>0.2596614104882175</v>
      </c>
      <c r="T615">
        <v>1.3620250646448797</v>
      </c>
      <c r="U615">
        <v>0.21638480623691883</v>
      </c>
      <c r="V615">
        <v>0.25040748617039554</v>
      </c>
      <c r="W615">
        <v>9.953299294046257E-2</v>
      </c>
      <c r="X615">
        <v>1.5807901751999972E-2</v>
      </c>
      <c r="Y615">
        <v>4.6876047313950198E-3</v>
      </c>
    </row>
    <row r="616" spans="1:25">
      <c r="A616" s="1010"/>
      <c r="B616" s="1351">
        <v>366</v>
      </c>
      <c r="C616" s="1014">
        <v>1.0326312330453986</v>
      </c>
      <c r="D616" s="1014">
        <v>1.0042830479509055</v>
      </c>
      <c r="E616" s="1014">
        <v>1.0057483843637935</v>
      </c>
      <c r="F616" s="1014">
        <v>1.0235674267325476</v>
      </c>
      <c r="G616" s="1014">
        <v>1.0171157305996943</v>
      </c>
      <c r="H616" s="1014">
        <v>0.99658171486627656</v>
      </c>
      <c r="I616" s="1014">
        <v>0.99325440977933899</v>
      </c>
      <c r="K616">
        <v>2.4186943267703285</v>
      </c>
      <c r="L616">
        <v>0</v>
      </c>
      <c r="M616">
        <v>1.5642495608755753E-3</v>
      </c>
      <c r="N616">
        <v>0.14484699575031781</v>
      </c>
      <c r="O616">
        <v>2.0307042342242454E-2</v>
      </c>
      <c r="P616">
        <v>2.8831626262750987E-2</v>
      </c>
      <c r="Q616">
        <v>5.3446871099627107E-3</v>
      </c>
      <c r="R616">
        <v>1.5435310114568768E-3</v>
      </c>
      <c r="S616">
        <v>0.24799255212867422</v>
      </c>
      <c r="T616">
        <v>1.4040919228420981</v>
      </c>
      <c r="U616">
        <v>0.20529404523787914</v>
      </c>
      <c r="V616">
        <v>0.24646115147868258</v>
      </c>
      <c r="W616">
        <v>9.4830819992673093E-2</v>
      </c>
      <c r="X616">
        <v>1.6513219586141516E-2</v>
      </c>
      <c r="Y616">
        <v>4.2009825883244411E-3</v>
      </c>
    </row>
    <row r="617" spans="1:25">
      <c r="A617" s="1010"/>
      <c r="B617" s="1351">
        <v>367</v>
      </c>
      <c r="C617" s="1014">
        <v>1.0133176128417987</v>
      </c>
      <c r="D617" s="1014">
        <v>1.0351096113675151</v>
      </c>
      <c r="E617" s="1014">
        <v>0.98630634236367876</v>
      </c>
      <c r="F617" s="1014">
        <v>0.96576606218858874</v>
      </c>
      <c r="G617" s="1014">
        <v>1.0225178776900177</v>
      </c>
      <c r="H617" s="1014">
        <v>1.03904777201939</v>
      </c>
      <c r="I617" s="1014">
        <v>1.0051988726549483</v>
      </c>
      <c r="K617">
        <v>2.3606498037761892</v>
      </c>
      <c r="L617">
        <v>0</v>
      </c>
      <c r="M617">
        <v>1.7188712043597963E-3</v>
      </c>
      <c r="N617">
        <v>0.15016463805057817</v>
      </c>
      <c r="O617">
        <v>2.0544273920866218E-2</v>
      </c>
      <c r="P617">
        <v>2.7519055538147118E-2</v>
      </c>
      <c r="Q617">
        <v>5.3022518570650067E-3</v>
      </c>
      <c r="R617">
        <v>1.6970351564248416E-3</v>
      </c>
      <c r="S617">
        <v>0.25533168211610408</v>
      </c>
      <c r="T617">
        <v>1.3243963765627769</v>
      </c>
      <c r="U617">
        <v>0.20914136390402358</v>
      </c>
      <c r="V617">
        <v>0.24860758564789368</v>
      </c>
      <c r="W617">
        <v>9.9458502615110536E-2</v>
      </c>
      <c r="X617">
        <v>1.5587139343259226E-2</v>
      </c>
      <c r="Y617">
        <v>4.6187702682994533E-3</v>
      </c>
    </row>
    <row r="618" spans="1:25">
      <c r="A618" s="1010"/>
      <c r="B618" s="1351">
        <v>368</v>
      </c>
      <c r="C618" s="1014">
        <v>0.96794624300102083</v>
      </c>
      <c r="D618" s="1014">
        <v>0.98473446088299887</v>
      </c>
      <c r="E618" s="1014">
        <v>1.0032375405987617</v>
      </c>
      <c r="F618" s="1014">
        <v>1.0015954292392109</v>
      </c>
      <c r="G618" s="1014">
        <v>1.0090161670593407</v>
      </c>
      <c r="H618" s="1014">
        <v>0.99838301149546638</v>
      </c>
      <c r="I618" s="1014">
        <v>0.98221333214273843</v>
      </c>
      <c r="K618">
        <v>2.4408808828094095</v>
      </c>
      <c r="L618">
        <v>0</v>
      </c>
      <c r="M618">
        <v>1.6878193349501558E-3</v>
      </c>
      <c r="N618">
        <v>0.15511240844392127</v>
      </c>
      <c r="O618">
        <v>2.17562643179295E-2</v>
      </c>
      <c r="P618">
        <v>2.8812739180617962E-2</v>
      </c>
      <c r="Q618">
        <v>5.7117154722629623E-3</v>
      </c>
      <c r="R618">
        <v>1.6655044324497793E-3</v>
      </c>
      <c r="S618">
        <v>0.26435291381615422</v>
      </c>
      <c r="T618">
        <v>1.3738971088334173</v>
      </c>
      <c r="U618">
        <v>0.21900436718031085</v>
      </c>
      <c r="V618">
        <v>0.24912538898974987</v>
      </c>
      <c r="W618">
        <v>0.10170267186607612</v>
      </c>
      <c r="X618">
        <v>1.6894665579726808E-2</v>
      </c>
      <c r="Y618">
        <v>4.5329540317396982E-3</v>
      </c>
    </row>
    <row r="619" spans="1:25">
      <c r="A619" s="1010"/>
      <c r="B619" s="1351">
        <v>369</v>
      </c>
      <c r="C619" s="1014">
        <v>1.0127197446565381</v>
      </c>
      <c r="D619" s="1014">
        <v>1.0089047324244593</v>
      </c>
      <c r="E619" s="1014">
        <v>0.99245983502185153</v>
      </c>
      <c r="F619" s="1014">
        <v>1.014386883592695</v>
      </c>
      <c r="G619" s="1014">
        <v>0.98186408256488866</v>
      </c>
      <c r="H619" s="1014">
        <v>1.0005587908878164</v>
      </c>
      <c r="I619" s="1014">
        <v>1.0087569103625207</v>
      </c>
      <c r="K619">
        <v>2.4164810831517123</v>
      </c>
      <c r="L619">
        <v>0</v>
      </c>
      <c r="M619">
        <v>1.6444568038386524E-3</v>
      </c>
      <c r="N619">
        <v>0.14628913572916752</v>
      </c>
      <c r="O619">
        <v>2.0676711757866978E-2</v>
      </c>
      <c r="P619">
        <v>2.847653316040985E-2</v>
      </c>
      <c r="Q619">
        <v>5.3697387197102894E-3</v>
      </c>
      <c r="R619">
        <v>1.6227624821139415E-3</v>
      </c>
      <c r="S619">
        <v>0.25645452176510258</v>
      </c>
      <c r="T619">
        <v>1.3912069037480439</v>
      </c>
      <c r="U619">
        <v>0.2092855672410513</v>
      </c>
      <c r="V619">
        <v>0.2416769239087127</v>
      </c>
      <c r="W619">
        <v>9.6534952355680381E-2</v>
      </c>
      <c r="X619">
        <v>1.6115164554887318E-2</v>
      </c>
      <c r="Y619">
        <v>4.4166245328056885E-3</v>
      </c>
    </row>
    <row r="620" spans="1:25">
      <c r="A620" s="1010"/>
      <c r="B620" s="1351">
        <v>370</v>
      </c>
      <c r="C620" s="1014">
        <v>1.0372415390738263</v>
      </c>
      <c r="D620" s="1014">
        <v>0.96283636725274024</v>
      </c>
      <c r="E620" s="1014">
        <v>0.98073016151675674</v>
      </c>
      <c r="F620" s="1014">
        <v>1.0167623635712795</v>
      </c>
      <c r="G620" s="1014">
        <v>1.0101986720428586</v>
      </c>
      <c r="H620" s="1014">
        <v>0.98773408646635219</v>
      </c>
      <c r="I620" s="1014">
        <v>1.0148214890731933</v>
      </c>
      <c r="K620">
        <v>2.408626633297148</v>
      </c>
      <c r="L620">
        <v>0</v>
      </c>
      <c r="M620">
        <v>1.6407385105628803E-3</v>
      </c>
      <c r="N620">
        <v>0.14084711119024845</v>
      </c>
      <c r="O620">
        <v>2.0388980489783378E-2</v>
      </c>
      <c r="P620">
        <v>2.8248495501038303E-2</v>
      </c>
      <c r="Q620">
        <v>5.2324906501244059E-3</v>
      </c>
      <c r="R620">
        <v>1.618812200626674E-3</v>
      </c>
      <c r="S620">
        <v>0.25671307058555481</v>
      </c>
      <c r="T620">
        <v>1.3942075797501874</v>
      </c>
      <c r="U620">
        <v>0.20429920054098918</v>
      </c>
      <c r="V620">
        <v>0.24510392618686028</v>
      </c>
      <c r="W620">
        <v>9.3600980745390444E-2</v>
      </c>
      <c r="X620">
        <v>1.5600850798097693E-2</v>
      </c>
      <c r="Y620">
        <v>4.4058731688072887E-3</v>
      </c>
    </row>
    <row r="621" spans="1:25">
      <c r="A621" s="1010"/>
      <c r="B621" s="1351">
        <v>371</v>
      </c>
      <c r="C621" s="1014">
        <v>0.96168189673105253</v>
      </c>
      <c r="D621" s="1014">
        <v>1.0054774167087732</v>
      </c>
      <c r="E621" s="1014">
        <v>1.0091538895185286</v>
      </c>
      <c r="F621" s="1014">
        <v>0.9914314535004809</v>
      </c>
      <c r="G621" s="1014">
        <v>0.99586068320210641</v>
      </c>
      <c r="H621" s="1014">
        <v>0.97059894484822395</v>
      </c>
      <c r="I621" s="1014">
        <v>0.99059371401348628</v>
      </c>
      <c r="K621">
        <v>2.419739958536602</v>
      </c>
      <c r="L621">
        <v>0</v>
      </c>
      <c r="M621">
        <v>1.6239093528312943E-3</v>
      </c>
      <c r="N621">
        <v>0.15187107298154776</v>
      </c>
      <c r="O621">
        <v>2.1801869995603355E-2</v>
      </c>
      <c r="P621">
        <v>2.8727849051318772E-2</v>
      </c>
      <c r="Q621">
        <v>5.7577114642759254E-3</v>
      </c>
      <c r="R621">
        <v>1.6018248215310517E-3</v>
      </c>
      <c r="S621">
        <v>0.26317127324543932</v>
      </c>
      <c r="T621">
        <v>1.3600821165667625</v>
      </c>
      <c r="U621">
        <v>0.22045199983891417</v>
      </c>
      <c r="V621">
        <v>0.24727821808302106</v>
      </c>
      <c r="W621">
        <v>9.9229589531614842E-2</v>
      </c>
      <c r="X621">
        <v>1.7030703186608383E-2</v>
      </c>
      <c r="Y621">
        <v>4.3596391227970202E-3</v>
      </c>
    </row>
    <row r="622" spans="1:25">
      <c r="A622" s="1010"/>
      <c r="B622" s="1351">
        <v>372</v>
      </c>
      <c r="C622" s="1014">
        <v>1.0086147975460671</v>
      </c>
      <c r="D622" s="1014">
        <v>1.0062345628927656</v>
      </c>
      <c r="E622" s="1014">
        <v>0.96392024514247743</v>
      </c>
      <c r="F622" s="1014">
        <v>1.006943318894433</v>
      </c>
      <c r="G622" s="1014">
        <v>0.97154819531716397</v>
      </c>
      <c r="H622" s="1014">
        <v>0.97257032989268355</v>
      </c>
      <c r="I622" s="1014">
        <v>1.010049524251087</v>
      </c>
      <c r="K622">
        <v>2.3917528986887979</v>
      </c>
      <c r="L622">
        <v>0</v>
      </c>
      <c r="M622">
        <v>1.7034907263980431E-3</v>
      </c>
      <c r="N622">
        <v>0.13894900758954284</v>
      </c>
      <c r="O622">
        <v>2.0754283683328802E-2</v>
      </c>
      <c r="P622">
        <v>2.7701027744313756E-2</v>
      </c>
      <c r="Q622">
        <v>5.2356270835634076E-3</v>
      </c>
      <c r="R622">
        <v>1.6803708783399286E-3</v>
      </c>
      <c r="S622">
        <v>0.25555942350452121</v>
      </c>
      <c r="T622">
        <v>1.3803794992149678</v>
      </c>
      <c r="U622">
        <v>0.21004095499888903</v>
      </c>
      <c r="V622">
        <v>0.24026648618894961</v>
      </c>
      <c r="W622">
        <v>9.3287412822318602E-2</v>
      </c>
      <c r="X622">
        <v>1.5028880109730639E-2</v>
      </c>
      <c r="Y622">
        <v>4.5734155967301141E-3</v>
      </c>
    </row>
    <row r="623" spans="1:25">
      <c r="A623" s="1010"/>
      <c r="B623" s="1351">
        <v>373</v>
      </c>
      <c r="C623" s="1014">
        <v>0.97710522799418476</v>
      </c>
      <c r="D623" s="1014">
        <v>0.99668686704676768</v>
      </c>
      <c r="E623" s="1014">
        <v>1.0153443739829955</v>
      </c>
      <c r="F623" s="1014">
        <v>1.0102047390047724</v>
      </c>
      <c r="G623" s="1014">
        <v>1.0339103748418992</v>
      </c>
      <c r="H623" s="1014">
        <v>0.99196821631792254</v>
      </c>
      <c r="I623" s="1014">
        <v>0.99463872883733573</v>
      </c>
      <c r="K623">
        <v>2.4511908270505667</v>
      </c>
      <c r="L623">
        <v>0</v>
      </c>
      <c r="M623">
        <v>1.6157030396009057E-3</v>
      </c>
      <c r="N623">
        <v>0.15399939163308343</v>
      </c>
      <c r="O623">
        <v>2.150344242517056E-2</v>
      </c>
      <c r="P623">
        <v>2.9243459066637327E-2</v>
      </c>
      <c r="Q623">
        <v>5.7141065318706561E-3</v>
      </c>
      <c r="R623">
        <v>1.5942034582476397E-3</v>
      </c>
      <c r="S623">
        <v>0.26313096437666805</v>
      </c>
      <c r="T623">
        <v>1.3859715845053326</v>
      </c>
      <c r="U623">
        <v>0.21699392425586458</v>
      </c>
      <c r="V623">
        <v>0.25272733239534639</v>
      </c>
      <c r="W623">
        <v>0.10025420622546538</v>
      </c>
      <c r="X623">
        <v>1.733501893215824E-2</v>
      </c>
      <c r="Y623">
        <v>4.3388962843213018E-3</v>
      </c>
    </row>
    <row r="624" spans="1:25">
      <c r="A624" s="1010"/>
      <c r="B624" s="1351">
        <v>374</v>
      </c>
      <c r="C624" s="1014">
        <v>0.98674910946440941</v>
      </c>
      <c r="D624" s="1014">
        <v>0.9883289085332535</v>
      </c>
      <c r="E624" s="1014">
        <v>0.99740445720459325</v>
      </c>
      <c r="F624" s="1014">
        <v>1.0247013973760117</v>
      </c>
      <c r="G624" s="1014">
        <v>0.96465376946167769</v>
      </c>
      <c r="H624" s="1014">
        <v>0.98395480152062276</v>
      </c>
      <c r="I624" s="1014">
        <v>1.0423081634904017</v>
      </c>
      <c r="K624">
        <v>2.4579552415220278</v>
      </c>
      <c r="L624">
        <v>0</v>
      </c>
      <c r="M624">
        <v>1.6502713159143787E-3</v>
      </c>
      <c r="N624">
        <v>0.1489831698803038</v>
      </c>
      <c r="O624">
        <v>2.1320656974344623E-2</v>
      </c>
      <c r="P624">
        <v>2.9063232127388719E-2</v>
      </c>
      <c r="Q624">
        <v>5.5646374714947147E-3</v>
      </c>
      <c r="R624">
        <v>1.628132906226561E-3</v>
      </c>
      <c r="S624">
        <v>0.2733273780839916</v>
      </c>
      <c r="T624">
        <v>1.4054624809197211</v>
      </c>
      <c r="U624">
        <v>0.21481095097506445</v>
      </c>
      <c r="V624">
        <v>0.24034171619519754</v>
      </c>
      <c r="W624">
        <v>9.8023068252830692E-2</v>
      </c>
      <c r="X624">
        <v>1.6648847994494134E-2</v>
      </c>
      <c r="Y624">
        <v>4.4312410568804056E-3</v>
      </c>
    </row>
    <row r="625" spans="1:25">
      <c r="A625" s="1010"/>
      <c r="B625" s="1351">
        <v>375</v>
      </c>
      <c r="C625" s="1014">
        <v>1.0104931602672538</v>
      </c>
      <c r="D625" s="1014">
        <v>0.96918493508044357</v>
      </c>
      <c r="E625" s="1014">
        <v>0.96314047321419705</v>
      </c>
      <c r="F625" s="1014">
        <v>1.0191853248976492</v>
      </c>
      <c r="G625" s="1014">
        <v>0.993138501729388</v>
      </c>
      <c r="H625" s="1014">
        <v>0.98739093352392371</v>
      </c>
      <c r="I625" s="1014">
        <v>1.0002025342624141</v>
      </c>
      <c r="K625">
        <v>2.4204607740119939</v>
      </c>
      <c r="L625">
        <v>0</v>
      </c>
      <c r="M625">
        <v>1.7433420765350378E-3</v>
      </c>
      <c r="N625">
        <v>0.14189336343877532</v>
      </c>
      <c r="O625">
        <v>2.0886872439256594E-2</v>
      </c>
      <c r="P625">
        <v>2.7990494406320961E-2</v>
      </c>
      <c r="Q625">
        <v>5.2648619962039058E-3</v>
      </c>
      <c r="R625">
        <v>1.7200365083437216E-3</v>
      </c>
      <c r="S625">
        <v>0.25867715841090849</v>
      </c>
      <c r="T625">
        <v>1.3971445329804504</v>
      </c>
      <c r="U625">
        <v>0.20964789682826693</v>
      </c>
      <c r="V625">
        <v>0.24384522460909985</v>
      </c>
      <c r="W625">
        <v>9.53096466211414E-2</v>
      </c>
      <c r="X625">
        <v>1.5142655483932156E-2</v>
      </c>
      <c r="Y625">
        <v>4.6813723658290238E-3</v>
      </c>
    </row>
    <row r="626" spans="1:25">
      <c r="A626" s="1010"/>
      <c r="B626" s="1351">
        <v>376</v>
      </c>
      <c r="C626" s="1014">
        <v>0.97684631307889414</v>
      </c>
      <c r="D626" s="1014">
        <v>0.9781510577082988</v>
      </c>
      <c r="E626" s="1014">
        <v>1.0044687060602628</v>
      </c>
      <c r="F626" s="1014">
        <v>1.0006578991243562</v>
      </c>
      <c r="G626" s="1014">
        <v>0.97268217416814184</v>
      </c>
      <c r="H626" s="1014">
        <v>0.9821167919832654</v>
      </c>
      <c r="I626" s="1014">
        <v>1.0070522267294713</v>
      </c>
      <c r="K626">
        <v>2.4281463589493861</v>
      </c>
      <c r="L626">
        <v>0</v>
      </c>
      <c r="M626">
        <v>1.6434180217532871E-3</v>
      </c>
      <c r="N626">
        <v>0.15156090725033378</v>
      </c>
      <c r="O626">
        <v>2.1590721068018456E-2</v>
      </c>
      <c r="P626">
        <v>2.8752263385556226E-2</v>
      </c>
      <c r="Q626">
        <v>5.6752591642935217E-3</v>
      </c>
      <c r="R626">
        <v>1.6213302896107701E-3</v>
      </c>
      <c r="S626">
        <v>0.26805383780685366</v>
      </c>
      <c r="T626">
        <v>1.3726377567681878</v>
      </c>
      <c r="U626">
        <v>0.21701332391228539</v>
      </c>
      <c r="V626">
        <v>0.24232962475013875</v>
      </c>
      <c r="W626">
        <v>9.9301587860421925E-2</v>
      </c>
      <c r="X626">
        <v>1.6840438138505286E-2</v>
      </c>
      <c r="Y626">
        <v>4.4127265769341867E-3</v>
      </c>
    </row>
    <row r="627" spans="1:25">
      <c r="A627" s="1010"/>
      <c r="B627" s="1351">
        <v>377</v>
      </c>
      <c r="C627" s="1014">
        <v>1.0355808790929077</v>
      </c>
      <c r="D627" s="1014">
        <v>0.97918049839660437</v>
      </c>
      <c r="E627" s="1014">
        <v>0.99815494349326817</v>
      </c>
      <c r="F627" s="1014">
        <v>1.0234059880911177</v>
      </c>
      <c r="G627" s="1014">
        <v>1.0031248463174669</v>
      </c>
      <c r="H627" s="1014">
        <v>1.012197478097981</v>
      </c>
      <c r="I627" s="1014">
        <v>1.0119971354101887</v>
      </c>
      <c r="K627">
        <v>2.4265887662402505</v>
      </c>
      <c r="L627">
        <v>0</v>
      </c>
      <c r="M627">
        <v>1.6183812812082471E-3</v>
      </c>
      <c r="N627">
        <v>0.14649146340561822</v>
      </c>
      <c r="O627">
        <v>2.0357391621253305E-2</v>
      </c>
      <c r="P627">
        <v>2.8735906827709219E-2</v>
      </c>
      <c r="Q627">
        <v>5.3172422565381213E-3</v>
      </c>
      <c r="R627">
        <v>1.5972764533557793E-3</v>
      </c>
      <c r="S627">
        <v>0.25641860768287583</v>
      </c>
      <c r="T627">
        <v>1.4037023244425146</v>
      </c>
      <c r="U627">
        <v>0.20468423403713124</v>
      </c>
      <c r="V627">
        <v>0.24392771043636316</v>
      </c>
      <c r="W627">
        <v>9.6340599252284123E-2</v>
      </c>
      <c r="X627">
        <v>1.6287131141821017E-2</v>
      </c>
      <c r="Y627">
        <v>4.3472599639930946E-3</v>
      </c>
    </row>
    <row r="628" spans="1:25">
      <c r="A628" s="1010"/>
      <c r="B628" s="1351">
        <v>378</v>
      </c>
      <c r="C628" s="1014">
        <v>1.0187377335321355</v>
      </c>
      <c r="D628" s="1014">
        <v>0.98487182173378252</v>
      </c>
      <c r="E628" s="1014">
        <v>0.9970433639555023</v>
      </c>
      <c r="F628" s="1014">
        <v>0.98244404989329281</v>
      </c>
      <c r="G628" s="1014">
        <v>1.0179470919728086</v>
      </c>
      <c r="H628" s="1014">
        <v>0.99169355510196233</v>
      </c>
      <c r="I628" s="1014">
        <v>0.96188403581544091</v>
      </c>
      <c r="K628">
        <v>2.3639686187459445</v>
      </c>
      <c r="L628">
        <v>0</v>
      </c>
      <c r="M628">
        <v>1.6134740697730787E-3</v>
      </c>
      <c r="N628">
        <v>0.14551777424706114</v>
      </c>
      <c r="O628">
        <v>2.0666872908619897E-2</v>
      </c>
      <c r="P628">
        <v>2.789039279625952E-2</v>
      </c>
      <c r="Q628">
        <v>5.3920410056999954E-3</v>
      </c>
      <c r="R628">
        <v>1.5919982021748631E-3</v>
      </c>
      <c r="S628">
        <v>0.24536989124183428</v>
      </c>
      <c r="T628">
        <v>1.3474953751703174</v>
      </c>
      <c r="U628">
        <v>0.20806462138246759</v>
      </c>
      <c r="V628">
        <v>0.24745926706594323</v>
      </c>
      <c r="W628">
        <v>9.5763615803330426E-2</v>
      </c>
      <c r="X628">
        <v>1.6037348687753809E-2</v>
      </c>
      <c r="Y628">
        <v>4.3328943042536729E-3</v>
      </c>
    </row>
    <row r="629" spans="1:25">
      <c r="A629" s="1010"/>
      <c r="B629" s="1351">
        <v>379</v>
      </c>
      <c r="C629" s="1014">
        <v>0.99818498738214256</v>
      </c>
      <c r="D629" s="1014">
        <v>1.0266887025881946</v>
      </c>
      <c r="E629" s="1014">
        <v>0.99505538725897691</v>
      </c>
      <c r="F629" s="1014">
        <v>0.96754416117924336</v>
      </c>
      <c r="G629" s="1014">
        <v>0.97719258749094251</v>
      </c>
      <c r="H629" s="1014">
        <v>1.0019205697574478</v>
      </c>
      <c r="I629" s="1014">
        <v>1.0128353803161607</v>
      </c>
      <c r="K629">
        <v>2.3609567382368439</v>
      </c>
      <c r="L629">
        <v>0</v>
      </c>
      <c r="M629">
        <v>1.6553351717722164E-3</v>
      </c>
      <c r="N629">
        <v>0.14841938138655503</v>
      </c>
      <c r="O629">
        <v>2.0899016120731431E-2</v>
      </c>
      <c r="P629">
        <v>2.7738224143847884E-2</v>
      </c>
      <c r="Q629">
        <v>5.4416990399414923E-3</v>
      </c>
      <c r="R629">
        <v>1.6335270196290842E-3</v>
      </c>
      <c r="S629">
        <v>0.25911322493119626</v>
      </c>
      <c r="T629">
        <v>1.3270174974324103</v>
      </c>
      <c r="U629">
        <v>0.21234189288864339</v>
      </c>
      <c r="V629">
        <v>0.24176693454874773</v>
      </c>
      <c r="W629">
        <v>9.7788965375834785E-2</v>
      </c>
      <c r="X629">
        <v>1.6005788465684619E-2</v>
      </c>
      <c r="Y629">
        <v>4.4459220553930692E-3</v>
      </c>
    </row>
    <row r="630" spans="1:25">
      <c r="A630" s="1010"/>
      <c r="B630" s="1351">
        <v>380</v>
      </c>
      <c r="C630" s="1014">
        <v>0.99516281586644273</v>
      </c>
      <c r="D630" s="1014">
        <v>0.985413668290129</v>
      </c>
      <c r="E630" s="1014">
        <v>1.0229995418835578</v>
      </c>
      <c r="F630" s="1014">
        <v>1.0177825950007928</v>
      </c>
      <c r="G630" s="1014">
        <v>1.0285731622163907</v>
      </c>
      <c r="H630" s="1014">
        <v>1.0044996854880905</v>
      </c>
      <c r="I630" s="1014">
        <v>0.97504098289450902</v>
      </c>
      <c r="K630">
        <v>2.4488951089507558</v>
      </c>
      <c r="L630">
        <v>0</v>
      </c>
      <c r="M630">
        <v>1.5850067712395006E-3</v>
      </c>
      <c r="N630">
        <v>0.15462932013387132</v>
      </c>
      <c r="O630">
        <v>2.1171294189057201E-2</v>
      </c>
      <c r="P630">
        <v>2.9369825340412162E-2</v>
      </c>
      <c r="Q630">
        <v>5.6688424660866253E-3</v>
      </c>
      <c r="R630">
        <v>1.5641787728614602E-3</v>
      </c>
      <c r="S630">
        <v>0.25582869307484107</v>
      </c>
      <c r="T630">
        <v>1.3965373314423841</v>
      </c>
      <c r="U630">
        <v>0.2130828626987564</v>
      </c>
      <c r="V630">
        <v>0.25062942877399996</v>
      </c>
      <c r="W630">
        <v>0.10021416393657773</v>
      </c>
      <c r="X630">
        <v>1.7526995904809998E-2</v>
      </c>
      <c r="Y630">
        <v>4.257178988335001E-3</v>
      </c>
    </row>
    <row r="631" spans="1:25">
      <c r="A631" s="1010"/>
      <c r="B631" s="1351">
        <v>381</v>
      </c>
      <c r="C631" s="1014">
        <v>0.98389695816972755</v>
      </c>
      <c r="D631" s="1014">
        <v>1.0301192510950603</v>
      </c>
      <c r="E631" s="1014">
        <v>1.0241834965175824</v>
      </c>
      <c r="F631" s="1014">
        <v>1.0132407790641136</v>
      </c>
      <c r="G631" s="1014">
        <v>0.99021838028154163</v>
      </c>
      <c r="H631" s="1014">
        <v>1.0342637685253131</v>
      </c>
      <c r="I631" s="1014">
        <v>1.0087341810283486</v>
      </c>
      <c r="K631">
        <v>2.4564863307987883</v>
      </c>
      <c r="L631">
        <v>0</v>
      </c>
      <c r="M631">
        <v>1.6306004728356878E-3</v>
      </c>
      <c r="N631">
        <v>0.1597075521914087</v>
      </c>
      <c r="O631">
        <v>2.1206503773331678E-2</v>
      </c>
      <c r="P631">
        <v>2.9381397014411233E-2</v>
      </c>
      <c r="Q631">
        <v>5.6849443842499226E-3</v>
      </c>
      <c r="R631">
        <v>1.6097899749259665E-3</v>
      </c>
      <c r="S631">
        <v>0.26442357776241554</v>
      </c>
      <c r="T631">
        <v>1.3903314028475602</v>
      </c>
      <c r="U631">
        <v>0.2155268409378627</v>
      </c>
      <c r="V631">
        <v>0.24479782760387811</v>
      </c>
      <c r="W631">
        <v>0.10343386115740413</v>
      </c>
      <c r="X631">
        <v>1.7631915979550817E-2</v>
      </c>
      <c r="Y631">
        <v>4.3813176446258666E-3</v>
      </c>
    </row>
    <row r="632" spans="1:25">
      <c r="A632" s="1010"/>
      <c r="B632" s="1351">
        <v>382</v>
      </c>
      <c r="C632" s="1014">
        <v>0.97863396187947582</v>
      </c>
      <c r="D632" s="1014">
        <v>1.0041877393796144</v>
      </c>
      <c r="E632" s="1014">
        <v>1.0184803459503391</v>
      </c>
      <c r="F632" s="1014">
        <v>0.98673633950677397</v>
      </c>
      <c r="G632" s="1014">
        <v>0.98510297485872178</v>
      </c>
      <c r="H632" s="1014">
        <v>1.0330063234159925</v>
      </c>
      <c r="I632" s="1014">
        <v>0.97542592313403809</v>
      </c>
      <c r="K632">
        <v>2.4172241164183288</v>
      </c>
      <c r="L632">
        <v>0</v>
      </c>
      <c r="M632">
        <v>1.6662457444163619E-3</v>
      </c>
      <c r="N632">
        <v>0.16041269193361088</v>
      </c>
      <c r="O632">
        <v>2.1436597093500959E-2</v>
      </c>
      <c r="P632">
        <v>2.8704303958159327E-2</v>
      </c>
      <c r="Q632">
        <v>5.7141607264882257E-3</v>
      </c>
      <c r="R632">
        <v>1.644954438910023E-3</v>
      </c>
      <c r="S632">
        <v>0.26018200299213173</v>
      </c>
      <c r="T632">
        <v>1.3538407710409037</v>
      </c>
      <c r="U632">
        <v>0.21666593779951454</v>
      </c>
      <c r="V632">
        <v>0.24428548095008068</v>
      </c>
      <c r="W632">
        <v>0.10423740292396987</v>
      </c>
      <c r="X632">
        <v>1.7289034581843953E-2</v>
      </c>
      <c r="Y632">
        <v>4.4770237236280317E-3</v>
      </c>
    </row>
    <row r="633" spans="1:25">
      <c r="A633" s="1010"/>
      <c r="B633" s="1351">
        <v>383</v>
      </c>
      <c r="C633" s="1014">
        <v>1.0056388849163505</v>
      </c>
      <c r="D633" s="1014">
        <v>0.99772386652828804</v>
      </c>
      <c r="E633" s="1014">
        <v>0.9738976051957362</v>
      </c>
      <c r="F633" s="1014">
        <v>1.0164085964959186</v>
      </c>
      <c r="G633" s="1014">
        <v>0.97699233987320588</v>
      </c>
      <c r="H633" s="1014">
        <v>1.0258920590082024</v>
      </c>
      <c r="I633" s="1014">
        <v>1.0093029914253728</v>
      </c>
      <c r="K633">
        <v>2.4302092416014083</v>
      </c>
      <c r="L633">
        <v>0</v>
      </c>
      <c r="M633">
        <v>1.7687697227561894E-3</v>
      </c>
      <c r="N633">
        <v>0.14880539126340148</v>
      </c>
      <c r="O633">
        <v>2.0861188800428993E-2</v>
      </c>
      <c r="P633">
        <v>2.8197685351503569E-2</v>
      </c>
      <c r="Q633">
        <v>5.3165694216615895E-3</v>
      </c>
      <c r="R633">
        <v>1.7460116309111048E-3</v>
      </c>
      <c r="S633">
        <v>0.26185484664470771</v>
      </c>
      <c r="T633">
        <v>1.393572990018896</v>
      </c>
      <c r="U633">
        <v>0.2106962554472129</v>
      </c>
      <c r="V633">
        <v>0.24134425757628938</v>
      </c>
      <c r="W633">
        <v>9.929941598162903E-2</v>
      </c>
      <c r="X633">
        <v>1.5531331100760135E-2</v>
      </c>
      <c r="Y633">
        <v>4.7520680867605873E-3</v>
      </c>
    </row>
    <row r="634" spans="1:25">
      <c r="A634" s="1010"/>
      <c r="B634" s="1351">
        <v>384</v>
      </c>
      <c r="C634" s="1014">
        <v>1.0453240124537269</v>
      </c>
      <c r="D634" s="1014">
        <v>0.97157671832503112</v>
      </c>
      <c r="E634" s="1014">
        <v>1.0194240360877673</v>
      </c>
      <c r="F634" s="1014">
        <v>1.033154831069016</v>
      </c>
      <c r="G634" s="1014">
        <v>1.0274675235124135</v>
      </c>
      <c r="H634" s="1014">
        <v>0.99806452538475499</v>
      </c>
      <c r="I634" s="1014">
        <v>0.9908915323383356</v>
      </c>
      <c r="K634">
        <v>2.433762610278305</v>
      </c>
      <c r="L634">
        <v>0</v>
      </c>
      <c r="M634">
        <v>1.5151853605851822E-3</v>
      </c>
      <c r="N634">
        <v>0.14621943088675823</v>
      </c>
      <c r="O634">
        <v>2.0215873538243358E-2</v>
      </c>
      <c r="P634">
        <v>2.9299884487294106E-2</v>
      </c>
      <c r="Q634">
        <v>5.3938242718329418E-3</v>
      </c>
      <c r="R634">
        <v>1.4951464842816611E-3</v>
      </c>
      <c r="S634">
        <v>0.24872836416588059</v>
      </c>
      <c r="T634">
        <v>1.4175499190476211</v>
      </c>
      <c r="U634">
        <v>0.20284608187422778</v>
      </c>
      <c r="V634">
        <v>0.24744417201785682</v>
      </c>
      <c r="W634">
        <v>9.4962025471267517E-2</v>
      </c>
      <c r="X634">
        <v>1.70537775383151E-2</v>
      </c>
      <c r="Y634">
        <v>4.0692958553086005E-3</v>
      </c>
    </row>
    <row r="635" spans="1:25">
      <c r="A635" s="1010"/>
      <c r="B635" s="1351">
        <v>385</v>
      </c>
      <c r="C635" s="1014">
        <v>1.0126485065304294</v>
      </c>
      <c r="D635" s="1014">
        <v>1.0477606708135319</v>
      </c>
      <c r="E635" s="1014">
        <v>0.97281292555899024</v>
      </c>
      <c r="F635" s="1014">
        <v>0.99789181680612193</v>
      </c>
      <c r="G635" s="1014">
        <v>0.97996202206245586</v>
      </c>
      <c r="H635" s="1014">
        <v>1.0156626284639128</v>
      </c>
      <c r="I635" s="1014">
        <v>0.97246949688500905</v>
      </c>
      <c r="K635">
        <v>2.3767091068817119</v>
      </c>
      <c r="L635">
        <v>0</v>
      </c>
      <c r="M635">
        <v>1.7242494059516843E-3</v>
      </c>
      <c r="N635">
        <v>0.14456542685875462</v>
      </c>
      <c r="O635">
        <v>2.0494256055086889E-2</v>
      </c>
      <c r="P635">
        <v>2.7573617432218454E-2</v>
      </c>
      <c r="Q635">
        <v>5.2172785396169203E-3</v>
      </c>
      <c r="R635">
        <v>1.7018406972733019E-3</v>
      </c>
      <c r="S635">
        <v>0.24371453285754058</v>
      </c>
      <c r="T635">
        <v>1.3681618051710664</v>
      </c>
      <c r="U635">
        <v>0.20923415611568716</v>
      </c>
      <c r="V635">
        <v>0.24142637817226204</v>
      </c>
      <c r="W635">
        <v>9.6533581081501521E-2</v>
      </c>
      <c r="X635">
        <v>1.5178633940311534E-2</v>
      </c>
      <c r="Y635">
        <v>4.6318493663428462E-3</v>
      </c>
    </row>
    <row r="636" spans="1:25">
      <c r="A636" s="1010"/>
      <c r="B636" s="1351">
        <v>386</v>
      </c>
      <c r="C636" s="1014">
        <v>1.0205525733231633</v>
      </c>
      <c r="D636" s="1014">
        <v>1.0190776435641449</v>
      </c>
      <c r="E636" s="1014">
        <v>0.97809511939958493</v>
      </c>
      <c r="F636" s="1014">
        <v>0.98947048147858774</v>
      </c>
      <c r="G636" s="1014">
        <v>0.98781465582153249</v>
      </c>
      <c r="H636" s="1014">
        <v>0.99256953487382105</v>
      </c>
      <c r="I636" s="1014">
        <v>0.98497484512843736</v>
      </c>
      <c r="K636">
        <v>2.3621736177489838</v>
      </c>
      <c r="L636">
        <v>0</v>
      </c>
      <c r="M636">
        <v>1.6639752245009125E-3</v>
      </c>
      <c r="N636">
        <v>0.14171682581147993</v>
      </c>
      <c r="O636">
        <v>2.046349832585536E-2</v>
      </c>
      <c r="P636">
        <v>2.7558330141953941E-2</v>
      </c>
      <c r="Q636">
        <v>5.2375634933159955E-3</v>
      </c>
      <c r="R636">
        <v>1.6418467165027321E-3</v>
      </c>
      <c r="S636">
        <v>0.24648089503691131</v>
      </c>
      <c r="T636">
        <v>1.3567281811553225</v>
      </c>
      <c r="U636">
        <v>0.20763128267344841</v>
      </c>
      <c r="V636">
        <v>0.2422722223239826</v>
      </c>
      <c r="W636">
        <v>9.4328993315698162E-2</v>
      </c>
      <c r="X636">
        <v>1.530938845131505E-2</v>
      </c>
      <c r="Y636">
        <v>4.4685655276958036E-3</v>
      </c>
    </row>
    <row r="637" spans="1:25">
      <c r="A637" s="1010"/>
      <c r="B637" s="1351">
        <v>387</v>
      </c>
      <c r="C637" s="1014">
        <v>1.0207530917193917</v>
      </c>
      <c r="D637" s="1014">
        <v>0.99076832244707103</v>
      </c>
      <c r="E637" s="1014">
        <v>1.0027394928711681</v>
      </c>
      <c r="F637" s="1014">
        <v>1.0343049159906743</v>
      </c>
      <c r="G637" s="1014">
        <v>0.98618020265889139</v>
      </c>
      <c r="H637" s="1014">
        <v>0.97365486902897624</v>
      </c>
      <c r="I637" s="1014">
        <v>1.016576179245263</v>
      </c>
      <c r="K637">
        <v>2.4376842092607953</v>
      </c>
      <c r="L637">
        <v>0</v>
      </c>
      <c r="M637">
        <v>1.5603771209647429E-3</v>
      </c>
      <c r="N637">
        <v>0.14313604307170419</v>
      </c>
      <c r="O637">
        <v>2.0602710641016802E-2</v>
      </c>
      <c r="P637">
        <v>2.9054872841840176E-2</v>
      </c>
      <c r="Q637">
        <v>5.4061680451562479E-3</v>
      </c>
      <c r="R637">
        <v>1.5392232060968073E-3</v>
      </c>
      <c r="S637">
        <v>0.2565483694229494</v>
      </c>
      <c r="T637">
        <v>1.4187538464464733</v>
      </c>
      <c r="U637">
        <v>0.20767289650637957</v>
      </c>
      <c r="V637">
        <v>0.24189288017471219</v>
      </c>
      <c r="W637">
        <v>9.3877838625322882E-2</v>
      </c>
      <c r="X637">
        <v>1.6570479237903956E-2</v>
      </c>
      <c r="Y637">
        <v>4.1892581622019875E-3</v>
      </c>
    </row>
    <row r="638" spans="1:25">
      <c r="A638" s="1010"/>
      <c r="B638" s="1351">
        <v>388</v>
      </c>
      <c r="C638" s="1014">
        <v>0.98533941689029658</v>
      </c>
      <c r="D638" s="1014">
        <v>0.99525087944978152</v>
      </c>
      <c r="E638" s="1014">
        <v>1.038149907340487</v>
      </c>
      <c r="F638" s="1014">
        <v>0.9755807761106996</v>
      </c>
      <c r="G638" s="1014">
        <v>0.97443249276803268</v>
      </c>
      <c r="H638" s="1014">
        <v>1.0206097821544273</v>
      </c>
      <c r="I638" s="1014">
        <v>0.9933138337233397</v>
      </c>
      <c r="K638">
        <v>2.4015908864577704</v>
      </c>
      <c r="L638">
        <v>0</v>
      </c>
      <c r="M638">
        <v>1.5724918938207959E-3</v>
      </c>
      <c r="N638">
        <v>0.16061075528928997</v>
      </c>
      <c r="O638">
        <v>2.1345948409202172E-2</v>
      </c>
      <c r="P638">
        <v>2.8901894322583613E-2</v>
      </c>
      <c r="Q638">
        <v>5.8018399844115588E-3</v>
      </c>
      <c r="R638">
        <v>1.5521545183273858E-3</v>
      </c>
      <c r="S638">
        <v>0.26342360479296617</v>
      </c>
      <c r="T638">
        <v>1.3389522194845289</v>
      </c>
      <c r="U638">
        <v>0.21526000466276257</v>
      </c>
      <c r="V638">
        <v>0.24196444902199785</v>
      </c>
      <c r="W638">
        <v>0.10317968834906033</v>
      </c>
      <c r="X638">
        <v>1.7946366585171798E-2</v>
      </c>
      <c r="Y638">
        <v>4.2244529312876911E-3</v>
      </c>
    </row>
    <row r="639" spans="1:25">
      <c r="A639" s="1010"/>
      <c r="B639" s="1351">
        <v>389</v>
      </c>
      <c r="C639" s="1014">
        <v>1.025000913551672</v>
      </c>
      <c r="D639" s="1014">
        <v>1.003963745053706</v>
      </c>
      <c r="E639" s="1014">
        <v>1.0172105677159358</v>
      </c>
      <c r="F639" s="1014">
        <v>1.0124665293254165</v>
      </c>
      <c r="G639" s="1014">
        <v>0.98635730369116592</v>
      </c>
      <c r="H639" s="1014">
        <v>0.97614956040833079</v>
      </c>
      <c r="I639" s="1014">
        <v>1.0069858204746425</v>
      </c>
      <c r="K639">
        <v>2.4034136390496248</v>
      </c>
      <c r="L639">
        <v>0</v>
      </c>
      <c r="M639">
        <v>1.5073593731057438E-3</v>
      </c>
      <c r="N639">
        <v>0.14445249571080621</v>
      </c>
      <c r="O639">
        <v>2.0467071784303785E-2</v>
      </c>
      <c r="P639">
        <v>2.887572868374258E-2</v>
      </c>
      <c r="Q639">
        <v>5.4488322818866891E-3</v>
      </c>
      <c r="R639">
        <v>1.4869764408441664E-3</v>
      </c>
      <c r="S639">
        <v>0.25171793608471577</v>
      </c>
      <c r="T639">
        <v>1.3891156923792467</v>
      </c>
      <c r="U639">
        <v>0.20686058914631125</v>
      </c>
      <c r="V639">
        <v>0.24161906131595373</v>
      </c>
      <c r="W639">
        <v>9.3936220877802845E-2</v>
      </c>
      <c r="X639">
        <v>1.689333402679177E-2</v>
      </c>
      <c r="Y639">
        <v>4.047059690325836E-3</v>
      </c>
    </row>
    <row r="640" spans="1:25">
      <c r="A640" s="1010"/>
      <c r="B640" s="1351">
        <v>390</v>
      </c>
      <c r="C640" s="1014">
        <v>1.0371928013828171</v>
      </c>
      <c r="D640" s="1014">
        <v>1.0018891286928431</v>
      </c>
      <c r="E640" s="1014">
        <v>0.98636066799915556</v>
      </c>
      <c r="F640" s="1014">
        <v>1.0121569205633327</v>
      </c>
      <c r="G640" s="1014">
        <v>0.99645602965986602</v>
      </c>
      <c r="H640" s="1014">
        <v>1.0362469727882162</v>
      </c>
      <c r="I640" s="1014">
        <v>1.0304569840751556</v>
      </c>
      <c r="K640">
        <v>2.4136978073701711</v>
      </c>
      <c r="L640">
        <v>0</v>
      </c>
      <c r="M640">
        <v>1.6866502179518927E-3</v>
      </c>
      <c r="N640">
        <v>0.14736882214675159</v>
      </c>
      <c r="O640">
        <v>2.0215957141763406E-2</v>
      </c>
      <c r="P640">
        <v>2.829351869771515E-2</v>
      </c>
      <c r="Q640">
        <v>5.217803984027331E-3</v>
      </c>
      <c r="R640">
        <v>1.6651655834256851E-3</v>
      </c>
      <c r="S640">
        <v>0.25964820741554179</v>
      </c>
      <c r="T640">
        <v>1.3880153340630939</v>
      </c>
      <c r="U640">
        <v>0.20432730792991219</v>
      </c>
      <c r="V640">
        <v>0.24273800232454668</v>
      </c>
      <c r="W640">
        <v>9.7603564923985392E-2</v>
      </c>
      <c r="X640">
        <v>1.5758741580961563E-2</v>
      </c>
      <c r="Y640">
        <v>4.5320317963976654E-3</v>
      </c>
    </row>
    <row r="641" spans="1:25">
      <c r="A641" s="1010"/>
      <c r="B641" s="1351">
        <v>391</v>
      </c>
      <c r="C641" s="1014">
        <v>1.0365815254106301</v>
      </c>
      <c r="D641" s="1014">
        <v>0.97477890187625926</v>
      </c>
      <c r="E641" s="1014">
        <v>1.009518448010974</v>
      </c>
      <c r="F641" s="1014">
        <v>0.99948590788630143</v>
      </c>
      <c r="G641" s="1014">
        <v>0.97212332830393733</v>
      </c>
      <c r="H641" s="1014">
        <v>0.98776916304091167</v>
      </c>
      <c r="I641" s="1014">
        <v>1.0058411437905517</v>
      </c>
      <c r="K641">
        <v>2.3810391569955129</v>
      </c>
      <c r="L641">
        <v>0</v>
      </c>
      <c r="M641">
        <v>1.54254940796387E-3</v>
      </c>
      <c r="N641">
        <v>0.14445561914026306</v>
      </c>
      <c r="O641">
        <v>2.0365229044163047E-2</v>
      </c>
      <c r="P641">
        <v>2.841219769764464E-2</v>
      </c>
      <c r="Q641">
        <v>5.3802663649213161E-3</v>
      </c>
      <c r="R641">
        <v>1.5219359981312516E-3</v>
      </c>
      <c r="S641">
        <v>0.25325346518568564</v>
      </c>
      <c r="T641">
        <v>1.3711394085837234</v>
      </c>
      <c r="U641">
        <v>0.20452414025678273</v>
      </c>
      <c r="V641">
        <v>0.23853566668885565</v>
      </c>
      <c r="W641">
        <v>9.4364178587783232E-2</v>
      </c>
      <c r="X641">
        <v>1.6487390774672143E-2</v>
      </c>
      <c r="Y641">
        <v>4.142208080846318E-3</v>
      </c>
    </row>
    <row r="642" spans="1:25">
      <c r="A642" s="1010"/>
      <c r="B642" s="1351">
        <v>392</v>
      </c>
      <c r="C642" s="1014">
        <v>1.0054495453992636</v>
      </c>
      <c r="D642" s="1014">
        <v>0.9745022856247797</v>
      </c>
      <c r="E642" s="1014">
        <v>0.9934093492216749</v>
      </c>
      <c r="F642" s="1014">
        <v>0.99717546907069143</v>
      </c>
      <c r="G642" s="1014">
        <v>0.97456410370959012</v>
      </c>
      <c r="H642" s="1014">
        <v>1.0069158647302792</v>
      </c>
      <c r="I642" s="1014">
        <v>1.0095532884564504</v>
      </c>
      <c r="K642">
        <v>2.4064939616936956</v>
      </c>
      <c r="L642">
        <v>0</v>
      </c>
      <c r="M642">
        <v>1.6763411468549562E-3</v>
      </c>
      <c r="N642">
        <v>0.14956678727473069</v>
      </c>
      <c r="O642">
        <v>2.0986417281741616E-2</v>
      </c>
      <c r="P642">
        <v>2.8283379056071839E-2</v>
      </c>
      <c r="Q642">
        <v>5.4553939135585858E-3</v>
      </c>
      <c r="R642">
        <v>1.6543658151092768E-3</v>
      </c>
      <c r="S642">
        <v>0.26360701331696912</v>
      </c>
      <c r="T642">
        <v>1.3676223169101813</v>
      </c>
      <c r="U642">
        <v>0.21080209267856012</v>
      </c>
      <c r="V642">
        <v>0.24087215391558872</v>
      </c>
      <c r="W642">
        <v>9.8641851680671674E-2</v>
      </c>
      <c r="X642">
        <v>1.6175892610181219E-2</v>
      </c>
      <c r="Y642">
        <v>4.5026383871830692E-3</v>
      </c>
    </row>
    <row r="643" spans="1:25">
      <c r="A643" s="1010"/>
      <c r="B643" s="1351">
        <v>393</v>
      </c>
      <c r="C643" s="1014">
        <v>1.0174361122822626</v>
      </c>
      <c r="D643" s="1014">
        <v>0.99093050564014862</v>
      </c>
      <c r="E643" s="1014">
        <v>0.98649768662727699</v>
      </c>
      <c r="F643" s="1014">
        <v>1.0081338024690489</v>
      </c>
      <c r="G643" s="1014">
        <v>1.0154635354160746</v>
      </c>
      <c r="H643" s="1014">
        <v>0.99888752850824858</v>
      </c>
      <c r="I643" s="1014">
        <v>0.98857304712898408</v>
      </c>
      <c r="K643">
        <v>2.4059132534906422</v>
      </c>
      <c r="L643">
        <v>0</v>
      </c>
      <c r="M643">
        <v>1.6609568062950684E-3</v>
      </c>
      <c r="N643">
        <v>0.14511398222873881</v>
      </c>
      <c r="O643">
        <v>2.0658527141570401E-2</v>
      </c>
      <c r="P643">
        <v>2.8235016029991875E-2</v>
      </c>
      <c r="Q643">
        <v>5.3327727035233155E-3</v>
      </c>
      <c r="R643">
        <v>1.639008148560585E-3</v>
      </c>
      <c r="S643">
        <v>0.25223442353360487</v>
      </c>
      <c r="T643">
        <v>1.3825012344316343</v>
      </c>
      <c r="U643">
        <v>0.20829541796385923</v>
      </c>
      <c r="V643">
        <v>0.24715253932147249</v>
      </c>
      <c r="W643">
        <v>9.6102255216599972E-2</v>
      </c>
      <c r="X643">
        <v>1.5848193695891001E-2</v>
      </c>
      <c r="Y643">
        <v>4.4608398814909491E-3</v>
      </c>
    </row>
    <row r="644" spans="1:25">
      <c r="A644" s="1010"/>
      <c r="B644" s="1351">
        <v>394</v>
      </c>
      <c r="C644" s="1014">
        <v>1.0234605723598322</v>
      </c>
      <c r="D644" s="1014">
        <v>1.0000141136887952</v>
      </c>
      <c r="E644" s="1014">
        <v>0.98616099069065988</v>
      </c>
      <c r="F644" s="1014">
        <v>0.99402279741413468</v>
      </c>
      <c r="G644" s="1014">
        <v>0.9877963267863985</v>
      </c>
      <c r="H644" s="1014">
        <v>1.0284549256672986</v>
      </c>
      <c r="I644" s="1014">
        <v>1.0272424032129972</v>
      </c>
      <c r="K644">
        <v>2.3946692915232091</v>
      </c>
      <c r="L644">
        <v>0</v>
      </c>
      <c r="M644">
        <v>1.69782867301888E-3</v>
      </c>
      <c r="N644">
        <v>0.14824147662692388</v>
      </c>
      <c r="O644">
        <v>2.0495519242906612E-2</v>
      </c>
      <c r="P644">
        <v>2.8011575215884137E-2</v>
      </c>
      <c r="Q644">
        <v>5.2888901002874399E-3</v>
      </c>
      <c r="R644">
        <v>1.6760377904859267E-3</v>
      </c>
      <c r="S644">
        <v>0.26188903523629492</v>
      </c>
      <c r="T644">
        <v>1.3631429320464508</v>
      </c>
      <c r="U644">
        <v>0.20706819352465283</v>
      </c>
      <c r="V644">
        <v>0.24206629334439778</v>
      </c>
      <c r="W644">
        <v>9.8193310929174535E-2</v>
      </c>
      <c r="X644">
        <v>1.5732233778776281E-2</v>
      </c>
      <c r="Y644">
        <v>4.5616223599935484E-3</v>
      </c>
    </row>
    <row r="645" spans="1:25">
      <c r="A645" s="1010"/>
      <c r="B645" s="1351">
        <v>395</v>
      </c>
      <c r="C645" s="1014">
        <v>0.98946246595856324</v>
      </c>
      <c r="D645" s="1014">
        <v>1.0187301772578699</v>
      </c>
      <c r="E645" s="1014">
        <v>1.0207559285636778</v>
      </c>
      <c r="F645" s="1014">
        <v>1.0097948914382362</v>
      </c>
      <c r="G645" s="1014">
        <v>0.98089785314137912</v>
      </c>
      <c r="H645" s="1014">
        <v>0.98614342724446924</v>
      </c>
      <c r="I645" s="1014">
        <v>0.99407290061348719</v>
      </c>
      <c r="K645">
        <v>2.4258032074461813</v>
      </c>
      <c r="L645">
        <v>0</v>
      </c>
      <c r="M645">
        <v>1.5608718041821045E-3</v>
      </c>
      <c r="N645">
        <v>0.15121023451191343</v>
      </c>
      <c r="O645">
        <v>2.1136564362782956E-2</v>
      </c>
      <c r="P645">
        <v>2.9086611029356151E-2</v>
      </c>
      <c r="Q645">
        <v>5.6469467872352665E-3</v>
      </c>
      <c r="R645">
        <v>1.5399791618508918E-3</v>
      </c>
      <c r="S645">
        <v>0.25641664694040578</v>
      </c>
      <c r="T645">
        <v>1.3855278952161088</v>
      </c>
      <c r="U645">
        <v>0.21430266856632021</v>
      </c>
      <c r="V645">
        <v>0.24286203634262998</v>
      </c>
      <c r="W645">
        <v>9.812680908345861E-2</v>
      </c>
      <c r="X645">
        <v>1.7316371623737899E-2</v>
      </c>
      <c r="Y645">
        <v>4.1913156245638574E-3</v>
      </c>
    </row>
    <row r="646" spans="1:25">
      <c r="A646" s="1010"/>
      <c r="B646" s="1351">
        <v>396</v>
      </c>
      <c r="C646" s="1014">
        <v>1.0447369099505488</v>
      </c>
      <c r="D646" s="1014">
        <v>0.98069665215361379</v>
      </c>
      <c r="E646" s="1014">
        <v>0.9862565760992088</v>
      </c>
      <c r="F646" s="1014">
        <v>1.0294141064005782</v>
      </c>
      <c r="G646" s="1014">
        <v>0.99529565802432718</v>
      </c>
      <c r="H646" s="1014">
        <v>1.0118394169428173</v>
      </c>
      <c r="I646" s="1014">
        <v>0.97061021721577345</v>
      </c>
      <c r="K646">
        <v>2.4124797464280854</v>
      </c>
      <c r="L646">
        <v>0</v>
      </c>
      <c r="M646">
        <v>1.6430930780065372E-3</v>
      </c>
      <c r="N646">
        <v>0.14347322101877369</v>
      </c>
      <c r="O646">
        <v>2.0164531229255097E-2</v>
      </c>
      <c r="P646">
        <v>2.8363851586215506E-2</v>
      </c>
      <c r="Q646">
        <v>5.2039821132930661E-3</v>
      </c>
      <c r="R646">
        <v>1.6216584085426407E-3</v>
      </c>
      <c r="S646">
        <v>0.24346737409064348</v>
      </c>
      <c r="T646">
        <v>1.4116785615015723</v>
      </c>
      <c r="U646">
        <v>0.20285150822045594</v>
      </c>
      <c r="V646">
        <v>0.2421058510608774</v>
      </c>
      <c r="W646">
        <v>9.5029419669473522E-2</v>
      </c>
      <c r="X646">
        <v>1.5749260998483689E-2</v>
      </c>
      <c r="Y646">
        <v>4.4136196085023619E-3</v>
      </c>
    </row>
    <row r="647" spans="1:25">
      <c r="A647" s="1010"/>
      <c r="B647" s="1351">
        <v>397</v>
      </c>
      <c r="C647" s="1014">
        <v>1.0206057390619836</v>
      </c>
      <c r="D647" s="1014">
        <v>0.99838019098355868</v>
      </c>
      <c r="E647" s="1014">
        <v>0.99638417341557028</v>
      </c>
      <c r="F647" s="1014">
        <v>0.98806531853680879</v>
      </c>
      <c r="G647" s="1014">
        <v>0.99715592818530041</v>
      </c>
      <c r="H647" s="1014">
        <v>0.98645506313810827</v>
      </c>
      <c r="I647" s="1014">
        <v>0.99142338777490746</v>
      </c>
      <c r="K647">
        <v>2.369888245004526</v>
      </c>
      <c r="L647">
        <v>0</v>
      </c>
      <c r="M647">
        <v>1.5994039094418971E-3</v>
      </c>
      <c r="N647">
        <v>0.14395142317739892</v>
      </c>
      <c r="O647">
        <v>2.0566885558020501E-2</v>
      </c>
      <c r="P647">
        <v>2.7993228647767633E-2</v>
      </c>
      <c r="Q647">
        <v>5.3623932457577553E-3</v>
      </c>
      <c r="R647">
        <v>1.5780022689026972E-3</v>
      </c>
      <c r="S647">
        <v>0.25028135813456903</v>
      </c>
      <c r="T647">
        <v>1.3551912872222875</v>
      </c>
      <c r="U647">
        <v>0.20768159593904142</v>
      </c>
      <c r="V647">
        <v>0.24379872389198995</v>
      </c>
      <c r="W647">
        <v>9.477003654760012E-2</v>
      </c>
      <c r="X647">
        <v>1.6017912292988445E-2</v>
      </c>
      <c r="Y647">
        <v>4.2948019876450014E-3</v>
      </c>
    </row>
    <row r="648" spans="1:25">
      <c r="A648" s="1010"/>
      <c r="B648" s="1351">
        <v>398</v>
      </c>
      <c r="C648" s="1014">
        <v>0.97355942424592068</v>
      </c>
      <c r="D648" s="1014">
        <v>1.0416032986893271</v>
      </c>
      <c r="E648" s="1014">
        <v>1.0489697177934643</v>
      </c>
      <c r="F648" s="1014">
        <v>1.036299950563772</v>
      </c>
      <c r="G648" s="1014">
        <v>0.97267292883259604</v>
      </c>
      <c r="H648" s="1014">
        <v>0.99598796148966462</v>
      </c>
      <c r="I648" s="1014">
        <v>1.0142915660406886</v>
      </c>
      <c r="K648">
        <v>2.4871544726213162</v>
      </c>
      <c r="L648">
        <v>0</v>
      </c>
      <c r="M648">
        <v>1.5032998724290865E-3</v>
      </c>
      <c r="N648">
        <v>0.15857784127104785</v>
      </c>
      <c r="O648">
        <v>2.1396308713935674E-2</v>
      </c>
      <c r="P648">
        <v>3.0361828251352523E-2</v>
      </c>
      <c r="Q648">
        <v>5.8776081972791785E-3</v>
      </c>
      <c r="R648">
        <v>1.4833767341212731E-3</v>
      </c>
      <c r="S648">
        <v>0.26408184200288926</v>
      </c>
      <c r="T648">
        <v>1.4225317992533906</v>
      </c>
      <c r="U648">
        <v>0.21790286795319594</v>
      </c>
      <c r="V648">
        <v>0.24239559711334477</v>
      </c>
      <c r="W648">
        <v>0.10124259306823029</v>
      </c>
      <c r="X648">
        <v>1.8768847459688161E-2</v>
      </c>
      <c r="Y648">
        <v>4.0372624752691233E-3</v>
      </c>
    </row>
    <row r="649" spans="1:25">
      <c r="A649" s="1010"/>
      <c r="B649" s="1351">
        <v>399</v>
      </c>
      <c r="C649" s="1014">
        <v>1.0226223873693172</v>
      </c>
      <c r="D649" s="1014">
        <v>0.97875583684142631</v>
      </c>
      <c r="E649" s="1014">
        <v>0.96980584645856494</v>
      </c>
      <c r="F649" s="1014">
        <v>0.96448153486562416</v>
      </c>
      <c r="G649" s="1014">
        <v>1.0261021383638016</v>
      </c>
      <c r="H649" s="1014">
        <v>0.97069099286681748</v>
      </c>
      <c r="I649" s="1014">
        <v>1.006505535797819</v>
      </c>
      <c r="K649">
        <v>2.3361165710493728</v>
      </c>
      <c r="L649">
        <v>0</v>
      </c>
      <c r="M649">
        <v>1.6667904930431688E-3</v>
      </c>
      <c r="N649">
        <v>0.13839692606818199</v>
      </c>
      <c r="O649">
        <v>2.0598886385246901E-2</v>
      </c>
      <c r="P649">
        <v>2.7113523840663237E-2</v>
      </c>
      <c r="Q649">
        <v>5.2278340476070856E-3</v>
      </c>
      <c r="R649">
        <v>1.6441249445445427E-3</v>
      </c>
      <c r="S649">
        <v>0.25459584932590207</v>
      </c>
      <c r="T649">
        <v>1.3222922104221193</v>
      </c>
      <c r="U649">
        <v>0.20718344067338532</v>
      </c>
      <c r="V649">
        <v>0.24872271335700849</v>
      </c>
      <c r="W649">
        <v>9.2583680672491148E-2</v>
      </c>
      <c r="X649">
        <v>1.4949405691854861E-2</v>
      </c>
      <c r="Y649">
        <v>4.4747661134079382E-3</v>
      </c>
    </row>
    <row r="650" spans="1:25">
      <c r="A650" s="1010"/>
      <c r="B650" s="1351">
        <v>400</v>
      </c>
      <c r="C650" s="1014">
        <v>0.99270055440568949</v>
      </c>
      <c r="D650" s="1014">
        <v>1.0342223715907279</v>
      </c>
      <c r="E650" s="1014">
        <v>1.0217351325195996</v>
      </c>
      <c r="F650" s="1014">
        <v>1.009925754974824</v>
      </c>
      <c r="G650" s="1014">
        <v>0.98499957579040509</v>
      </c>
      <c r="H650" s="1014">
        <v>1.0167455311311346</v>
      </c>
      <c r="I650" s="1014">
        <v>1.0387038398157002</v>
      </c>
      <c r="K650">
        <v>2.443677590467991</v>
      </c>
      <c r="L650">
        <v>0</v>
      </c>
      <c r="M650">
        <v>1.595487632596292E-3</v>
      </c>
      <c r="N650">
        <v>0.15508418222684664</v>
      </c>
      <c r="O650">
        <v>2.0998433323996785E-2</v>
      </c>
      <c r="P650">
        <v>2.9264795577211428E-2</v>
      </c>
      <c r="Q650">
        <v>5.6155031509485228E-3</v>
      </c>
      <c r="R650">
        <v>1.5747744235501454E-3</v>
      </c>
      <c r="S650">
        <v>0.26776624250911413</v>
      </c>
      <c r="T650">
        <v>1.3857289295468123</v>
      </c>
      <c r="U650">
        <v>0.2136070176956161</v>
      </c>
      <c r="V650">
        <v>0.24335297404573972</v>
      </c>
      <c r="W650">
        <v>0.10058319715904614</v>
      </c>
      <c r="X650">
        <v>1.7411011585051792E-2</v>
      </c>
      <c r="Y650">
        <v>4.286016856654291E-3</v>
      </c>
    </row>
    <row r="651" spans="1:25">
      <c r="A651" s="1010"/>
      <c r="B651" s="1351">
        <v>401</v>
      </c>
      <c r="C651" s="1014">
        <v>0.9870230338886079</v>
      </c>
      <c r="D651" s="1014">
        <v>1.0114216007053738</v>
      </c>
      <c r="E651" s="1014">
        <v>0.99081745728174964</v>
      </c>
      <c r="F651" s="1014">
        <v>0.97048251528576168</v>
      </c>
      <c r="G651" s="1014">
        <v>1.0062883144685277</v>
      </c>
      <c r="H651" s="1014">
        <v>0.99201224967022394</v>
      </c>
      <c r="I651" s="1014">
        <v>1.0159360965606299</v>
      </c>
      <c r="K651">
        <v>2.3786950134810887</v>
      </c>
      <c r="L651">
        <v>0</v>
      </c>
      <c r="M651">
        <v>1.677638754615626E-3</v>
      </c>
      <c r="N651">
        <v>0.14848471415030093</v>
      </c>
      <c r="O651">
        <v>2.1202295104851773E-2</v>
      </c>
      <c r="P651">
        <v>2.7878137161800248E-2</v>
      </c>
      <c r="Q651">
        <v>5.4971078360613497E-3</v>
      </c>
      <c r="R651">
        <v>1.6553160078017128E-3</v>
      </c>
      <c r="S651">
        <v>0.26391433897362915</v>
      </c>
      <c r="T651">
        <v>1.3309587173232014</v>
      </c>
      <c r="U651">
        <v>0.21472854466620137</v>
      </c>
      <c r="V651">
        <v>0.24745852284699349</v>
      </c>
      <c r="W651">
        <v>9.8080122986693302E-2</v>
      </c>
      <c r="X651">
        <v>1.6009610679709865E-2</v>
      </c>
      <c r="Y651">
        <v>4.505224498460943E-3</v>
      </c>
    </row>
    <row r="652" spans="1:25">
      <c r="A652" s="1010"/>
      <c r="B652" s="1351">
        <v>402</v>
      </c>
      <c r="C652" s="1014">
        <v>0.97873845757313782</v>
      </c>
      <c r="D652" s="1014">
        <v>0.97756288246519574</v>
      </c>
      <c r="E652" s="1014">
        <v>1.0024048772136029</v>
      </c>
      <c r="F652" s="1014">
        <v>0.97490223043147073</v>
      </c>
      <c r="G652" s="1014">
        <v>0.99178921332083092</v>
      </c>
      <c r="H652" s="1014">
        <v>0.99481516184623642</v>
      </c>
      <c r="I652" s="1014">
        <v>1.0100680119930447</v>
      </c>
      <c r="K652">
        <v>2.3987287757634403</v>
      </c>
      <c r="L652">
        <v>0</v>
      </c>
      <c r="M652">
        <v>1.6688010799181812E-3</v>
      </c>
      <c r="N652">
        <v>0.15297201149048242</v>
      </c>
      <c r="O652">
        <v>2.1550425346410381E-2</v>
      </c>
      <c r="P652">
        <v>2.828185730299785E-2</v>
      </c>
      <c r="Q652">
        <v>5.652950178002829E-3</v>
      </c>
      <c r="R652">
        <v>1.6466584911275694E-3</v>
      </c>
      <c r="S652">
        <v>0.26952128353119498</v>
      </c>
      <c r="T652">
        <v>1.3372642502384482</v>
      </c>
      <c r="U652">
        <v>0.21658657150018049</v>
      </c>
      <c r="V652">
        <v>0.24547589871446918</v>
      </c>
      <c r="W652">
        <v>0.10034881504082337</v>
      </c>
      <c r="X652">
        <v>1.6615193417195313E-2</v>
      </c>
      <c r="Y652">
        <v>4.4816615920235314E-3</v>
      </c>
    </row>
    <row r="653" spans="1:25">
      <c r="A653" s="1010"/>
      <c r="B653" s="1351">
        <v>403</v>
      </c>
      <c r="C653" s="1014">
        <v>1.0178639077232656</v>
      </c>
      <c r="D653" s="1014">
        <v>1.0054279940841455</v>
      </c>
      <c r="E653" s="1014">
        <v>1.0063639828852602</v>
      </c>
      <c r="F653" s="1014">
        <v>1.0059831157628851</v>
      </c>
      <c r="G653" s="1014">
        <v>0.95822521824215356</v>
      </c>
      <c r="H653" s="1014">
        <v>0.98481763911168607</v>
      </c>
      <c r="I653" s="1014">
        <v>0.99212194595886471</v>
      </c>
      <c r="K653">
        <v>2.3911667071695661</v>
      </c>
      <c r="L653">
        <v>0</v>
      </c>
      <c r="M653">
        <v>1.5658153101030551E-3</v>
      </c>
      <c r="N653">
        <v>0.14523848508796736</v>
      </c>
      <c r="O653">
        <v>2.0596897716905531E-2</v>
      </c>
      <c r="P653">
        <v>2.845944466383948E-2</v>
      </c>
      <c r="Q653">
        <v>5.4243194835065511E-3</v>
      </c>
      <c r="R653">
        <v>1.5448282824431644E-3</v>
      </c>
      <c r="S653">
        <v>0.25019079282754109</v>
      </c>
      <c r="T653">
        <v>1.379983825916244</v>
      </c>
      <c r="U653">
        <v>0.20827455193507602</v>
      </c>
      <c r="V653">
        <v>0.23728058601238172</v>
      </c>
      <c r="W653">
        <v>9.5052508543897907E-2</v>
      </c>
      <c r="X653">
        <v>1.6481768677560682E-2</v>
      </c>
      <c r="Y653">
        <v>4.2045133323038502E-3</v>
      </c>
    </row>
    <row r="654" spans="1:25">
      <c r="A654" s="1010"/>
      <c r="B654" s="1351">
        <v>404</v>
      </c>
      <c r="C654" s="1014">
        <v>0.96655777406309129</v>
      </c>
      <c r="D654" s="1014">
        <v>0.99743441129996735</v>
      </c>
      <c r="E654" s="1014">
        <v>1.0351831215696197</v>
      </c>
      <c r="F654" s="1014">
        <v>0.99670480822796992</v>
      </c>
      <c r="G654" s="1014">
        <v>1.031738853807519</v>
      </c>
      <c r="H654" s="1014">
        <v>0.99580762425052605</v>
      </c>
      <c r="I654" s="1014">
        <v>1.0210960971446201</v>
      </c>
      <c r="K654">
        <v>2.4550424825291297</v>
      </c>
      <c r="L654">
        <v>0</v>
      </c>
      <c r="M654">
        <v>1.5730419180687136E-3</v>
      </c>
      <c r="N654">
        <v>0.15918513019116592</v>
      </c>
      <c r="O654">
        <v>2.174819302004926E-2</v>
      </c>
      <c r="P654">
        <v>2.9598831813813828E-2</v>
      </c>
      <c r="Q654">
        <v>5.8939198588390173E-3</v>
      </c>
      <c r="R654">
        <v>1.5521907174377836E-3</v>
      </c>
      <c r="S654">
        <v>0.27349270935224185</v>
      </c>
      <c r="T654">
        <v>1.3678798447322511</v>
      </c>
      <c r="U654">
        <v>0.21943227443592425</v>
      </c>
      <c r="V654">
        <v>0.25298216023470149</v>
      </c>
      <c r="W654">
        <v>0.102439182507873</v>
      </c>
      <c r="X654">
        <v>1.8186536129567634E-2</v>
      </c>
      <c r="Y654">
        <v>4.2245514533331609E-3</v>
      </c>
    </row>
    <row r="655" spans="1:25">
      <c r="A655" s="1010"/>
      <c r="B655" s="1351">
        <v>405</v>
      </c>
      <c r="C655" s="1014">
        <v>1.0101738617874128</v>
      </c>
      <c r="D655" s="1014">
        <v>1.0099824123185368</v>
      </c>
      <c r="E655" s="1014">
        <v>0.97229246590067742</v>
      </c>
      <c r="F655" s="1014">
        <v>1.0004423731487668</v>
      </c>
      <c r="G655" s="1014">
        <v>1.0213874832914824</v>
      </c>
      <c r="H655" s="1014">
        <v>0.99549914121660177</v>
      </c>
      <c r="I655" s="1014">
        <v>1.0028076664293974</v>
      </c>
      <c r="K655">
        <v>2.3972989152890825</v>
      </c>
      <c r="L655">
        <v>0</v>
      </c>
      <c r="M655">
        <v>1.709737952630383E-3</v>
      </c>
      <c r="N655">
        <v>0.14308489700959123</v>
      </c>
      <c r="O655">
        <v>2.0710770525931611E-2</v>
      </c>
      <c r="P655">
        <v>2.7861638681373396E-2</v>
      </c>
      <c r="Q655">
        <v>5.2695973013644724E-3</v>
      </c>
      <c r="R655">
        <v>1.6870677771974355E-3</v>
      </c>
      <c r="S655">
        <v>0.25485983956600217</v>
      </c>
      <c r="T655">
        <v>1.3716475538050001</v>
      </c>
      <c r="U655">
        <v>0.20974496825683187</v>
      </c>
      <c r="V655">
        <v>0.24865894723494616</v>
      </c>
      <c r="W655">
        <v>9.5575166276964746E-2</v>
      </c>
      <c r="X655">
        <v>1.531656445872267E-2</v>
      </c>
      <c r="Y655">
        <v>4.5916423477881316E-3</v>
      </c>
    </row>
    <row r="656" spans="1:25">
      <c r="A656" s="1010"/>
      <c r="B656" s="1351">
        <v>406</v>
      </c>
      <c r="C656" s="1014">
        <v>0.97613269159472649</v>
      </c>
      <c r="D656" s="1014">
        <v>1.0408700384238971</v>
      </c>
      <c r="E656" s="1014">
        <v>1.0195011690297113</v>
      </c>
      <c r="F656" s="1014">
        <v>1.0359298748816341</v>
      </c>
      <c r="G656" s="1014">
        <v>1.0141411745900044</v>
      </c>
      <c r="H656" s="1014">
        <v>0.98541552901023388</v>
      </c>
      <c r="I656" s="1014">
        <v>0.99791147302955052</v>
      </c>
      <c r="K656">
        <v>2.4756863595538405</v>
      </c>
      <c r="L656">
        <v>0</v>
      </c>
      <c r="M656">
        <v>1.5776717674203919E-3</v>
      </c>
      <c r="N656">
        <v>0.1522587699705944</v>
      </c>
      <c r="O656">
        <v>2.1323248743628048E-2</v>
      </c>
      <c r="P656">
        <v>2.9709781497319062E-2</v>
      </c>
      <c r="Q656">
        <v>5.6897209395393444E-3</v>
      </c>
      <c r="R656">
        <v>1.5565386546612717E-3</v>
      </c>
      <c r="S656">
        <v>0.25806834645411753</v>
      </c>
      <c r="T656">
        <v>1.4213591791372706</v>
      </c>
      <c r="U656">
        <v>0.21722471389774445</v>
      </c>
      <c r="V656">
        <v>0.24940160428383831</v>
      </c>
      <c r="W656">
        <v>9.8879802520705939E-2</v>
      </c>
      <c r="X656">
        <v>1.755594011668175E-2</v>
      </c>
      <c r="Y656">
        <v>4.2363851051583747E-3</v>
      </c>
    </row>
    <row r="657" spans="1:25">
      <c r="A657" s="1010"/>
      <c r="B657" s="1351">
        <v>407</v>
      </c>
      <c r="C657" s="1014">
        <v>1.0038974494523283</v>
      </c>
      <c r="D657" s="1014">
        <v>0.99959473271859711</v>
      </c>
      <c r="E657" s="1014">
        <v>0.98450623398258363</v>
      </c>
      <c r="F657" s="1014">
        <v>1.0020264818789462</v>
      </c>
      <c r="G657" s="1014">
        <v>0.97890765557789872</v>
      </c>
      <c r="H657" s="1014">
        <v>0.98856792599636389</v>
      </c>
      <c r="I657" s="1014">
        <v>0.9890490442526183</v>
      </c>
      <c r="K657">
        <v>2.3963875040927349</v>
      </c>
      <c r="L657">
        <v>0</v>
      </c>
      <c r="M657">
        <v>1.6696453758442257E-3</v>
      </c>
      <c r="N657">
        <v>0.14497685704619104</v>
      </c>
      <c r="O657">
        <v>2.0895755775459712E-2</v>
      </c>
      <c r="P657">
        <v>2.8064531191245058E-2</v>
      </c>
      <c r="Q657">
        <v>5.3831369413860552E-3</v>
      </c>
      <c r="R657">
        <v>1.6473515840063841E-3</v>
      </c>
      <c r="S657">
        <v>0.25376443052315761</v>
      </c>
      <c r="T657">
        <v>1.3740829480711996</v>
      </c>
      <c r="U657">
        <v>0.21109774596511047</v>
      </c>
      <c r="V657">
        <v>0.24174137252859335</v>
      </c>
      <c r="W657">
        <v>9.6126462681514743E-2</v>
      </c>
      <c r="X657">
        <v>1.5793009198353747E-2</v>
      </c>
      <c r="Y657">
        <v>4.4835479623616583E-3</v>
      </c>
    </row>
    <row r="658" spans="1:25">
      <c r="A658" s="1010"/>
      <c r="B658" s="1351">
        <v>408</v>
      </c>
      <c r="C658" s="1014">
        <v>1.0023282150077528</v>
      </c>
      <c r="D658" s="1014">
        <v>1.0269498296213928</v>
      </c>
      <c r="E658" s="1014">
        <v>1.0124847093585239</v>
      </c>
      <c r="F658" s="1014">
        <v>0.96093807735768322</v>
      </c>
      <c r="G658" s="1014">
        <v>1.0132600849079891</v>
      </c>
      <c r="H658" s="1014">
        <v>0.95803991973546354</v>
      </c>
      <c r="I658" s="1014">
        <v>0.98379371925080716</v>
      </c>
      <c r="K658">
        <v>2.3365545362391686</v>
      </c>
      <c r="L658">
        <v>0</v>
      </c>
      <c r="M658">
        <v>1.5202063224737468E-3</v>
      </c>
      <c r="N658">
        <v>0.14358338965773662</v>
      </c>
      <c r="O658">
        <v>2.0822943466325041E-2</v>
      </c>
      <c r="P658">
        <v>2.7883592865524911E-2</v>
      </c>
      <c r="Q658">
        <v>5.5175166511868077E-3</v>
      </c>
      <c r="R658">
        <v>1.4992610918276542E-3</v>
      </c>
      <c r="S658">
        <v>0.2471059391692752</v>
      </c>
      <c r="T658">
        <v>1.3183195569666886</v>
      </c>
      <c r="U658">
        <v>0.21152362940916627</v>
      </c>
      <c r="V658">
        <v>0.24760536410062348</v>
      </c>
      <c r="W658">
        <v>9.3630617055837459E-2</v>
      </c>
      <c r="X658">
        <v>1.6502437666781947E-2</v>
      </c>
      <c r="Y658">
        <v>4.0804944606687822E-3</v>
      </c>
    </row>
    <row r="659" spans="1:25">
      <c r="A659" s="1010"/>
      <c r="B659" s="1351">
        <v>409</v>
      </c>
      <c r="C659" s="1014">
        <v>1.0112910401132056</v>
      </c>
      <c r="D659" s="1014">
        <v>1.0122462097454821</v>
      </c>
      <c r="E659" s="1014">
        <v>1.000002511832023</v>
      </c>
      <c r="F659" s="1014">
        <v>1.0153242301638468</v>
      </c>
      <c r="G659" s="1014">
        <v>1.0228266763583271</v>
      </c>
      <c r="H659" s="1014">
        <v>0.96696892058530282</v>
      </c>
      <c r="I659" s="1014">
        <v>1.011310444217296</v>
      </c>
      <c r="K659">
        <v>2.4166597881401168</v>
      </c>
      <c r="L659">
        <v>0</v>
      </c>
      <c r="M659">
        <v>1.5656643542673004E-3</v>
      </c>
      <c r="N659">
        <v>0.1424249261397374</v>
      </c>
      <c r="O659">
        <v>2.0695800013583485E-2</v>
      </c>
      <c r="P659">
        <v>2.872800518502339E-2</v>
      </c>
      <c r="Q659">
        <v>5.4156861866769849E-3</v>
      </c>
      <c r="R659">
        <v>1.5442919998819788E-3</v>
      </c>
      <c r="S659">
        <v>0.25425367132339027</v>
      </c>
      <c r="T659">
        <v>1.3926579603016871</v>
      </c>
      <c r="U659">
        <v>0.20960671569364508</v>
      </c>
      <c r="V659">
        <v>0.2487326194656822</v>
      </c>
      <c r="W659">
        <v>9.3563354873237206E-2</v>
      </c>
      <c r="X659">
        <v>1.6399367563878955E-2</v>
      </c>
      <c r="Y659">
        <v>4.2030537479578025E-3</v>
      </c>
    </row>
    <row r="660" spans="1:25">
      <c r="A660" s="1010"/>
      <c r="B660" s="1351">
        <v>410</v>
      </c>
      <c r="C660" s="1014">
        <v>0.98611467615768755</v>
      </c>
      <c r="D660" s="1014">
        <v>0.99182652920571202</v>
      </c>
      <c r="E660" s="1014">
        <v>0.99128636867569175</v>
      </c>
      <c r="F660" s="1014">
        <v>0.95452817338363627</v>
      </c>
      <c r="G660" s="1014">
        <v>0.9927104761085267</v>
      </c>
      <c r="H660" s="1014">
        <v>1.0377273029772689</v>
      </c>
      <c r="I660" s="1014">
        <v>0.990260729292186</v>
      </c>
      <c r="K660">
        <v>2.3677701381073475</v>
      </c>
      <c r="L660">
        <v>0</v>
      </c>
      <c r="M660">
        <v>1.7624301806497557E-3</v>
      </c>
      <c r="N660">
        <v>0.15630353783271167</v>
      </c>
      <c r="O660">
        <v>2.1313678197486842E-2</v>
      </c>
      <c r="P660">
        <v>2.7563763798355352E-2</v>
      </c>
      <c r="Q660">
        <v>5.5286042567159093E-3</v>
      </c>
      <c r="R660">
        <v>1.7400122822619716E-3</v>
      </c>
      <c r="S660">
        <v>0.26393433731082677</v>
      </c>
      <c r="T660">
        <v>1.3090879547131196</v>
      </c>
      <c r="U660">
        <v>0.21492796458590196</v>
      </c>
      <c r="V660">
        <v>0.245195769555379</v>
      </c>
      <c r="W660">
        <v>0.10321579642181755</v>
      </c>
      <c r="X660">
        <v>1.5985409495999154E-2</v>
      </c>
      <c r="Y660">
        <v>4.7357398374223963E-3</v>
      </c>
    </row>
    <row r="661" spans="1:25">
      <c r="A661" s="1010"/>
      <c r="B661" s="1351">
        <v>411</v>
      </c>
      <c r="C661" s="1014">
        <v>1.0089194893453044</v>
      </c>
      <c r="D661" s="1014">
        <v>1.0107214953089532</v>
      </c>
      <c r="E661" s="1014">
        <v>0.98505512628345249</v>
      </c>
      <c r="F661" s="1014">
        <v>0.97745955604570389</v>
      </c>
      <c r="G661" s="1014">
        <v>0.97199604444331478</v>
      </c>
      <c r="H661" s="1014">
        <v>1.0005394862585464</v>
      </c>
      <c r="I661" s="1014">
        <v>0.95732280850740725</v>
      </c>
      <c r="K661">
        <v>2.3506557918625215</v>
      </c>
      <c r="L661">
        <v>0</v>
      </c>
      <c r="M661">
        <v>1.6754591372602067E-3</v>
      </c>
      <c r="N661">
        <v>0.14574699364603227</v>
      </c>
      <c r="O661">
        <v>2.0741529945931578E-2</v>
      </c>
      <c r="P661">
        <v>2.7455912337957692E-2</v>
      </c>
      <c r="Q661">
        <v>5.346379448696011E-3</v>
      </c>
      <c r="R661">
        <v>1.6533553940783687E-3</v>
      </c>
      <c r="S661">
        <v>0.24401717964862246</v>
      </c>
      <c r="T661">
        <v>1.3404057915789533</v>
      </c>
      <c r="U661">
        <v>0.210048832120277</v>
      </c>
      <c r="V661">
        <v>0.24024933403357482</v>
      </c>
      <c r="W661">
        <v>9.6605196932763968E-2</v>
      </c>
      <c r="X661">
        <v>1.5560857558671684E-2</v>
      </c>
      <c r="Y661">
        <v>4.4998883542221408E-3</v>
      </c>
    </row>
    <row r="662" spans="1:25">
      <c r="A662" s="1010"/>
      <c r="B662" s="1351">
        <v>412</v>
      </c>
      <c r="C662" s="1014">
        <v>0.96488087709317893</v>
      </c>
      <c r="D662" s="1014">
        <v>0.96347985295861982</v>
      </c>
      <c r="E662" s="1014">
        <v>1.0068718964429768</v>
      </c>
      <c r="F662" s="1014">
        <v>0.98691909277843004</v>
      </c>
      <c r="G662" s="1014">
        <v>1.0170404078472866</v>
      </c>
      <c r="H662" s="1014">
        <v>0.97401931608596748</v>
      </c>
      <c r="I662" s="1014">
        <v>1.0098741731549179</v>
      </c>
      <c r="K662">
        <v>2.4287932895729289</v>
      </c>
      <c r="L662">
        <v>0</v>
      </c>
      <c r="M662">
        <v>1.6473356944554244E-3</v>
      </c>
      <c r="N662">
        <v>0.15301146640901792</v>
      </c>
      <c r="O662">
        <v>2.1932929553607358E-2</v>
      </c>
      <c r="P662">
        <v>2.8772399469108714E-2</v>
      </c>
      <c r="Q662">
        <v>5.7791106371964263E-3</v>
      </c>
      <c r="R662">
        <v>1.625011244995168E-3</v>
      </c>
      <c r="S662">
        <v>0.2735223327506095</v>
      </c>
      <c r="T662">
        <v>1.3538431063846892</v>
      </c>
      <c r="U662">
        <v>0.21971301566578863</v>
      </c>
      <c r="V662">
        <v>0.25068725258349089</v>
      </c>
      <c r="W662">
        <v>0.10010953162777461</v>
      </c>
      <c r="X662">
        <v>1.7021724017038924E-2</v>
      </c>
      <c r="Y662">
        <v>4.4227449240639037E-3</v>
      </c>
    </row>
    <row r="663" spans="1:25">
      <c r="A663" s="1010"/>
      <c r="B663" s="1351">
        <v>413</v>
      </c>
      <c r="C663" s="1014">
        <v>1.0060766072833385</v>
      </c>
      <c r="D663" s="1014">
        <v>0.99175510686807156</v>
      </c>
      <c r="E663" s="1014">
        <v>1.0069995087566215</v>
      </c>
      <c r="F663" s="1014">
        <v>0.97155660497558327</v>
      </c>
      <c r="G663" s="1014">
        <v>1.0018165722928829</v>
      </c>
      <c r="H663" s="1014">
        <v>1.021189954867703</v>
      </c>
      <c r="I663" s="1014">
        <v>1.0006834888588356</v>
      </c>
      <c r="K663">
        <v>2.3776047448616695</v>
      </c>
      <c r="L663">
        <v>0</v>
      </c>
      <c r="M663">
        <v>1.645451325023004E-3</v>
      </c>
      <c r="N663">
        <v>0.15299236986366851</v>
      </c>
      <c r="O663">
        <v>2.0901499704551081E-2</v>
      </c>
      <c r="P663">
        <v>2.8107347157956195E-2</v>
      </c>
      <c r="Q663">
        <v>5.5080428289654756E-3</v>
      </c>
      <c r="R663">
        <v>1.6241824399767168E-3</v>
      </c>
      <c r="S663">
        <v>0.26015762238204854</v>
      </c>
      <c r="T663">
        <v>1.3327717255184921</v>
      </c>
      <c r="U663">
        <v>0.21071688021394822</v>
      </c>
      <c r="V663">
        <v>0.24543938984962563</v>
      </c>
      <c r="W663">
        <v>0.10008948726710702</v>
      </c>
      <c r="X663">
        <v>1.6521159770334474E-2</v>
      </c>
      <c r="Y663">
        <v>4.4204891900191806E-3</v>
      </c>
    </row>
    <row r="664" spans="1:25">
      <c r="A664" s="1010"/>
      <c r="B664" s="1351">
        <v>414</v>
      </c>
      <c r="C664" s="1014">
        <v>1.0123789186711885</v>
      </c>
      <c r="D664" s="1014">
        <v>1.0104662894411403</v>
      </c>
      <c r="E664" s="1014">
        <v>1.0340820331662175</v>
      </c>
      <c r="F664" s="1014">
        <v>0.98849818619770158</v>
      </c>
      <c r="G664" s="1014">
        <v>0.99727757345697587</v>
      </c>
      <c r="H664" s="1014">
        <v>1.0408505660382492</v>
      </c>
      <c r="I664" s="1014">
        <v>1.0241011188678866</v>
      </c>
      <c r="K664">
        <v>2.4117966458777405</v>
      </c>
      <c r="L664">
        <v>0</v>
      </c>
      <c r="M664">
        <v>1.5688985118040082E-3</v>
      </c>
      <c r="N664">
        <v>0.15833188379975768</v>
      </c>
      <c r="O664">
        <v>2.0703914853626833E-2</v>
      </c>
      <c r="P664">
        <v>2.9023102326276438E-2</v>
      </c>
      <c r="Q664">
        <v>5.6048233588622378E-3</v>
      </c>
      <c r="R664">
        <v>1.5490021950344533E-3</v>
      </c>
      <c r="S664">
        <v>0.26404823107597319</v>
      </c>
      <c r="T664">
        <v>1.3565933604396596</v>
      </c>
      <c r="U664">
        <v>0.20949684304459826</v>
      </c>
      <c r="V664">
        <v>0.24418333670248779</v>
      </c>
      <c r="W664">
        <v>0.10195500747604801</v>
      </c>
      <c r="X664">
        <v>1.7660165770772899E-2</v>
      </c>
      <c r="Y664">
        <v>4.2158733464474222E-3</v>
      </c>
    </row>
    <row r="665" spans="1:25">
      <c r="A665" s="1010"/>
      <c r="B665" s="1351">
        <v>415</v>
      </c>
      <c r="C665" s="1014">
        <v>1.0070493241634366</v>
      </c>
      <c r="D665" s="1014">
        <v>1.0009188754896141</v>
      </c>
      <c r="E665" s="1014">
        <v>0.98744767093161934</v>
      </c>
      <c r="F665" s="1014">
        <v>0.98530558948287916</v>
      </c>
      <c r="G665" s="1014">
        <v>0.97851478618706234</v>
      </c>
      <c r="H665" s="1014">
        <v>1.0084715735427134</v>
      </c>
      <c r="I665" s="1014">
        <v>0.99665289412170777</v>
      </c>
      <c r="K665">
        <v>2.3796291686699487</v>
      </c>
      <c r="L665">
        <v>0</v>
      </c>
      <c r="M665">
        <v>1.6871337246899109E-3</v>
      </c>
      <c r="N665">
        <v>0.14784388328840448</v>
      </c>
      <c r="O665">
        <v>2.082622409435984E-2</v>
      </c>
      <c r="P665">
        <v>2.7841544132764882E-2</v>
      </c>
      <c r="Q665">
        <v>5.3812351633254702E-3</v>
      </c>
      <c r="R665">
        <v>1.6650510301955013E-3</v>
      </c>
      <c r="S665">
        <v>0.25644402963374385</v>
      </c>
      <c r="T665">
        <v>1.3512160244105678</v>
      </c>
      <c r="U665">
        <v>0.21044701158521642</v>
      </c>
      <c r="V665">
        <v>0.24146937007918476</v>
      </c>
      <c r="W665">
        <v>9.7854303766497189E-2</v>
      </c>
      <c r="X665">
        <v>1.5795905190109028E-2</v>
      </c>
      <c r="Y665">
        <v>4.5317200202675658E-3</v>
      </c>
    </row>
    <row r="666" spans="1:25">
      <c r="A666" s="1010"/>
      <c r="B666" s="1351">
        <v>416</v>
      </c>
      <c r="C666" s="1014">
        <v>0.98061545236363379</v>
      </c>
      <c r="D666" s="1014">
        <v>1.0157056243053346</v>
      </c>
      <c r="E666" s="1014">
        <v>0.95905756250256013</v>
      </c>
      <c r="F666" s="1014">
        <v>0.96412700086391645</v>
      </c>
      <c r="G666" s="1014">
        <v>0.98772030224466612</v>
      </c>
      <c r="H666" s="1014">
        <v>0.9528069355959583</v>
      </c>
      <c r="I666" s="1014">
        <v>0.99636186804335836</v>
      </c>
      <c r="K666">
        <v>2.3444178061795635</v>
      </c>
      <c r="L666">
        <v>0</v>
      </c>
      <c r="M666">
        <v>1.7302503111611249E-3</v>
      </c>
      <c r="N666">
        <v>0.1390279887682829</v>
      </c>
      <c r="O666">
        <v>2.1299666741102868E-2</v>
      </c>
      <c r="P666">
        <v>2.6969041714806758E-2</v>
      </c>
      <c r="Q666">
        <v>5.3464439876060241E-3</v>
      </c>
      <c r="R666">
        <v>1.7062801891505161E-3</v>
      </c>
      <c r="S666">
        <v>0.25633817995994829</v>
      </c>
      <c r="T666">
        <v>1.321583695286092</v>
      </c>
      <c r="U666">
        <v>0.21602137546476957</v>
      </c>
      <c r="V666">
        <v>0.24481405579544896</v>
      </c>
      <c r="W666">
        <v>9.3618978722728424E-2</v>
      </c>
      <c r="X666">
        <v>1.4778417661028815E-2</v>
      </c>
      <c r="Y666">
        <v>4.6439321997545193E-3</v>
      </c>
    </row>
    <row r="667" spans="1:25">
      <c r="A667" s="1010"/>
      <c r="B667" s="1351">
        <v>417</v>
      </c>
      <c r="C667" s="1014">
        <v>1.0037441066627779</v>
      </c>
      <c r="D667" s="1014">
        <v>1.03726504524809</v>
      </c>
      <c r="E667" s="1014">
        <v>1.0096430259219782</v>
      </c>
      <c r="F667" s="1014">
        <v>1.0124717544888686</v>
      </c>
      <c r="G667" s="1014">
        <v>1.0356488052027431</v>
      </c>
      <c r="H667" s="1014">
        <v>0.98335462365196158</v>
      </c>
      <c r="I667" s="1014">
        <v>1.0108674082619822</v>
      </c>
      <c r="K667">
        <v>2.4242815620050648</v>
      </c>
      <c r="L667">
        <v>0</v>
      </c>
      <c r="M667">
        <v>1.563959309712676E-3</v>
      </c>
      <c r="N667">
        <v>0.14650678636087594</v>
      </c>
      <c r="O667">
        <v>2.0746033316102044E-2</v>
      </c>
      <c r="P667">
        <v>2.8943651629823128E-2</v>
      </c>
      <c r="Q667">
        <v>5.4815533554454145E-3</v>
      </c>
      <c r="R667">
        <v>1.5429659714343113E-3</v>
      </c>
      <c r="S667">
        <v>0.2544118372517245</v>
      </c>
      <c r="T667">
        <v>1.3889567061573092</v>
      </c>
      <c r="U667">
        <v>0.21121555817989709</v>
      </c>
      <c r="V667">
        <v>0.2513501088399625</v>
      </c>
      <c r="W667">
        <v>9.5697050374522308E-2</v>
      </c>
      <c r="X667">
        <v>1.6793825142033939E-2</v>
      </c>
      <c r="Y667">
        <v>4.1994447356484112E-3</v>
      </c>
    </row>
    <row r="668" spans="1:25">
      <c r="A668" s="1010"/>
      <c r="B668" s="1351">
        <v>418</v>
      </c>
      <c r="C668" s="1014">
        <v>0.98454547542039439</v>
      </c>
      <c r="D668" s="1014">
        <v>0.99293196288438335</v>
      </c>
      <c r="E668" s="1014">
        <v>1.0027863701948472</v>
      </c>
      <c r="F668" s="1014">
        <v>1.0064200618631061</v>
      </c>
      <c r="G668" s="1014">
        <v>1.0211548958646472</v>
      </c>
      <c r="H668" s="1014">
        <v>0.98911543194850127</v>
      </c>
      <c r="I668" s="1014">
        <v>0.98800603377053664</v>
      </c>
      <c r="K668">
        <v>2.4319148465742155</v>
      </c>
      <c r="L668">
        <v>0</v>
      </c>
      <c r="M668">
        <v>1.6425014575311501E-3</v>
      </c>
      <c r="N668">
        <v>0.1507231547460188</v>
      </c>
      <c r="O668">
        <v>2.1350178345226366E-2</v>
      </c>
      <c r="P668">
        <v>2.8790676454665799E-2</v>
      </c>
      <c r="Q668">
        <v>5.6025677634423772E-3</v>
      </c>
      <c r="R668">
        <v>1.6205822421384473E-3</v>
      </c>
      <c r="S668">
        <v>0.25954602031634916</v>
      </c>
      <c r="T668">
        <v>1.3805052724866171</v>
      </c>
      <c r="U668">
        <v>0.2153104318431579</v>
      </c>
      <c r="V668">
        <v>0.25011295679342532</v>
      </c>
      <c r="W668">
        <v>9.8851207099779542E-2</v>
      </c>
      <c r="X668">
        <v>1.673360930261248E-2</v>
      </c>
      <c r="Y668">
        <v>4.41069063830831E-3</v>
      </c>
    </row>
    <row r="669" spans="1:25">
      <c r="A669" s="1010"/>
      <c r="B669" s="1351">
        <v>419</v>
      </c>
      <c r="C669" s="1014">
        <v>1.012439189473205</v>
      </c>
      <c r="D669" s="1014">
        <v>1.0013163240235301</v>
      </c>
      <c r="E669" s="1014">
        <v>1.0111018776460075</v>
      </c>
      <c r="F669" s="1014">
        <v>1.0375756841881882</v>
      </c>
      <c r="G669" s="1014">
        <v>1.0157396502679161</v>
      </c>
      <c r="H669" s="1014">
        <v>1.0178088189962657</v>
      </c>
      <c r="I669" s="1014">
        <v>1.0049223501555287</v>
      </c>
      <c r="K669">
        <v>2.466208481555392</v>
      </c>
      <c r="L669">
        <v>0</v>
      </c>
      <c r="M669">
        <v>1.6124612688600043E-3</v>
      </c>
      <c r="N669">
        <v>0.15178688967662687</v>
      </c>
      <c r="O669">
        <v>2.0729043012242727E-2</v>
      </c>
      <c r="P669">
        <v>2.9421173740214371E-2</v>
      </c>
      <c r="Q669">
        <v>5.4850556688182178E-3</v>
      </c>
      <c r="R669">
        <v>1.5915495707537392E-3</v>
      </c>
      <c r="S669">
        <v>0.25812506493248</v>
      </c>
      <c r="T669">
        <v>1.4234282715405866</v>
      </c>
      <c r="U669">
        <v>0.20940651908439586</v>
      </c>
      <c r="V669">
        <v>0.24741188055870966</v>
      </c>
      <c r="W669">
        <v>9.9060742592136791E-2</v>
      </c>
      <c r="X669">
        <v>1.7043079169869326E-2</v>
      </c>
      <c r="Y669">
        <v>4.3316732774166837E-3</v>
      </c>
    </row>
    <row r="670" spans="1:25">
      <c r="A670" s="1010"/>
      <c r="B670" s="1351">
        <v>420</v>
      </c>
      <c r="C670" s="1014">
        <v>0.98351536689176944</v>
      </c>
      <c r="D670" s="1014">
        <v>0.96116541275019085</v>
      </c>
      <c r="E670" s="1014">
        <v>0.98944644058959563</v>
      </c>
      <c r="F670" s="1014">
        <v>1.0170265100537004</v>
      </c>
      <c r="G670" s="1014">
        <v>1.0052680545860542</v>
      </c>
      <c r="H670" s="1014">
        <v>1.0053894845525178</v>
      </c>
      <c r="I670" s="1014">
        <v>0.98739751322948688</v>
      </c>
      <c r="K670">
        <v>2.4532433970917129</v>
      </c>
      <c r="L670">
        <v>0</v>
      </c>
      <c r="M670">
        <v>1.7304720207083151E-3</v>
      </c>
      <c r="N670">
        <v>0.1525546978644623</v>
      </c>
      <c r="O670">
        <v>2.1516900207805775E-2</v>
      </c>
      <c r="P670">
        <v>2.8742286981371351E-2</v>
      </c>
      <c r="Q670">
        <v>5.5709504573334843E-3</v>
      </c>
      <c r="R670">
        <v>1.7077526414390907E-3</v>
      </c>
      <c r="S670">
        <v>0.26524527109983087</v>
      </c>
      <c r="T670">
        <v>1.3947609250033552</v>
      </c>
      <c r="U670">
        <v>0.21548960762093269</v>
      </c>
      <c r="V670">
        <v>0.24751463884477004</v>
      </c>
      <c r="W670">
        <v>0.1008512996406818</v>
      </c>
      <c r="X670">
        <v>1.6371599020943622E-2</v>
      </c>
      <c r="Y670">
        <v>4.647939729490254E-3</v>
      </c>
    </row>
    <row r="671" spans="1:25">
      <c r="A671" s="1010"/>
      <c r="B671" s="1351">
        <v>421</v>
      </c>
      <c r="C671" s="1014">
        <v>0.9569876712520029</v>
      </c>
      <c r="D671" s="1014">
        <v>1.0064997657132331</v>
      </c>
      <c r="E671" s="1014">
        <v>1.0362184222208464</v>
      </c>
      <c r="F671" s="1014">
        <v>0.95963351097113891</v>
      </c>
      <c r="G671" s="1014">
        <v>1.0110107738837966</v>
      </c>
      <c r="H671" s="1014">
        <v>1.0349343036198868</v>
      </c>
      <c r="I671" s="1014">
        <v>0.96770617399800829</v>
      </c>
      <c r="K671">
        <v>2.4062438808748743</v>
      </c>
      <c r="L671">
        <v>0</v>
      </c>
      <c r="M671">
        <v>1.644360145798756E-3</v>
      </c>
      <c r="N671">
        <v>0.16700693733362049</v>
      </c>
      <c r="O671">
        <v>2.1922722209191135E-2</v>
      </c>
      <c r="P671">
        <v>2.8765183946544322E-2</v>
      </c>
      <c r="Q671">
        <v>5.9472840674330502E-3</v>
      </c>
      <c r="R671">
        <v>1.6233876373268441E-3</v>
      </c>
      <c r="S671">
        <v>0.26397402082620558</v>
      </c>
      <c r="T671">
        <v>1.3170247518637501</v>
      </c>
      <c r="U671">
        <v>0.22163036673611503</v>
      </c>
      <c r="V671">
        <v>0.25008817980514098</v>
      </c>
      <c r="W671">
        <v>0.10740840970094613</v>
      </c>
      <c r="X671">
        <v>1.8078670895185098E-2</v>
      </c>
      <c r="Y671">
        <v>4.4183259992128495E-3</v>
      </c>
    </row>
    <row r="672" spans="1:25">
      <c r="A672" s="1010"/>
      <c r="B672" s="1351">
        <v>422</v>
      </c>
      <c r="C672" s="1014">
        <v>0.98200276651582052</v>
      </c>
      <c r="D672" s="1014">
        <v>0.98248312224925805</v>
      </c>
      <c r="E672" s="1014">
        <v>0.99605437479853209</v>
      </c>
      <c r="F672" s="1014">
        <v>1.0087345641328844</v>
      </c>
      <c r="G672" s="1014">
        <v>1.0110294633777883</v>
      </c>
      <c r="H672" s="1014">
        <v>1.0204112601473787</v>
      </c>
      <c r="I672" s="1014">
        <v>1.011449763446659</v>
      </c>
      <c r="K672">
        <v>2.4531509472073378</v>
      </c>
      <c r="L672">
        <v>0</v>
      </c>
      <c r="M672">
        <v>1.7267596841046894E-3</v>
      </c>
      <c r="N672">
        <v>0.15532909893586061</v>
      </c>
      <c r="O672">
        <v>2.1450770050169637E-2</v>
      </c>
      <c r="P672">
        <v>2.8823222701713364E-2</v>
      </c>
      <c r="Q672">
        <v>5.5909903403865424E-3</v>
      </c>
      <c r="R672">
        <v>1.7044227853168111E-3</v>
      </c>
      <c r="S672">
        <v>0.27051042429905964</v>
      </c>
      <c r="T672">
        <v>1.3835332166991963</v>
      </c>
      <c r="U672">
        <v>0.21584450602633923</v>
      </c>
      <c r="V672">
        <v>0.24857242888379277</v>
      </c>
      <c r="W672">
        <v>0.10228060555100964</v>
      </c>
      <c r="X672">
        <v>1.6599143659786469E-2</v>
      </c>
      <c r="Y672">
        <v>4.6388769588121834E-3</v>
      </c>
    </row>
    <row r="673" spans="1:25">
      <c r="A673" s="1010"/>
      <c r="B673" s="1351">
        <v>423</v>
      </c>
      <c r="C673" s="1014">
        <v>0.96695085272140091</v>
      </c>
      <c r="D673" s="1014">
        <v>1.0225758234999898</v>
      </c>
      <c r="E673" s="1014">
        <v>1.0370795598010292</v>
      </c>
      <c r="F673" s="1014">
        <v>0.96563557139364864</v>
      </c>
      <c r="G673" s="1014">
        <v>0.97941337187696187</v>
      </c>
      <c r="H673" s="1014">
        <v>1.019168446316838</v>
      </c>
      <c r="I673" s="1014">
        <v>1.0110090305920776</v>
      </c>
      <c r="K673">
        <v>2.4033072635708033</v>
      </c>
      <c r="L673">
        <v>0</v>
      </c>
      <c r="M673">
        <v>1.5941823342731426E-3</v>
      </c>
      <c r="N673">
        <v>0.16229891744850164</v>
      </c>
      <c r="O673">
        <v>2.1621921987770135E-2</v>
      </c>
      <c r="P673">
        <v>2.8858181486127982E-2</v>
      </c>
      <c r="Q673">
        <v>5.8706597646901544E-3</v>
      </c>
      <c r="R673">
        <v>1.5735352732527334E-3</v>
      </c>
      <c r="S673">
        <v>0.26941921914651668</v>
      </c>
      <c r="T673">
        <v>1.3252802399924744</v>
      </c>
      <c r="U673">
        <v>0.2193498124925819</v>
      </c>
      <c r="V673">
        <v>0.24402263184438222</v>
      </c>
      <c r="W673">
        <v>0.10432861356939084</v>
      </c>
      <c r="X673">
        <v>1.7995068601356645E-2</v>
      </c>
      <c r="Y673">
        <v>4.2826442980305199E-3</v>
      </c>
    </row>
    <row r="674" spans="1:25">
      <c r="A674" s="1010"/>
      <c r="B674" s="1351">
        <v>424</v>
      </c>
      <c r="C674" s="1014">
        <v>0.97595544377417254</v>
      </c>
      <c r="D674" s="1014">
        <v>1.011990816150202</v>
      </c>
      <c r="E674" s="1014">
        <v>0.9904032897984697</v>
      </c>
      <c r="F674" s="1014">
        <v>1.0051011813223962</v>
      </c>
      <c r="G674" s="1014">
        <v>0.97752027172413403</v>
      </c>
      <c r="H674" s="1014">
        <v>0.96609342502767459</v>
      </c>
      <c r="I674" s="1014">
        <v>0.98239444105383289</v>
      </c>
      <c r="K674">
        <v>2.4133268205693463</v>
      </c>
      <c r="L674">
        <v>0</v>
      </c>
      <c r="M674">
        <v>1.6535473744580082E-3</v>
      </c>
      <c r="N674">
        <v>0.14611640622278824</v>
      </c>
      <c r="O674">
        <v>2.1439800205120003E-2</v>
      </c>
      <c r="P674">
        <v>2.8378866412978383E-2</v>
      </c>
      <c r="Q674">
        <v>5.556359921003149E-3</v>
      </c>
      <c r="R674">
        <v>1.6309549034301367E-3</v>
      </c>
      <c r="S674">
        <v>0.2558062848217772</v>
      </c>
      <c r="T674">
        <v>1.3784271607624685</v>
      </c>
      <c r="U674">
        <v>0.2171621741108975</v>
      </c>
      <c r="V674">
        <v>0.24326270498759367</v>
      </c>
      <c r="W674">
        <v>9.6539698472157265E-2</v>
      </c>
      <c r="X674">
        <v>1.6221035520592286E-2</v>
      </c>
      <c r="Y674">
        <v>4.4389216029974126E-3</v>
      </c>
    </row>
    <row r="675" spans="1:25">
      <c r="A675" s="1010"/>
      <c r="B675" s="1351">
        <v>425</v>
      </c>
      <c r="C675" s="1014">
        <v>1.0002322921804834</v>
      </c>
      <c r="D675" s="1014">
        <v>0.98237916219108046</v>
      </c>
      <c r="E675" s="1014">
        <v>1.039694810130152</v>
      </c>
      <c r="F675" s="1014">
        <v>0.99404363128709194</v>
      </c>
      <c r="G675" s="1014">
        <v>1.0009421627794459</v>
      </c>
      <c r="H675" s="1014">
        <v>0.99791151408556866</v>
      </c>
      <c r="I675" s="1014">
        <v>1.0218051843165266</v>
      </c>
      <c r="K675">
        <v>2.4218789432588275</v>
      </c>
      <c r="L675">
        <v>0</v>
      </c>
      <c r="M675">
        <v>1.5140824353533564E-3</v>
      </c>
      <c r="N675">
        <v>0.1553200645078476</v>
      </c>
      <c r="O675">
        <v>2.1089462451385207E-2</v>
      </c>
      <c r="P675">
        <v>2.9342051189360875E-2</v>
      </c>
      <c r="Q675">
        <v>5.7408463338656929E-3</v>
      </c>
      <c r="R675">
        <v>1.4940550752813356E-3</v>
      </c>
      <c r="S675">
        <v>0.26671958778148436</v>
      </c>
      <c r="T675">
        <v>1.3643253384013572</v>
      </c>
      <c r="U675">
        <v>0.21206021901067401</v>
      </c>
      <c r="V675">
        <v>0.24553802910170616</v>
      </c>
      <c r="W675">
        <v>9.9692020527873598E-2</v>
      </c>
      <c r="X675">
        <v>1.8005025913548141E-2</v>
      </c>
      <c r="Y675">
        <v>4.066325399792594E-3</v>
      </c>
    </row>
    <row r="676" spans="1:25">
      <c r="A676" s="1010"/>
      <c r="B676" s="1351">
        <v>426</v>
      </c>
      <c r="C676" s="1014">
        <v>0.99711463323653871</v>
      </c>
      <c r="D676" s="1014">
        <v>1.0050537448168855</v>
      </c>
      <c r="E676" s="1014">
        <v>0.99523837963631911</v>
      </c>
      <c r="F676" s="1014">
        <v>0.985354890045681</v>
      </c>
      <c r="G676" s="1014">
        <v>1.0323557387721853</v>
      </c>
      <c r="H676" s="1014">
        <v>1.0085317491691406</v>
      </c>
      <c r="I676" s="1014">
        <v>1.0069501744646643</v>
      </c>
      <c r="K676">
        <v>2.401232321590264</v>
      </c>
      <c r="L676">
        <v>0</v>
      </c>
      <c r="M676">
        <v>1.6752450060356476E-3</v>
      </c>
      <c r="N676">
        <v>0.15030076851175797</v>
      </c>
      <c r="O676">
        <v>2.1019829363484305E-2</v>
      </c>
      <c r="P676">
        <v>2.8234765967517103E-2</v>
      </c>
      <c r="Q676">
        <v>5.4741660042766259E-3</v>
      </c>
      <c r="R676">
        <v>1.6533192298924598E-3</v>
      </c>
      <c r="S676">
        <v>0.26120602198604037</v>
      </c>
      <c r="T676">
        <v>1.3514493728563679</v>
      </c>
      <c r="U676">
        <v>0.21257045844161801</v>
      </c>
      <c r="V676">
        <v>0.25125492151841905</v>
      </c>
      <c r="W676">
        <v>9.9017742300493025E-2</v>
      </c>
      <c r="X676">
        <v>1.6226410489202425E-2</v>
      </c>
      <c r="Y676">
        <v>4.4997899272296174E-3</v>
      </c>
    </row>
    <row r="677" spans="1:25">
      <c r="A677" s="1010"/>
      <c r="B677" s="1351">
        <v>427</v>
      </c>
      <c r="C677" s="1014">
        <v>1.0067931063016355</v>
      </c>
      <c r="D677" s="1014">
        <v>1.0228761301459501</v>
      </c>
      <c r="E677" s="1014">
        <v>1.0049184321544047</v>
      </c>
      <c r="F677" s="1014">
        <v>0.97894259191931388</v>
      </c>
      <c r="G677" s="1014">
        <v>1.0211114948281514</v>
      </c>
      <c r="H677" s="1014">
        <v>0.98603012890763009</v>
      </c>
      <c r="I677" s="1014">
        <v>1.0040443236021066</v>
      </c>
      <c r="K677">
        <v>2.3730354623848755</v>
      </c>
      <c r="L677">
        <v>0</v>
      </c>
      <c r="M677">
        <v>1.5837400619460463E-3</v>
      </c>
      <c r="N677">
        <v>0.14626365283584933</v>
      </c>
      <c r="O677">
        <v>2.0743764360240328E-2</v>
      </c>
      <c r="P677">
        <v>2.8158610420171318E-2</v>
      </c>
      <c r="Q677">
        <v>5.4550902295750665E-3</v>
      </c>
      <c r="R677">
        <v>1.5625388867065856E-3</v>
      </c>
      <c r="S677">
        <v>0.25387783458825103</v>
      </c>
      <c r="T677">
        <v>1.3428596344039283</v>
      </c>
      <c r="U677">
        <v>0.21055984831301697</v>
      </c>
      <c r="V677">
        <v>0.24869725413120741</v>
      </c>
      <c r="W677">
        <v>9.580534907997959E-2</v>
      </c>
      <c r="X677">
        <v>1.638290943908324E-2</v>
      </c>
      <c r="Y677">
        <v>4.252715758809757E-3</v>
      </c>
    </row>
    <row r="678" spans="1:25">
      <c r="A678" s="1010"/>
      <c r="B678" s="1351">
        <v>428</v>
      </c>
      <c r="C678" s="1014">
        <v>0.9963012927350795</v>
      </c>
      <c r="D678" s="1014">
        <v>0.99808830309245022</v>
      </c>
      <c r="E678" s="1014">
        <v>1.0176235650179557</v>
      </c>
      <c r="F678" s="1014">
        <v>0.9585725397830156</v>
      </c>
      <c r="G678" s="1014">
        <v>1.035755186973639</v>
      </c>
      <c r="H678" s="1014">
        <v>0.97590460209527552</v>
      </c>
      <c r="I678" s="1014">
        <v>1.000629374868091</v>
      </c>
      <c r="K678">
        <v>2.3593505021349501</v>
      </c>
      <c r="L678">
        <v>0</v>
      </c>
      <c r="M678">
        <v>1.5510618437974729E-3</v>
      </c>
      <c r="N678">
        <v>0.14882540189440485</v>
      </c>
      <c r="O678">
        <v>2.1084133135457303E-2</v>
      </c>
      <c r="P678">
        <v>2.8173425684523936E-2</v>
      </c>
      <c r="Q678">
        <v>5.6154173989428346E-3</v>
      </c>
      <c r="R678">
        <v>1.5300826900038231E-3</v>
      </c>
      <c r="S678">
        <v>0.25807740239943644</v>
      </c>
      <c r="T678">
        <v>1.315181112307062</v>
      </c>
      <c r="U678">
        <v>0.21282087044120535</v>
      </c>
      <c r="V678">
        <v>0.25180319974607734</v>
      </c>
      <c r="W678">
        <v>9.675645513105717E-2</v>
      </c>
      <c r="X678">
        <v>1.6869682460007536E-2</v>
      </c>
      <c r="Y678">
        <v>4.1643806905672055E-3</v>
      </c>
    </row>
    <row r="679" spans="1:25">
      <c r="A679" s="1010"/>
      <c r="B679" s="1351">
        <v>429</v>
      </c>
      <c r="C679" s="1014">
        <v>1.0279830111853712</v>
      </c>
      <c r="D679" s="1014">
        <v>1.0153933698404902</v>
      </c>
      <c r="E679" s="1014">
        <v>0.98989595941758468</v>
      </c>
      <c r="F679" s="1014">
        <v>0.97930714256443041</v>
      </c>
      <c r="G679" s="1014">
        <v>0.99769544685856748</v>
      </c>
      <c r="H679" s="1014">
        <v>0.98451212904034402</v>
      </c>
      <c r="I679" s="1014">
        <v>0.99324876386394123</v>
      </c>
      <c r="K679">
        <v>2.3470213491809404</v>
      </c>
      <c r="L679">
        <v>0</v>
      </c>
      <c r="M679">
        <v>1.6002884289895276E-3</v>
      </c>
      <c r="N679">
        <v>0.14123001049820044</v>
      </c>
      <c r="O679">
        <v>2.0339352474441238E-2</v>
      </c>
      <c r="P679">
        <v>2.7618547257609018E-2</v>
      </c>
      <c r="Q679">
        <v>5.2684646986808506E-3</v>
      </c>
      <c r="R679">
        <v>1.5788326932022765E-3</v>
      </c>
      <c r="S679">
        <v>0.24663369656619552</v>
      </c>
      <c r="T679">
        <v>1.3430416861110475</v>
      </c>
      <c r="U679">
        <v>0.20616962754788831</v>
      </c>
      <c r="V679">
        <v>0.24347568710115616</v>
      </c>
      <c r="W679">
        <v>9.3339597391793414E-2</v>
      </c>
      <c r="X679">
        <v>1.5629073140873376E-2</v>
      </c>
      <c r="Y679">
        <v>4.2970621288391606E-3</v>
      </c>
    </row>
    <row r="680" spans="1:25">
      <c r="A680" s="1010"/>
      <c r="B680" s="1351">
        <v>430</v>
      </c>
      <c r="C680" s="1014">
        <v>1.0155230838979297</v>
      </c>
      <c r="D680" s="1014">
        <v>0.97725021645205712</v>
      </c>
      <c r="E680" s="1014">
        <v>0.97096438927664153</v>
      </c>
      <c r="F680" s="1014">
        <v>1.016655399339583</v>
      </c>
      <c r="G680" s="1014">
        <v>0.98769613565803571</v>
      </c>
      <c r="H680" s="1014">
        <v>1.01389466245755</v>
      </c>
      <c r="I680" s="1014">
        <v>1.0033719467784652</v>
      </c>
      <c r="K680">
        <v>2.4220410248984887</v>
      </c>
      <c r="L680">
        <v>0</v>
      </c>
      <c r="M680">
        <v>1.7495511384032411E-3</v>
      </c>
      <c r="N680">
        <v>0.14586481640449989</v>
      </c>
      <c r="O680">
        <v>2.0750672623264025E-2</v>
      </c>
      <c r="P680">
        <v>2.8094851696582504E-2</v>
      </c>
      <c r="Q680">
        <v>5.2725945395042132E-3</v>
      </c>
      <c r="R680">
        <v>1.7267739547874672E-3</v>
      </c>
      <c r="S680">
        <v>0.25943239158625941</v>
      </c>
      <c r="T680">
        <v>1.3938472482097377</v>
      </c>
      <c r="U680">
        <v>0.20863569639770729</v>
      </c>
      <c r="V680">
        <v>0.24258056087902985</v>
      </c>
      <c r="W680">
        <v>9.7510730143445898E-2</v>
      </c>
      <c r="X680">
        <v>1.5374530128021596E-2</v>
      </c>
      <c r="Y680">
        <v>4.6997094740502737E-3</v>
      </c>
    </row>
    <row r="681" spans="1:25">
      <c r="A681" s="1010"/>
      <c r="B681" s="1351">
        <v>431</v>
      </c>
      <c r="C681" s="1014">
        <v>0.96059580618785845</v>
      </c>
      <c r="D681" s="1014">
        <v>1.0179063178585861</v>
      </c>
      <c r="E681" s="1014">
        <v>0.98224000223381147</v>
      </c>
      <c r="F681" s="1014">
        <v>1.0206095835436961</v>
      </c>
      <c r="G681" s="1014">
        <v>1.0008848580079996</v>
      </c>
      <c r="H681" s="1014">
        <v>1.0302291517402309</v>
      </c>
      <c r="I681" s="1014">
        <v>1.0319076032532379</v>
      </c>
      <c r="K681">
        <v>2.4850438318563701</v>
      </c>
      <c r="L681">
        <v>0</v>
      </c>
      <c r="M681">
        <v>1.8197092730811509E-3</v>
      </c>
      <c r="N681">
        <v>0.15701346786127432</v>
      </c>
      <c r="O681">
        <v>2.1749097562319165E-2</v>
      </c>
      <c r="P681">
        <v>2.8901184297781015E-2</v>
      </c>
      <c r="Q681">
        <v>5.5901068561958105E-3</v>
      </c>
      <c r="R681">
        <v>1.7963943282609412E-3</v>
      </c>
      <c r="S681">
        <v>0.27796227204478319</v>
      </c>
      <c r="T681">
        <v>1.3995161761561963</v>
      </c>
      <c r="U681">
        <v>0.22060554657458625</v>
      </c>
      <c r="V681">
        <v>0.24830522298549659</v>
      </c>
      <c r="W681">
        <v>0.10424947832964188</v>
      </c>
      <c r="X681">
        <v>1.6285400952621851E-2</v>
      </c>
      <c r="Y681">
        <v>4.8891931802951226E-3</v>
      </c>
    </row>
    <row r="682" spans="1:25">
      <c r="A682" s="1010"/>
      <c r="B682" s="1351">
        <v>432</v>
      </c>
      <c r="C682" s="1014">
        <v>1.0456101050053124</v>
      </c>
      <c r="D682" s="1014">
        <v>1.0148678977070977</v>
      </c>
      <c r="E682" s="1014">
        <v>0.95528357819520926</v>
      </c>
      <c r="F682" s="1014">
        <v>1.0007420426059506</v>
      </c>
      <c r="G682" s="1014">
        <v>1.0184963322017875</v>
      </c>
      <c r="H682" s="1014">
        <v>0.98945926173953547</v>
      </c>
      <c r="I682" s="1014">
        <v>0.98083947934346605</v>
      </c>
      <c r="K682">
        <v>2.357261010323938</v>
      </c>
      <c r="L682">
        <v>0</v>
      </c>
      <c r="M682">
        <v>1.6985813406088469E-3</v>
      </c>
      <c r="N682">
        <v>0.13500135667512433</v>
      </c>
      <c r="O682">
        <v>1.9976944696404601E-2</v>
      </c>
      <c r="P682">
        <v>2.7171077299720032E-2</v>
      </c>
      <c r="Q682">
        <v>4.9949830857257353E-3</v>
      </c>
      <c r="R682">
        <v>1.6759216148592676E-3</v>
      </c>
      <c r="S682">
        <v>0.23964035496796052</v>
      </c>
      <c r="T682">
        <v>1.3716930700856147</v>
      </c>
      <c r="U682">
        <v>0.20258133393078381</v>
      </c>
      <c r="V682">
        <v>0.24613803893106723</v>
      </c>
      <c r="W682">
        <v>9.1118714407896054E-2</v>
      </c>
      <c r="X682">
        <v>1.4406489801150703E-2</v>
      </c>
      <c r="Y682">
        <v>4.5613061682350658E-3</v>
      </c>
    </row>
    <row r="683" spans="1:25">
      <c r="A683" s="1010"/>
      <c r="B683" s="1351">
        <v>433</v>
      </c>
      <c r="C683" s="1014">
        <v>0.99529273421898068</v>
      </c>
      <c r="D683" s="1014">
        <v>1.0486573109614832</v>
      </c>
      <c r="E683" s="1014">
        <v>1.0146952431109184</v>
      </c>
      <c r="F683" s="1014">
        <v>0.968286900648201</v>
      </c>
      <c r="G683" s="1014">
        <v>1.0045066202609136</v>
      </c>
      <c r="H683" s="1014">
        <v>0.97978793655109109</v>
      </c>
      <c r="I683" s="1014">
        <v>0.95944303135807785</v>
      </c>
      <c r="K683">
        <v>2.3488417922940221</v>
      </c>
      <c r="L683">
        <v>0</v>
      </c>
      <c r="M683">
        <v>1.5513723060453617E-3</v>
      </c>
      <c r="N683">
        <v>0.14755362945728223</v>
      </c>
      <c r="O683">
        <v>2.0875317717369758E-2</v>
      </c>
      <c r="P683">
        <v>2.8003704935405275E-2</v>
      </c>
      <c r="Q683">
        <v>5.5436066063970753E-3</v>
      </c>
      <c r="R683">
        <v>1.530472119382253E-3</v>
      </c>
      <c r="S683">
        <v>0.24195096260043575</v>
      </c>
      <c r="T683">
        <v>1.3284478920320577</v>
      </c>
      <c r="U683">
        <v>0.21302644592941322</v>
      </c>
      <c r="V683">
        <v>0.24654331105252406</v>
      </c>
      <c r="W683">
        <v>9.6094620548237919E-2</v>
      </c>
      <c r="X683">
        <v>1.6657761012602239E-2</v>
      </c>
      <c r="Y683">
        <v>4.1654405889599297E-3</v>
      </c>
    </row>
    <row r="684" spans="1:25">
      <c r="A684" s="1010"/>
      <c r="B684" s="1351">
        <v>434</v>
      </c>
      <c r="C684" s="1014">
        <v>1.0278138517729196</v>
      </c>
      <c r="D684" s="1014">
        <v>0.99435714645753714</v>
      </c>
      <c r="E684" s="1014">
        <v>0.98411634635849732</v>
      </c>
      <c r="F684" s="1014">
        <v>1.0378894552629523</v>
      </c>
      <c r="G684" s="1014">
        <v>1.0347563381950911</v>
      </c>
      <c r="H684" s="1014">
        <v>1.0248597115213853</v>
      </c>
      <c r="I684" s="1014">
        <v>1.0128533325741793</v>
      </c>
      <c r="K684">
        <v>2.4562481092419604</v>
      </c>
      <c r="L684">
        <v>0</v>
      </c>
      <c r="M684">
        <v>1.6939841483558451E-3</v>
      </c>
      <c r="N684">
        <v>0.14698726152996236</v>
      </c>
      <c r="O684">
        <v>2.043287918276844E-2</v>
      </c>
      <c r="P684">
        <v>2.8813032675194795E-2</v>
      </c>
      <c r="Q684">
        <v>5.2618107129730196E-3</v>
      </c>
      <c r="R684">
        <v>1.6721663391474524E-3</v>
      </c>
      <c r="S684">
        <v>0.25753698175390033</v>
      </c>
      <c r="T684">
        <v>1.4232532638977522</v>
      </c>
      <c r="U684">
        <v>0.20618437765635378</v>
      </c>
      <c r="V684">
        <v>0.2498385214692585</v>
      </c>
      <c r="W684">
        <v>9.7482323904779317E-2</v>
      </c>
      <c r="X684">
        <v>1.5928388722551166E-2</v>
      </c>
      <c r="Y684">
        <v>4.5510855456738107E-3</v>
      </c>
    </row>
    <row r="685" spans="1:25">
      <c r="A685" s="1010"/>
      <c r="B685" s="1351">
        <v>435</v>
      </c>
      <c r="C685" s="1014">
        <v>1.0185058945184113</v>
      </c>
      <c r="D685" s="1014">
        <v>0.98391922452936187</v>
      </c>
      <c r="E685" s="1014">
        <v>1.0280722263942457</v>
      </c>
      <c r="F685" s="1014">
        <v>1.0028430970835818</v>
      </c>
      <c r="G685" s="1014">
        <v>1.0198123002689032</v>
      </c>
      <c r="H685" s="1014">
        <v>0.98987844816650727</v>
      </c>
      <c r="I685" s="1014">
        <v>1.0157321278749736</v>
      </c>
      <c r="K685">
        <v>2.4145753230964151</v>
      </c>
      <c r="L685">
        <v>0</v>
      </c>
      <c r="M685">
        <v>1.5106059674046329E-3</v>
      </c>
      <c r="N685">
        <v>0.14961319218087868</v>
      </c>
      <c r="O685">
        <v>2.0696308800782114E-2</v>
      </c>
      <c r="P685">
        <v>2.9135288543357177E-2</v>
      </c>
      <c r="Q685">
        <v>5.5695916854274748E-3</v>
      </c>
      <c r="R685">
        <v>1.4904624389870001E-3</v>
      </c>
      <c r="S685">
        <v>0.25939175802456127</v>
      </c>
      <c r="T685">
        <v>1.376148865519492</v>
      </c>
      <c r="U685">
        <v>0.20821631916758748</v>
      </c>
      <c r="V685">
        <v>0.24767853899985962</v>
      </c>
      <c r="W685">
        <v>9.6677152330727559E-2</v>
      </c>
      <c r="X685">
        <v>1.7411903944047992E-2</v>
      </c>
      <c r="Y685">
        <v>4.0565474281116492E-3</v>
      </c>
    </row>
    <row r="686" spans="1:25">
      <c r="A686" s="1010"/>
      <c r="B686" s="1351">
        <v>436</v>
      </c>
      <c r="C686" s="1014">
        <v>0.99632837718004197</v>
      </c>
      <c r="D686" s="1014">
        <v>1.0060676941339164</v>
      </c>
      <c r="E686" s="1014">
        <v>0.9979016520807078</v>
      </c>
      <c r="F686" s="1014">
        <v>1.0082061999533649</v>
      </c>
      <c r="G686" s="1014">
        <v>0.98841150012612655</v>
      </c>
      <c r="H686" s="1014">
        <v>1.0054999393917823</v>
      </c>
      <c r="I686" s="1014">
        <v>1.0448205248381777</v>
      </c>
      <c r="K686">
        <v>2.4356250141290881</v>
      </c>
      <c r="L686">
        <v>0</v>
      </c>
      <c r="M686">
        <v>1.6619543824641784E-3</v>
      </c>
      <c r="N686">
        <v>0.15030725885826648</v>
      </c>
      <c r="O686">
        <v>2.1033521890191399E-2</v>
      </c>
      <c r="P686">
        <v>2.8751132285304799E-2</v>
      </c>
      <c r="Q686">
        <v>5.492443781551423E-3</v>
      </c>
      <c r="R686">
        <v>1.6401369686676946E-3</v>
      </c>
      <c r="S686">
        <v>0.27085981093147493</v>
      </c>
      <c r="T686">
        <v>1.3828487937539695</v>
      </c>
      <c r="U686">
        <v>0.21274734147329308</v>
      </c>
      <c r="V686">
        <v>0.2437894695614552</v>
      </c>
      <c r="W686">
        <v>9.8864975303692246E-2</v>
      </c>
      <c r="X686">
        <v>1.6488171545976749E-2</v>
      </c>
      <c r="Y686">
        <v>4.4639121577070518E-3</v>
      </c>
    </row>
    <row r="687" spans="1:25">
      <c r="A687" s="1010"/>
      <c r="B687" s="1351">
        <v>437</v>
      </c>
      <c r="C687" s="1014">
        <v>1.0110957402720153</v>
      </c>
      <c r="D687" s="1014">
        <v>0.99269673347768617</v>
      </c>
      <c r="E687" s="1014">
        <v>1.0023860060945957</v>
      </c>
      <c r="F687" s="1014">
        <v>0.99683535409669333</v>
      </c>
      <c r="G687" s="1014">
        <v>1.0195046193684627</v>
      </c>
      <c r="H687" s="1014">
        <v>0.96725597894188375</v>
      </c>
      <c r="I687" s="1014">
        <v>1.0136139984589168</v>
      </c>
      <c r="K687">
        <v>2.3954405213515795</v>
      </c>
      <c r="L687">
        <v>0</v>
      </c>
      <c r="M687">
        <v>1.5654066084812308E-3</v>
      </c>
      <c r="N687">
        <v>0.14343111921981291</v>
      </c>
      <c r="O687">
        <v>2.0790366441378969E-2</v>
      </c>
      <c r="P687">
        <v>2.8469593087752418E-2</v>
      </c>
      <c r="Q687">
        <v>5.4534737671871345E-3</v>
      </c>
      <c r="R687">
        <v>1.5440441142540154E-3</v>
      </c>
      <c r="S687">
        <v>0.2574414521556706</v>
      </c>
      <c r="T687">
        <v>1.3673493033034572</v>
      </c>
      <c r="U687">
        <v>0.20965526205666174</v>
      </c>
      <c r="V687">
        <v>0.24816844667513696</v>
      </c>
      <c r="W687">
        <v>9.4091094457866495E-2</v>
      </c>
      <c r="X687">
        <v>1.6409393595887497E-2</v>
      </c>
      <c r="Y687">
        <v>4.2023790849939615E-3</v>
      </c>
    </row>
    <row r="688" spans="1:25">
      <c r="A688" s="1010"/>
      <c r="B688" s="1351">
        <v>438</v>
      </c>
      <c r="C688" s="1014">
        <v>1.00256453893557</v>
      </c>
      <c r="D688" s="1014">
        <v>1.0395580611714046</v>
      </c>
      <c r="E688" s="1014">
        <v>1.0132993062269688</v>
      </c>
      <c r="F688" s="1014">
        <v>1.0203946630772256</v>
      </c>
      <c r="G688" s="1014">
        <v>0.9715362202095762</v>
      </c>
      <c r="H688" s="1014">
        <v>1.0203255692487365</v>
      </c>
      <c r="I688" s="1014">
        <v>0.98245508234881929</v>
      </c>
      <c r="K688">
        <v>2.4309915107892435</v>
      </c>
      <c r="L688">
        <v>0</v>
      </c>
      <c r="M688">
        <v>1.6115883759877055E-3</v>
      </c>
      <c r="N688">
        <v>0.15271926656166923</v>
      </c>
      <c r="O688">
        <v>2.0762758242564083E-2</v>
      </c>
      <c r="P688">
        <v>2.8970614218616547E-2</v>
      </c>
      <c r="Q688">
        <v>5.5060438135386049E-3</v>
      </c>
      <c r="R688">
        <v>1.5907395514432841E-3</v>
      </c>
      <c r="S688">
        <v>0.2503658344985632</v>
      </c>
      <c r="T688">
        <v>1.3999066031960441</v>
      </c>
      <c r="U688">
        <v>0.21147655206092084</v>
      </c>
      <c r="V688">
        <v>0.2404651685808343</v>
      </c>
      <c r="W688">
        <v>9.9540398595916582E-2</v>
      </c>
      <c r="X688">
        <v>1.696965117324515E-2</v>
      </c>
      <c r="Y688">
        <v>4.3294686718764169E-3</v>
      </c>
    </row>
    <row r="689" spans="1:25">
      <c r="A689" s="1010"/>
      <c r="B689" s="1351">
        <v>439</v>
      </c>
      <c r="C689" s="1014">
        <v>1.0145584389574653</v>
      </c>
      <c r="D689" s="1014">
        <v>0.98375920553405583</v>
      </c>
      <c r="E689" s="1014">
        <v>1.0131536105033476</v>
      </c>
      <c r="F689" s="1014">
        <v>1.0074367247445286</v>
      </c>
      <c r="G689" s="1014">
        <v>0.98910007926225341</v>
      </c>
      <c r="H689" s="1014">
        <v>1.0329880734453245</v>
      </c>
      <c r="I689" s="1014">
        <v>0.99764708495005916</v>
      </c>
      <c r="K689">
        <v>2.4250045153630513</v>
      </c>
      <c r="L689">
        <v>0</v>
      </c>
      <c r="M689">
        <v>1.6324829000977056E-3</v>
      </c>
      <c r="N689">
        <v>0.15465612726152694</v>
      </c>
      <c r="O689">
        <v>2.0767752605752917E-2</v>
      </c>
      <c r="P689">
        <v>2.8842124270601708E-2</v>
      </c>
      <c r="Q689">
        <v>5.5065676355913118E-3</v>
      </c>
      <c r="R689">
        <v>1.6116226480333206E-3</v>
      </c>
      <c r="S689">
        <v>0.25928511092806483</v>
      </c>
      <c r="T689">
        <v>1.3821260797216921</v>
      </c>
      <c r="U689">
        <v>0.20897602812678664</v>
      </c>
      <c r="V689">
        <v>0.2427280869893364</v>
      </c>
      <c r="W689">
        <v>0.10081145748130359</v>
      </c>
      <c r="X689">
        <v>1.6939735017775879E-2</v>
      </c>
      <c r="Y689">
        <v>4.3863055766835569E-3</v>
      </c>
    </row>
    <row r="690" spans="1:25">
      <c r="A690" s="1010"/>
      <c r="B690" s="1351">
        <v>440</v>
      </c>
      <c r="C690" s="1014">
        <v>1.0127507499656971</v>
      </c>
      <c r="D690" s="1014">
        <v>1.0337090837039298</v>
      </c>
      <c r="E690" s="1014">
        <v>1.0211848143851179</v>
      </c>
      <c r="F690" s="1014">
        <v>0.99440396771223138</v>
      </c>
      <c r="G690" s="1014">
        <v>0.98813186252349317</v>
      </c>
      <c r="H690" s="1014">
        <v>0.96371307283465923</v>
      </c>
      <c r="I690" s="1014">
        <v>0.98695024821690169</v>
      </c>
      <c r="K690">
        <v>2.3743661733729562</v>
      </c>
      <c r="L690">
        <v>0</v>
      </c>
      <c r="M690">
        <v>1.4841897573781126E-3</v>
      </c>
      <c r="N690">
        <v>0.14392230252793231</v>
      </c>
      <c r="O690">
        <v>2.0584600248239892E-2</v>
      </c>
      <c r="P690">
        <v>2.8574644881103149E-2</v>
      </c>
      <c r="Q690">
        <v>5.5018254689383683E-3</v>
      </c>
      <c r="R690">
        <v>1.4638611373530594E-3</v>
      </c>
      <c r="S690">
        <v>0.24507736581398976</v>
      </c>
      <c r="T690">
        <v>1.3644194488911627</v>
      </c>
      <c r="U690">
        <v>0.20937621387031788</v>
      </c>
      <c r="V690">
        <v>0.2426446819890494</v>
      </c>
      <c r="W690">
        <v>9.3373942771633606E-2</v>
      </c>
      <c r="X690">
        <v>1.6927328076434121E-2</v>
      </c>
      <c r="Y690">
        <v>3.9841474541807914E-3</v>
      </c>
    </row>
    <row r="691" spans="1:25">
      <c r="A691" s="1010"/>
      <c r="B691" s="1351">
        <v>441</v>
      </c>
      <c r="C691" s="1014">
        <v>0.97626226067552957</v>
      </c>
      <c r="D691" s="1014">
        <v>0.98622513276152624</v>
      </c>
      <c r="E691" s="1014">
        <v>0.98629129939751825</v>
      </c>
      <c r="F691" s="1014">
        <v>0.99564710883378205</v>
      </c>
      <c r="G691" s="1014">
        <v>0.98457046031091477</v>
      </c>
      <c r="H691" s="1014">
        <v>0.99509849823220353</v>
      </c>
      <c r="I691" s="1014">
        <v>0.99388589367416336</v>
      </c>
      <c r="K691">
        <v>2.4182340606475057</v>
      </c>
      <c r="L691">
        <v>0</v>
      </c>
      <c r="M691">
        <v>1.7269857925450252E-3</v>
      </c>
      <c r="N691">
        <v>0.1507809481393883</v>
      </c>
      <c r="O691">
        <v>2.1552216522746043E-2</v>
      </c>
      <c r="P691">
        <v>2.824848199593161E-2</v>
      </c>
      <c r="Q691">
        <v>5.5623060428029395E-3</v>
      </c>
      <c r="R691">
        <v>1.7040777008748753E-3</v>
      </c>
      <c r="S691">
        <v>0.26458715763380214</v>
      </c>
      <c r="T691">
        <v>1.3653732129664853</v>
      </c>
      <c r="U691">
        <v>0.21707955417943342</v>
      </c>
      <c r="V691">
        <v>0.24446141537595048</v>
      </c>
      <c r="W691">
        <v>9.9867605711293467E-2</v>
      </c>
      <c r="X691">
        <v>1.6106132418622066E-2</v>
      </c>
      <c r="Y691">
        <v>4.6379377527182913E-3</v>
      </c>
    </row>
    <row r="692" spans="1:25">
      <c r="A692" s="1010"/>
      <c r="B692" s="1351">
        <v>442</v>
      </c>
      <c r="C692" s="1014">
        <v>1.0144624589620674</v>
      </c>
      <c r="D692" s="1014">
        <v>0.98729236886699911</v>
      </c>
      <c r="E692" s="1014">
        <v>1.0183470163473149</v>
      </c>
      <c r="F692" s="1014">
        <v>0.98048468175315207</v>
      </c>
      <c r="G692" s="1014">
        <v>0.98460172438263249</v>
      </c>
      <c r="H692" s="1014">
        <v>1.0045357093460361</v>
      </c>
      <c r="I692" s="1014">
        <v>1.0117525467714885</v>
      </c>
      <c r="K692">
        <v>2.3812745337215957</v>
      </c>
      <c r="L692">
        <v>0</v>
      </c>
      <c r="M692">
        <v>1.5693774784697307E-3</v>
      </c>
      <c r="N692">
        <v>0.1509708281920297</v>
      </c>
      <c r="O692">
        <v>2.0756758024543711E-2</v>
      </c>
      <c r="P692">
        <v>2.8443849543592432E-2</v>
      </c>
      <c r="Q692">
        <v>5.5322081683683421E-3</v>
      </c>
      <c r="R692">
        <v>1.5487555985040486E-3</v>
      </c>
      <c r="S692">
        <v>0.26012645635309328</v>
      </c>
      <c r="T692">
        <v>1.3452604149182694</v>
      </c>
      <c r="U692">
        <v>0.20901334120737791</v>
      </c>
      <c r="V692">
        <v>0.24194799866453293</v>
      </c>
      <c r="W692">
        <v>9.8109669419401274E-2</v>
      </c>
      <c r="X692">
        <v>1.6918428918370913E-2</v>
      </c>
      <c r="Y692">
        <v>4.2152021919821875E-3</v>
      </c>
    </row>
    <row r="693" spans="1:25">
      <c r="A693" s="1010"/>
      <c r="B693" s="1351">
        <v>443</v>
      </c>
      <c r="C693" s="1014">
        <v>0.98664424439269638</v>
      </c>
      <c r="D693" s="1014">
        <v>0.99821535830000285</v>
      </c>
      <c r="E693" s="1014">
        <v>0.98885165820821219</v>
      </c>
      <c r="F693" s="1014">
        <v>1.0254862744416853</v>
      </c>
      <c r="G693" s="1014">
        <v>0.98455081222084839</v>
      </c>
      <c r="H693" s="1014">
        <v>1.0029337497916688</v>
      </c>
      <c r="I693" s="1014">
        <v>0.96363574527207829</v>
      </c>
      <c r="K693">
        <v>2.4439345433615207</v>
      </c>
      <c r="L693">
        <v>0</v>
      </c>
      <c r="M693">
        <v>1.7086149988384523E-3</v>
      </c>
      <c r="N693">
        <v>0.15035228639923492</v>
      </c>
      <c r="O693">
        <v>2.1270532676372123E-2</v>
      </c>
      <c r="P693">
        <v>2.8660268348244217E-2</v>
      </c>
      <c r="Q693">
        <v>5.5038519323588322E-3</v>
      </c>
      <c r="R693">
        <v>1.6861276536348376E-3</v>
      </c>
      <c r="S693">
        <v>0.25297010585751528</v>
      </c>
      <c r="T693">
        <v>1.406349572688429</v>
      </c>
      <c r="U693">
        <v>0.21480418307247592</v>
      </c>
      <c r="V693">
        <v>0.24377663690451556</v>
      </c>
      <c r="W693">
        <v>9.9430768916915074E-2</v>
      </c>
      <c r="X693">
        <v>1.6249740269297788E-2</v>
      </c>
      <c r="Y693">
        <v>4.589083641362391E-3</v>
      </c>
    </row>
    <row r="694" spans="1:25">
      <c r="A694" s="1010"/>
      <c r="B694" s="1351">
        <v>444</v>
      </c>
      <c r="C694" s="1014">
        <v>0.99477736365028957</v>
      </c>
      <c r="D694" s="1014">
        <v>1.0211007080640579</v>
      </c>
      <c r="E694" s="1014">
        <v>0.99026418995821786</v>
      </c>
      <c r="F694" s="1014">
        <v>0.96052487433880662</v>
      </c>
      <c r="G694" s="1014">
        <v>0.96691086443519958</v>
      </c>
      <c r="H694" s="1014">
        <v>0.99041376215147725</v>
      </c>
      <c r="I694" s="1014">
        <v>0.97599408750204997</v>
      </c>
      <c r="K694">
        <v>2.338451363316564</v>
      </c>
      <c r="L694">
        <v>0</v>
      </c>
      <c r="M694">
        <v>1.660302254390292E-3</v>
      </c>
      <c r="N694">
        <v>0.14670150086529321</v>
      </c>
      <c r="O694">
        <v>2.0992621768842763E-2</v>
      </c>
      <c r="P694">
        <v>2.7375564639808479E-2</v>
      </c>
      <c r="Q694">
        <v>5.4397039932822478E-3</v>
      </c>
      <c r="R694">
        <v>1.6381745322359041E-3</v>
      </c>
      <c r="S694">
        <v>0.25023107404451778</v>
      </c>
      <c r="T694">
        <v>1.3172909367029551</v>
      </c>
      <c r="U694">
        <v>0.21305282870620243</v>
      </c>
      <c r="V694">
        <v>0.24024148199493101</v>
      </c>
      <c r="W694">
        <v>9.6934347860026929E-2</v>
      </c>
      <c r="X694">
        <v>1.5754859410199371E-2</v>
      </c>
      <c r="Y694">
        <v>4.4585710526567146E-3</v>
      </c>
    </row>
    <row r="695" spans="1:25">
      <c r="A695" s="1010"/>
      <c r="B695" s="1351">
        <v>445</v>
      </c>
      <c r="C695" s="1014">
        <v>1.0054652877245829</v>
      </c>
      <c r="D695" s="1014">
        <v>0.95813007065630107</v>
      </c>
      <c r="E695" s="1014">
        <v>0.99634442251473898</v>
      </c>
      <c r="F695" s="1014">
        <v>1.0102129072666615</v>
      </c>
      <c r="G695" s="1014">
        <v>0.97140991968092272</v>
      </c>
      <c r="H695" s="1014">
        <v>1.008714507151381</v>
      </c>
      <c r="I695" s="1014">
        <v>1.012192024733368</v>
      </c>
      <c r="K695">
        <v>2.4296165928557527</v>
      </c>
      <c r="L695">
        <v>0</v>
      </c>
      <c r="M695">
        <v>1.6753577329617023E-3</v>
      </c>
      <c r="N695">
        <v>0.15081451846909952</v>
      </c>
      <c r="O695">
        <v>2.1066415069495494E-2</v>
      </c>
      <c r="P695">
        <v>2.8625078865857651E-2</v>
      </c>
      <c r="Q695">
        <v>5.4924154064516489E-3</v>
      </c>
      <c r="R695">
        <v>1.6534344541967035E-3</v>
      </c>
      <c r="S695">
        <v>0.2667410648332092</v>
      </c>
      <c r="T695">
        <v>1.3855671755256345</v>
      </c>
      <c r="U695">
        <v>0.21080876237159429</v>
      </c>
      <c r="V695">
        <v>0.24032225352223394</v>
      </c>
      <c r="W695">
        <v>9.9290689612909488E-2</v>
      </c>
      <c r="X695">
        <v>1.6410038928227913E-2</v>
      </c>
      <c r="Y695">
        <v>4.5001035298020868E-3</v>
      </c>
    </row>
    <row r="696" spans="1:25">
      <c r="A696" s="1010"/>
      <c r="B696" s="1351">
        <v>446</v>
      </c>
      <c r="C696" s="1014">
        <v>0.99970932271104584</v>
      </c>
      <c r="D696" s="1014">
        <v>0.98365947303221624</v>
      </c>
      <c r="E696" s="1014">
        <v>0.98509944431489016</v>
      </c>
      <c r="F696" s="1014">
        <v>1.0421762147982603</v>
      </c>
      <c r="G696" s="1014">
        <v>1.0119844540990934</v>
      </c>
      <c r="H696" s="1014">
        <v>1.0014750553532086</v>
      </c>
      <c r="I696" s="1014">
        <v>0.9958461958811633</v>
      </c>
      <c r="K696">
        <v>2.4710589404814569</v>
      </c>
      <c r="L696">
        <v>0</v>
      </c>
      <c r="M696">
        <v>1.7024554709055143E-3</v>
      </c>
      <c r="N696">
        <v>0.14811708749071562</v>
      </c>
      <c r="O696">
        <v>2.1058005938226515E-2</v>
      </c>
      <c r="P696">
        <v>2.8992880906610986E-2</v>
      </c>
      <c r="Q696">
        <v>5.4281987688918438E-3</v>
      </c>
      <c r="R696">
        <v>1.6800165564233071E-3</v>
      </c>
      <c r="S696">
        <v>0.25976304234530062</v>
      </c>
      <c r="T696">
        <v>1.4291537680176283</v>
      </c>
      <c r="U696">
        <v>0.21198413054115345</v>
      </c>
      <c r="V696">
        <v>0.24765051794196005</v>
      </c>
      <c r="W696">
        <v>9.8173544997552931E-2</v>
      </c>
      <c r="X696">
        <v>1.6187751198623292E-2</v>
      </c>
      <c r="Y696">
        <v>4.5724512492752592E-3</v>
      </c>
    </row>
    <row r="697" spans="1:25">
      <c r="A697" s="1010"/>
      <c r="B697" s="1351">
        <v>447</v>
      </c>
      <c r="C697" s="1014">
        <v>1.0014096924223825</v>
      </c>
      <c r="D697" s="1014">
        <v>0.97031899471111216</v>
      </c>
      <c r="E697" s="1014">
        <v>0.9791716092544418</v>
      </c>
      <c r="F697" s="1014">
        <v>0.97316429166154317</v>
      </c>
      <c r="G697" s="1014">
        <v>0.99792122596708077</v>
      </c>
      <c r="H697" s="1014">
        <v>0.98726384610698636</v>
      </c>
      <c r="I697" s="1014">
        <v>1.0005656074859397</v>
      </c>
      <c r="K697">
        <v>2.3683952772372132</v>
      </c>
      <c r="L697">
        <v>0</v>
      </c>
      <c r="M697">
        <v>1.7012206112157191E-3</v>
      </c>
      <c r="N697">
        <v>0.14535113193563895</v>
      </c>
      <c r="O697">
        <v>2.1081553910911471E-2</v>
      </c>
      <c r="P697">
        <v>2.7569245188420567E-2</v>
      </c>
      <c r="Q697">
        <v>5.4016641870635058E-3</v>
      </c>
      <c r="R697">
        <v>1.6784752090081376E-3</v>
      </c>
      <c r="S697">
        <v>0.2610848241668946</v>
      </c>
      <c r="T697">
        <v>1.3343922475902197</v>
      </c>
      <c r="U697">
        <v>0.21160401030163742</v>
      </c>
      <c r="V697">
        <v>0.24516355112452315</v>
      </c>
      <c r="W697">
        <v>9.6685110926995915E-2</v>
      </c>
      <c r="X697">
        <v>1.5516427097395759E-2</v>
      </c>
      <c r="Y697">
        <v>4.5682562097162076E-3</v>
      </c>
    </row>
    <row r="698" spans="1:25">
      <c r="A698" s="1010"/>
      <c r="B698" s="1351">
        <v>448</v>
      </c>
      <c r="C698" s="1014">
        <v>1.0162198819584976</v>
      </c>
      <c r="D698" s="1014">
        <v>0.95648220316338883</v>
      </c>
      <c r="E698" s="1014">
        <v>0.98413769891430747</v>
      </c>
      <c r="F698" s="1014">
        <v>0.99962491186429758</v>
      </c>
      <c r="G698" s="1014">
        <v>1.029033740516758</v>
      </c>
      <c r="H698" s="1014">
        <v>1.0400242670346078</v>
      </c>
      <c r="I698" s="1014">
        <v>0.98406142737527003</v>
      </c>
      <c r="K698">
        <v>2.4161936394026657</v>
      </c>
      <c r="L698">
        <v>0</v>
      </c>
      <c r="M698">
        <v>1.7535025283966004E-3</v>
      </c>
      <c r="N698">
        <v>0.15219045585031227</v>
      </c>
      <c r="O698">
        <v>2.0843327377948896E-2</v>
      </c>
      <c r="P698">
        <v>2.8157753797748278E-2</v>
      </c>
      <c r="Q698">
        <v>5.3676242634582956E-3</v>
      </c>
      <c r="R698">
        <v>1.7312474493093944E-3</v>
      </c>
      <c r="S698">
        <v>0.25931094905615942</v>
      </c>
      <c r="T698">
        <v>1.3707817232814996</v>
      </c>
      <c r="U698">
        <v>0.20853679005843906</v>
      </c>
      <c r="V698">
        <v>0.24955315321639285</v>
      </c>
      <c r="W698">
        <v>0.10093179845740671</v>
      </c>
      <c r="X698">
        <v>1.583043427093481E-2</v>
      </c>
      <c r="Y698">
        <v>4.7118848514518868E-3</v>
      </c>
    </row>
    <row r="699" spans="1:25">
      <c r="A699" s="1010"/>
      <c r="B699" s="1351">
        <v>449</v>
      </c>
      <c r="C699" s="1014">
        <v>1.0315696754545471</v>
      </c>
      <c r="D699" s="1014">
        <v>0.99776514957840567</v>
      </c>
      <c r="E699" s="1014">
        <v>1.0404311870202074</v>
      </c>
      <c r="F699" s="1014">
        <v>1.0104179640168753</v>
      </c>
      <c r="G699" s="1014">
        <v>0.96089608639097168</v>
      </c>
      <c r="H699" s="1014">
        <v>1.0407228301901537</v>
      </c>
      <c r="I699" s="1014">
        <v>0.97856193164633853</v>
      </c>
      <c r="K699">
        <v>2.4127541485858144</v>
      </c>
      <c r="L699">
        <v>0</v>
      </c>
      <c r="M699">
        <v>1.5235007077167326E-3</v>
      </c>
      <c r="N699">
        <v>0.15671965831416476</v>
      </c>
      <c r="O699">
        <v>2.037948263432577E-2</v>
      </c>
      <c r="P699">
        <v>2.9214423156686688E-2</v>
      </c>
      <c r="Q699">
        <v>5.5515980722788743E-3</v>
      </c>
      <c r="R699">
        <v>1.5041777413931435E-3</v>
      </c>
      <c r="S699">
        <v>0.24921303392291055</v>
      </c>
      <c r="T699">
        <v>1.3868153339104283</v>
      </c>
      <c r="U699">
        <v>0.20562063436069877</v>
      </c>
      <c r="V699">
        <v>0.23680820277886994</v>
      </c>
      <c r="W699">
        <v>0.10054769797532381</v>
      </c>
      <c r="X699">
        <v>1.7809530466440252E-2</v>
      </c>
      <c r="Y699">
        <v>4.0938759600129496E-3</v>
      </c>
    </row>
    <row r="700" spans="1:25">
      <c r="A700" s="1010"/>
      <c r="B700" s="1351">
        <v>450</v>
      </c>
      <c r="C700" s="1014">
        <v>1.0251018958039178</v>
      </c>
      <c r="D700" s="1014">
        <v>1.0145358574976695</v>
      </c>
      <c r="E700" s="1014">
        <v>1.0168517498319596</v>
      </c>
      <c r="F700" s="1014">
        <v>1.0406210046853055</v>
      </c>
      <c r="G700" s="1014">
        <v>1.0316850898335945</v>
      </c>
      <c r="H700" s="1014">
        <v>0.97711805860247691</v>
      </c>
      <c r="I700" s="1014">
        <v>1.0120058357904997</v>
      </c>
      <c r="K700">
        <v>2.4500916987213901</v>
      </c>
      <c r="L700">
        <v>0</v>
      </c>
      <c r="M700">
        <v>1.5063570570109765E-3</v>
      </c>
      <c r="N700">
        <v>0.14420218964159032</v>
      </c>
      <c r="O700">
        <v>2.0417714573799591E-2</v>
      </c>
      <c r="P700">
        <v>2.9507991294548667E-2</v>
      </c>
      <c r="Q700">
        <v>5.4337503646315873E-3</v>
      </c>
      <c r="R700">
        <v>1.4860078680317816E-3</v>
      </c>
      <c r="S700">
        <v>0.25169987392116333</v>
      </c>
      <c r="T700">
        <v>1.4277358525226347</v>
      </c>
      <c r="U700">
        <v>0.20683901180461239</v>
      </c>
      <c r="V700">
        <v>0.24935135276984072</v>
      </c>
      <c r="W700">
        <v>9.3793182707503947E-2</v>
      </c>
      <c r="X700">
        <v>1.7086704755622805E-2</v>
      </c>
      <c r="Y700">
        <v>4.0444235544204662E-3</v>
      </c>
    </row>
    <row r="701" spans="1:25">
      <c r="A701" s="1010"/>
      <c r="B701" s="1351">
        <v>451</v>
      </c>
      <c r="C701" s="1014">
        <v>0.96631080598125341</v>
      </c>
      <c r="D701" s="1014">
        <v>1.0056577963555979</v>
      </c>
      <c r="E701" s="1014">
        <v>1.0268282359776382</v>
      </c>
      <c r="F701" s="1014">
        <v>0.99285894906034688</v>
      </c>
      <c r="G701" s="1014">
        <v>1.0005015082052269</v>
      </c>
      <c r="H701" s="1014">
        <v>0.98572475993054287</v>
      </c>
      <c r="I701" s="1014">
        <v>0.99855004276005166</v>
      </c>
      <c r="K701">
        <v>2.4307302930890011</v>
      </c>
      <c r="L701">
        <v>0</v>
      </c>
      <c r="M701">
        <v>1.5820094882327139E-3</v>
      </c>
      <c r="N701">
        <v>0.15608964446804327</v>
      </c>
      <c r="O701">
        <v>2.170873379332838E-2</v>
      </c>
      <c r="P701">
        <v>2.9159225340251477E-2</v>
      </c>
      <c r="Q701">
        <v>5.8348548429845853E-3</v>
      </c>
      <c r="R701">
        <v>1.5608249190346157E-3</v>
      </c>
      <c r="S701">
        <v>0.2654674389478594</v>
      </c>
      <c r="T701">
        <v>1.3624212877773128</v>
      </c>
      <c r="U701">
        <v>0.2194586640136256</v>
      </c>
      <c r="V701">
        <v>0.24769812631692875</v>
      </c>
      <c r="W701">
        <v>0.10093511605357912</v>
      </c>
      <c r="X701">
        <v>1.7730335200468499E-2</v>
      </c>
      <c r="Y701">
        <v>4.2480509038159463E-3</v>
      </c>
    </row>
    <row r="702" spans="1:25">
      <c r="A702" s="1010"/>
      <c r="B702" s="1351">
        <v>452</v>
      </c>
      <c r="C702" s="1014">
        <v>0.99538152401133073</v>
      </c>
      <c r="D702" s="1014">
        <v>0.99327725513793241</v>
      </c>
      <c r="E702" s="1014">
        <v>0.96367029749784983</v>
      </c>
      <c r="F702" s="1014">
        <v>1.0090239299331565</v>
      </c>
      <c r="G702" s="1014">
        <v>1.0338765697426562</v>
      </c>
      <c r="H702" s="1014">
        <v>0.98760146355782319</v>
      </c>
      <c r="I702" s="1014">
        <v>0.95664636828695204</v>
      </c>
      <c r="K702">
        <v>2.4096367436591799</v>
      </c>
      <c r="L702">
        <v>0</v>
      </c>
      <c r="M702">
        <v>1.7587270295948477E-3</v>
      </c>
      <c r="N702">
        <v>0.14337592021827475</v>
      </c>
      <c r="O702">
        <v>2.1090089133303763E-2</v>
      </c>
      <c r="P702">
        <v>2.7823795452211243E-2</v>
      </c>
      <c r="Q702">
        <v>5.3189761112877841E-3</v>
      </c>
      <c r="R702">
        <v>1.7352208022722222E-3</v>
      </c>
      <c r="S702">
        <v>0.24809827106160648</v>
      </c>
      <c r="T702">
        <v>1.3832263148755997</v>
      </c>
      <c r="U702">
        <v>0.21283252791652105</v>
      </c>
      <c r="V702">
        <v>0.25174419637436751</v>
      </c>
      <c r="W702">
        <v>9.627426507605151E-2</v>
      </c>
      <c r="X702">
        <v>1.5153194658873347E-2</v>
      </c>
      <c r="Y702">
        <v>4.7226990084012523E-3</v>
      </c>
    </row>
    <row r="703" spans="1:25">
      <c r="A703" s="1010"/>
      <c r="B703" s="1351">
        <v>453</v>
      </c>
      <c r="C703" s="1014">
        <v>1.0108258243198107</v>
      </c>
      <c r="D703" s="1014">
        <v>0.96824331298625455</v>
      </c>
      <c r="E703" s="1014">
        <v>1.033667768355693</v>
      </c>
      <c r="F703" s="1014">
        <v>1.0161359361223994</v>
      </c>
      <c r="G703" s="1014">
        <v>0.96639462403392939</v>
      </c>
      <c r="H703" s="1014">
        <v>0.99351953365025225</v>
      </c>
      <c r="I703" s="1014">
        <v>0.99482555789011662</v>
      </c>
      <c r="K703">
        <v>2.4305247904688212</v>
      </c>
      <c r="L703">
        <v>0</v>
      </c>
      <c r="M703">
        <v>1.515315160580294E-3</v>
      </c>
      <c r="N703">
        <v>0.15264003518567651</v>
      </c>
      <c r="O703">
        <v>2.0931084732649461E-2</v>
      </c>
      <c r="P703">
        <v>2.9398241149027785E-2</v>
      </c>
      <c r="Q703">
        <v>5.6640058291242334E-3</v>
      </c>
      <c r="R703">
        <v>1.495182889176291E-3</v>
      </c>
      <c r="S703">
        <v>0.25842013303646078</v>
      </c>
      <c r="T703">
        <v>1.3945136418031181</v>
      </c>
      <c r="U703">
        <v>0.2098173187455486</v>
      </c>
      <c r="V703">
        <v>0.23901051572415177</v>
      </c>
      <c r="W703">
        <v>9.8313409464800688E-2</v>
      </c>
      <c r="X703">
        <v>1.7767142132233234E-2</v>
      </c>
      <c r="Y703">
        <v>4.0693949374309146E-3</v>
      </c>
    </row>
    <row r="704" spans="1:25">
      <c r="A704" s="1010"/>
      <c r="B704" s="1351">
        <v>454</v>
      </c>
      <c r="C704" s="1014">
        <v>1.009941004179816</v>
      </c>
      <c r="D704" s="1014">
        <v>1.0063615459547051</v>
      </c>
      <c r="E704" s="1014">
        <v>1.02222042534147</v>
      </c>
      <c r="F704" s="1014">
        <v>0.99368790688952813</v>
      </c>
      <c r="G704" s="1014">
        <v>1.0232489331480872</v>
      </c>
      <c r="H704" s="1014">
        <v>0.98077798955209505</v>
      </c>
      <c r="I704" s="1014">
        <v>0.98606682227122522</v>
      </c>
      <c r="K704">
        <v>2.3925943054697743</v>
      </c>
      <c r="L704">
        <v>0</v>
      </c>
      <c r="M704">
        <v>1.520353806127849E-3</v>
      </c>
      <c r="N704">
        <v>0.14792613740210148</v>
      </c>
      <c r="O704">
        <v>2.0764669001168048E-2</v>
      </c>
      <c r="P704">
        <v>2.8748826684853537E-2</v>
      </c>
      <c r="Q704">
        <v>5.5556655344495536E-3</v>
      </c>
      <c r="R704">
        <v>1.499892178674475E-3</v>
      </c>
      <c r="S704">
        <v>0.25028855331315891</v>
      </c>
      <c r="T704">
        <v>1.36345929539558</v>
      </c>
      <c r="U704">
        <v>0.20996223384480436</v>
      </c>
      <c r="V704">
        <v>0.24880583537867462</v>
      </c>
      <c r="W704">
        <v>9.5913499024599613E-2</v>
      </c>
      <c r="X704">
        <v>1.7107839446808552E-2</v>
      </c>
      <c r="Y704">
        <v>4.0822120710281035E-3</v>
      </c>
    </row>
    <row r="705" spans="1:25">
      <c r="A705" s="1010"/>
      <c r="B705" s="1351">
        <v>455</v>
      </c>
      <c r="C705" s="1014">
        <v>1.027032293899697</v>
      </c>
      <c r="D705" s="1014">
        <v>0.96714395583819823</v>
      </c>
      <c r="E705" s="1014">
        <v>0.99703837391333283</v>
      </c>
      <c r="F705" s="1014">
        <v>1.0261215508322976</v>
      </c>
      <c r="G705" s="1014">
        <v>0.9951190025274661</v>
      </c>
      <c r="H705" s="1014">
        <v>0.99268918694091157</v>
      </c>
      <c r="I705" s="1014">
        <v>0.9979708674507034</v>
      </c>
      <c r="K705">
        <v>2.4276295702096542</v>
      </c>
      <c r="L705">
        <v>0</v>
      </c>
      <c r="M705">
        <v>1.6084814862764318E-3</v>
      </c>
      <c r="N705">
        <v>0.1450672728541553</v>
      </c>
      <c r="O705">
        <v>2.058204307775376E-2</v>
      </c>
      <c r="P705">
        <v>2.8753449854481899E-2</v>
      </c>
      <c r="Q705">
        <v>5.36988170278357E-3</v>
      </c>
      <c r="R705">
        <v>1.5870935444766263E-3</v>
      </c>
      <c r="S705">
        <v>0.25492778326573912</v>
      </c>
      <c r="T705">
        <v>1.4074022185012802</v>
      </c>
      <c r="U705">
        <v>0.20638422474659213</v>
      </c>
      <c r="V705">
        <v>0.243065968204384</v>
      </c>
      <c r="W705">
        <v>9.5467429687377398E-2</v>
      </c>
      <c r="X705">
        <v>1.6311140814087126E-2</v>
      </c>
      <c r="Y705">
        <v>4.3195454428190481E-3</v>
      </c>
    </row>
    <row r="706" spans="1:25">
      <c r="A706" s="1010"/>
      <c r="B706" s="1351">
        <v>456</v>
      </c>
      <c r="C706" s="1014">
        <v>1.0006637956547537</v>
      </c>
      <c r="D706" s="1014">
        <v>1.0068451620801282</v>
      </c>
      <c r="E706" s="1014">
        <v>1.0009625102803563</v>
      </c>
      <c r="F706" s="1014">
        <v>1.0237029167040355</v>
      </c>
      <c r="G706" s="1014">
        <v>1.0291180197854248</v>
      </c>
      <c r="H706" s="1014">
        <v>1.0223304358578094</v>
      </c>
      <c r="I706" s="1014">
        <v>0.96749037871705323</v>
      </c>
      <c r="K706">
        <v>2.4467487356492161</v>
      </c>
      <c r="L706">
        <v>0</v>
      </c>
      <c r="M706">
        <v>1.6715204185695364E-3</v>
      </c>
      <c r="N706">
        <v>0.15261033631014212</v>
      </c>
      <c r="O706">
        <v>2.0940861349488183E-2</v>
      </c>
      <c r="P706">
        <v>2.8915853387305897E-2</v>
      </c>
      <c r="Q706">
        <v>5.485102944135475E-3</v>
      </c>
      <c r="R706">
        <v>1.6499386707214058E-3</v>
      </c>
      <c r="S706">
        <v>0.25103606938738132</v>
      </c>
      <c r="T706">
        <v>1.4041717479555984</v>
      </c>
      <c r="U706">
        <v>0.21183605942000228</v>
      </c>
      <c r="V706">
        <v>0.25045866228685004</v>
      </c>
      <c r="W706">
        <v>0.10019730281701887</v>
      </c>
      <c r="X706">
        <v>1.6627732379574548E-2</v>
      </c>
      <c r="Y706">
        <v>4.490589159567039E-3</v>
      </c>
    </row>
    <row r="707" spans="1:25">
      <c r="A707" s="1010"/>
      <c r="B707" s="1351">
        <v>457</v>
      </c>
      <c r="C707" s="1014">
        <v>0.9625033671967862</v>
      </c>
      <c r="D707" s="1014">
        <v>0.98364037886989242</v>
      </c>
      <c r="E707" s="1014">
        <v>1.013697711823407</v>
      </c>
      <c r="F707" s="1014">
        <v>1.0128454197024375</v>
      </c>
      <c r="G707" s="1014">
        <v>1.0186253085284211</v>
      </c>
      <c r="H707" s="1014">
        <v>1.0350352106606078</v>
      </c>
      <c r="I707" s="1014">
        <v>0.96768425933051283</v>
      </c>
      <c r="K707">
        <v>2.4752774707075007</v>
      </c>
      <c r="L707">
        <v>0</v>
      </c>
      <c r="M707">
        <v>1.7222795212962229E-3</v>
      </c>
      <c r="N707">
        <v>0.1634355226330016</v>
      </c>
      <c r="O707">
        <v>2.1891894095847721E-2</v>
      </c>
      <c r="P707">
        <v>2.9310134950147251E-2</v>
      </c>
      <c r="Q707">
        <v>5.8077857075061615E-3</v>
      </c>
      <c r="R707">
        <v>1.7003153545635851E-3</v>
      </c>
      <c r="S707">
        <v>0.26529600190257641</v>
      </c>
      <c r="T707">
        <v>1.3895583461067493</v>
      </c>
      <c r="U707">
        <v>0.22028001543987116</v>
      </c>
      <c r="V707">
        <v>0.25109307060132524</v>
      </c>
      <c r="W707">
        <v>0.10650015841979332</v>
      </c>
      <c r="X707">
        <v>1.7498807131099216E-2</v>
      </c>
      <c r="Y707">
        <v>4.6276978863160883E-3</v>
      </c>
    </row>
    <row r="708" spans="1:25">
      <c r="A708" s="1010"/>
      <c r="B708" s="1351">
        <v>458</v>
      </c>
      <c r="C708" s="1014">
        <v>0.9640965116203507</v>
      </c>
      <c r="D708" s="1014">
        <v>1.0036934183455377</v>
      </c>
      <c r="E708" s="1014">
        <v>1.0385103585831192</v>
      </c>
      <c r="F708" s="1014">
        <v>1.0382210434559864</v>
      </c>
      <c r="G708" s="1014">
        <v>0.99664484905200434</v>
      </c>
      <c r="H708" s="1014">
        <v>1.03140170609316</v>
      </c>
      <c r="I708" s="1014">
        <v>1.0344829840256107</v>
      </c>
      <c r="K708">
        <v>2.5255465534862158</v>
      </c>
      <c r="L708">
        <v>0</v>
      </c>
      <c r="M708">
        <v>1.6199000061764069E-3</v>
      </c>
      <c r="N708">
        <v>0.1656553903772022</v>
      </c>
      <c r="O708">
        <v>2.1776029788381692E-2</v>
      </c>
      <c r="P708">
        <v>3.0491053741799119E-2</v>
      </c>
      <c r="Q708">
        <v>5.920836387052604E-3</v>
      </c>
      <c r="R708">
        <v>1.5991687040899372E-3</v>
      </c>
      <c r="S708">
        <v>0.28019566886284558</v>
      </c>
      <c r="T708">
        <v>1.424932059981787</v>
      </c>
      <c r="U708">
        <v>0.22000432951172971</v>
      </c>
      <c r="V708">
        <v>0.24714855630709384</v>
      </c>
      <c r="W708">
        <v>0.10639834735815788</v>
      </c>
      <c r="X708">
        <v>1.8692602425543086E-2</v>
      </c>
      <c r="Y708">
        <v>4.3524100467111845E-3</v>
      </c>
    </row>
    <row r="709" spans="1:25">
      <c r="A709" s="1010"/>
      <c r="B709" s="1351">
        <v>459</v>
      </c>
      <c r="C709" s="1014">
        <v>1.0270582634180021</v>
      </c>
      <c r="D709" s="1014">
        <v>1.0120282379157697</v>
      </c>
      <c r="E709" s="1014">
        <v>1.0258124457980975</v>
      </c>
      <c r="F709" s="1014">
        <v>1.0121553529628864</v>
      </c>
      <c r="G709" s="1014">
        <v>1.0114047616641872</v>
      </c>
      <c r="H709" s="1014">
        <v>0.97068507131050041</v>
      </c>
      <c r="I709" s="1014">
        <v>1.0272596374232166</v>
      </c>
      <c r="K709">
        <v>2.4096766845433342</v>
      </c>
      <c r="L709">
        <v>0</v>
      </c>
      <c r="M709">
        <v>1.4667934248965798E-3</v>
      </c>
      <c r="N709">
        <v>0.14424885657822833</v>
      </c>
      <c r="O709">
        <v>2.0395714461538098E-2</v>
      </c>
      <c r="P709">
        <v>2.9150121016015905E-2</v>
      </c>
      <c r="Q709">
        <v>5.476428722692845E-3</v>
      </c>
      <c r="R709">
        <v>1.4468473786119513E-3</v>
      </c>
      <c r="S709">
        <v>0.25484976458203562</v>
      </c>
      <c r="T709">
        <v>1.3888778553975343</v>
      </c>
      <c r="U709">
        <v>0.20647493915852033</v>
      </c>
      <c r="V709">
        <v>0.24574159734252674</v>
      </c>
      <c r="W709">
        <v>9.3333465876261457E-2</v>
      </c>
      <c r="X709">
        <v>1.7210045842791212E-2</v>
      </c>
      <c r="Y709">
        <v>3.9378416114715566E-3</v>
      </c>
    </row>
    <row r="710" spans="1:25">
      <c r="A710" s="1010"/>
      <c r="B710" s="1351">
        <v>460</v>
      </c>
      <c r="C710" s="1014">
        <v>1.0198544232725513</v>
      </c>
      <c r="D710" s="1014">
        <v>0.98848607742483108</v>
      </c>
      <c r="E710" s="1014">
        <v>1.0027363637972984</v>
      </c>
      <c r="F710" s="1014">
        <v>0.98689741335048042</v>
      </c>
      <c r="G710" s="1014">
        <v>0.97897595240720092</v>
      </c>
      <c r="H710" s="1014">
        <v>1.0325083094313476</v>
      </c>
      <c r="I710" s="1014">
        <v>1.0456234553482255</v>
      </c>
      <c r="K710">
        <v>2.3989473746513914</v>
      </c>
      <c r="L710">
        <v>0</v>
      </c>
      <c r="M710">
        <v>1.6570048203148665E-3</v>
      </c>
      <c r="N710">
        <v>0.15211750052153322</v>
      </c>
      <c r="O710">
        <v>2.0631327947817499E-2</v>
      </c>
      <c r="P710">
        <v>2.8330055423003722E-2</v>
      </c>
      <c r="Q710">
        <v>5.4136602480280502E-3</v>
      </c>
      <c r="R710">
        <v>1.6358213828643626E-3</v>
      </c>
      <c r="S710">
        <v>0.26956533228670376</v>
      </c>
      <c r="T710">
        <v>1.3537250093982436</v>
      </c>
      <c r="U710">
        <v>0.20785588181743669</v>
      </c>
      <c r="V710">
        <v>0.24071657206431782</v>
      </c>
      <c r="W710">
        <v>9.9768642197833615E-2</v>
      </c>
      <c r="X710">
        <v>1.6392409628135932E-2</v>
      </c>
      <c r="Y710">
        <v>4.4521665557828594E-3</v>
      </c>
    </row>
    <row r="711" spans="1:25">
      <c r="A711" s="1010"/>
      <c r="B711" s="1351">
        <v>461</v>
      </c>
      <c r="C711" s="1014">
        <v>1.0190843392909856</v>
      </c>
      <c r="D711" s="1014">
        <v>1.0030758360004193</v>
      </c>
      <c r="E711" s="1014">
        <v>0.96767346060765891</v>
      </c>
      <c r="F711" s="1014">
        <v>1.0102868094315844</v>
      </c>
      <c r="G711" s="1014">
        <v>0.96158298898846584</v>
      </c>
      <c r="H711" s="1014">
        <v>0.96680565921567063</v>
      </c>
      <c r="I711" s="1014">
        <v>1.0123973946180689</v>
      </c>
      <c r="K711">
        <v>2.3866323076794056</v>
      </c>
      <c r="L711">
        <v>0</v>
      </c>
      <c r="M711">
        <v>1.6642201358666481E-3</v>
      </c>
      <c r="N711">
        <v>0.13728649082112729</v>
      </c>
      <c r="O711">
        <v>2.0557707124973314E-2</v>
      </c>
      <c r="P711">
        <v>2.7755443993661994E-2</v>
      </c>
      <c r="Q711">
        <v>5.2060163897667674E-3</v>
      </c>
      <c r="R711">
        <v>1.641498593585192E-3</v>
      </c>
      <c r="S711">
        <v>0.25346663671161596</v>
      </c>
      <c r="T711">
        <v>1.3850443832068353</v>
      </c>
      <c r="U711">
        <v>0.20789562228147679</v>
      </c>
      <c r="V711">
        <v>0.23791452527224993</v>
      </c>
      <c r="W711">
        <v>9.1960222211673062E-2</v>
      </c>
      <c r="X711">
        <v>1.510036315643325E-2</v>
      </c>
      <c r="Y711">
        <v>4.4676180518729465E-3</v>
      </c>
    </row>
    <row r="712" spans="1:25">
      <c r="A712" s="1010"/>
      <c r="B712" s="1351">
        <v>462</v>
      </c>
      <c r="C712" s="1014">
        <v>0.99727209900303126</v>
      </c>
      <c r="D712" s="1014">
        <v>1.0210763117555517</v>
      </c>
      <c r="E712" s="1014">
        <v>1.018206429967478</v>
      </c>
      <c r="F712" s="1014">
        <v>1.0245395856060229</v>
      </c>
      <c r="G712" s="1014">
        <v>1.034167368104528</v>
      </c>
      <c r="H712" s="1014">
        <v>1.0334669068641691</v>
      </c>
      <c r="I712" s="1014">
        <v>0.99539346446908905</v>
      </c>
      <c r="K712">
        <v>2.4647524971314079</v>
      </c>
      <c r="L712">
        <v>0</v>
      </c>
      <c r="M712">
        <v>1.6307718012710266E-3</v>
      </c>
      <c r="N712">
        <v>0.15686875553799362</v>
      </c>
      <c r="O712">
        <v>2.0958739807223854E-2</v>
      </c>
      <c r="P712">
        <v>2.9434954083796525E-2</v>
      </c>
      <c r="Q712">
        <v>5.5852600828867746E-3</v>
      </c>
      <c r="R712">
        <v>1.6099430690250224E-3</v>
      </c>
      <c r="S712">
        <v>0.25843538888652268</v>
      </c>
      <c r="T712">
        <v>1.4057022085235318</v>
      </c>
      <c r="U712">
        <v>0.21261570075780545</v>
      </c>
      <c r="V712">
        <v>0.25146905631248828</v>
      </c>
      <c r="W712">
        <v>0.10195088391887568</v>
      </c>
      <c r="X712">
        <v>1.737064363623031E-2</v>
      </c>
      <c r="Y712">
        <v>4.3817343162960414E-3</v>
      </c>
    </row>
    <row r="713" spans="1:25">
      <c r="A713" s="1010"/>
      <c r="B713" s="1351">
        <v>463</v>
      </c>
      <c r="C713" s="1014">
        <v>1.0374293752752859</v>
      </c>
      <c r="D713" s="1014">
        <v>1.007628685381907</v>
      </c>
      <c r="E713" s="1014">
        <v>1.0193319765395488</v>
      </c>
      <c r="F713" s="1014">
        <v>0.99329083966820964</v>
      </c>
      <c r="G713" s="1014">
        <v>0.9889827776866188</v>
      </c>
      <c r="H713" s="1014">
        <v>1.0056219004516065</v>
      </c>
      <c r="I713" s="1014">
        <v>0.99313074096184628</v>
      </c>
      <c r="K713">
        <v>2.3736302920724599</v>
      </c>
      <c r="L713">
        <v>0</v>
      </c>
      <c r="M713">
        <v>1.5262872651754732E-3</v>
      </c>
      <c r="N713">
        <v>0.14726472332557131</v>
      </c>
      <c r="O713">
        <v>2.0207029589745188E-2</v>
      </c>
      <c r="P713">
        <v>2.8457013766549088E-2</v>
      </c>
      <c r="Q713">
        <v>5.3909710304781647E-3</v>
      </c>
      <c r="R713">
        <v>1.5062532602516223E-3</v>
      </c>
      <c r="S713">
        <v>0.24724587902663198</v>
      </c>
      <c r="T713">
        <v>1.3628521649623722</v>
      </c>
      <c r="U713">
        <v>0.20438939715388971</v>
      </c>
      <c r="V713">
        <v>0.241330325546327</v>
      </c>
      <c r="W713">
        <v>9.5646043181356791E-2</v>
      </c>
      <c r="X713">
        <v>1.6767253656313139E-2</v>
      </c>
      <c r="Y713">
        <v>4.0995248381511199E-3</v>
      </c>
    </row>
    <row r="714" spans="1:25">
      <c r="A714" s="1010"/>
      <c r="B714" s="1351">
        <v>464</v>
      </c>
      <c r="C714" s="1014">
        <v>1.0199812163345865</v>
      </c>
      <c r="D714" s="1014">
        <v>0.9968633419757249</v>
      </c>
      <c r="E714" s="1014">
        <v>1.0185236398175477</v>
      </c>
      <c r="F714" s="1014">
        <v>1.0235613576445441</v>
      </c>
      <c r="G714" s="1014">
        <v>1.0330038041418048</v>
      </c>
      <c r="H714" s="1014">
        <v>1.0444654010840402</v>
      </c>
      <c r="I714" s="1014">
        <v>0.98997318375399312</v>
      </c>
      <c r="K714">
        <v>2.4514922646587856</v>
      </c>
      <c r="L714">
        <v>0</v>
      </c>
      <c r="M714">
        <v>1.6188945897107263E-3</v>
      </c>
      <c r="N714">
        <v>0.15589659930083163</v>
      </c>
      <c r="O714">
        <v>2.0600795643053962E-2</v>
      </c>
      <c r="P714">
        <v>2.9291471010325688E-2</v>
      </c>
      <c r="Q714">
        <v>5.4916052077344322E-3</v>
      </c>
      <c r="R714">
        <v>1.5984352915303526E-3</v>
      </c>
      <c r="S714">
        <v>0.25523041868567364</v>
      </c>
      <c r="T714">
        <v>1.4043670951699165</v>
      </c>
      <c r="U714">
        <v>0.20788303757451312</v>
      </c>
      <c r="V714">
        <v>0.24987592315060098</v>
      </c>
      <c r="W714">
        <v>0.10130024223031404</v>
      </c>
      <c r="X714">
        <v>1.7225122044504753E-2</v>
      </c>
      <c r="Y714">
        <v>4.3504139394933807E-3</v>
      </c>
    </row>
    <row r="715" spans="1:25">
      <c r="A715" s="1010"/>
      <c r="B715" s="1351">
        <v>465</v>
      </c>
      <c r="C715" s="1014">
        <v>1.0110483131265124</v>
      </c>
      <c r="D715" s="1014">
        <v>1.0210821415360991</v>
      </c>
      <c r="E715" s="1014">
        <v>0.96856875639766149</v>
      </c>
      <c r="F715" s="1014">
        <v>0.96169124557686314</v>
      </c>
      <c r="G715" s="1014">
        <v>1.0012988184706069</v>
      </c>
      <c r="H715" s="1014">
        <v>1.0171611764238251</v>
      </c>
      <c r="I715" s="1014">
        <v>0.99429370449740895</v>
      </c>
      <c r="K715">
        <v>2.3409873671068522</v>
      </c>
      <c r="L715">
        <v>0</v>
      </c>
      <c r="M715">
        <v>1.7546770587911656E-3</v>
      </c>
      <c r="N715">
        <v>0.14524099121158687</v>
      </c>
      <c r="O715">
        <v>2.064073783196136E-2</v>
      </c>
      <c r="P715">
        <v>2.6998041280780299E-2</v>
      </c>
      <c r="Q715">
        <v>5.2318332900876648E-3</v>
      </c>
      <c r="R715">
        <v>1.7319065024838823E-3</v>
      </c>
      <c r="S715">
        <v>0.25287613875863507</v>
      </c>
      <c r="T715">
        <v>1.3184411928556485</v>
      </c>
      <c r="U715">
        <v>0.20955103187304608</v>
      </c>
      <c r="V715">
        <v>0.24518611178985625</v>
      </c>
      <c r="W715">
        <v>9.7235400763898833E-2</v>
      </c>
      <c r="X715">
        <v>1.4894979430722714E-2</v>
      </c>
      <c r="Y715">
        <v>4.7136785769360222E-3</v>
      </c>
    </row>
    <row r="716" spans="1:25">
      <c r="A716" s="1010"/>
      <c r="B716" s="1351">
        <v>466</v>
      </c>
      <c r="C716" s="1014">
        <v>0.98742850944308014</v>
      </c>
      <c r="D716" s="1014">
        <v>1.0392114046623226</v>
      </c>
      <c r="E716" s="1014">
        <v>0.97110616864185362</v>
      </c>
      <c r="F716" s="1014">
        <v>1.0111476797510608</v>
      </c>
      <c r="G716" s="1014">
        <v>0.99218423087006691</v>
      </c>
      <c r="H716" s="1014">
        <v>1.0068056040002298</v>
      </c>
      <c r="I716" s="1014">
        <v>0.98890939340422113</v>
      </c>
      <c r="K716">
        <v>2.4202131386214147</v>
      </c>
      <c r="L716">
        <v>0</v>
      </c>
      <c r="M716">
        <v>1.7622310105960201E-3</v>
      </c>
      <c r="N716">
        <v>0.14697140133088485</v>
      </c>
      <c r="O716">
        <v>2.1054487182331064E-2</v>
      </c>
      <c r="P716">
        <v>2.8043202775844042E-2</v>
      </c>
      <c r="Q716">
        <v>5.3505664462164476E-3</v>
      </c>
      <c r="R716">
        <v>1.7391272096815896E-3</v>
      </c>
      <c r="S716">
        <v>0.25443382188817065</v>
      </c>
      <c r="T716">
        <v>1.3862991777908777</v>
      </c>
      <c r="U716">
        <v>0.21457234234600486</v>
      </c>
      <c r="V716">
        <v>0.24509440404610811</v>
      </c>
      <c r="W716">
        <v>9.8242012065845305E-2</v>
      </c>
      <c r="X716">
        <v>1.5441495588425447E-2</v>
      </c>
      <c r="Y716">
        <v>4.7333309616226938E-3</v>
      </c>
    </row>
    <row r="717" spans="1:25">
      <c r="A717" s="1010"/>
      <c r="B717" s="1351">
        <v>467</v>
      </c>
      <c r="C717" s="1014">
        <v>1.0301955738245092</v>
      </c>
      <c r="D717" s="1014">
        <v>0.98360875021839556</v>
      </c>
      <c r="E717" s="1014">
        <v>0.96737716143525976</v>
      </c>
      <c r="F717" s="1014">
        <v>0.98083597017207602</v>
      </c>
      <c r="G717" s="1014">
        <v>1.0084879196802472</v>
      </c>
      <c r="H717" s="1014">
        <v>1.0117251198719868</v>
      </c>
      <c r="I717" s="1014">
        <v>1.0335436352810479</v>
      </c>
      <c r="K717">
        <v>2.3689353426411106</v>
      </c>
      <c r="L717">
        <v>0</v>
      </c>
      <c r="M717">
        <v>1.7312613153578277E-3</v>
      </c>
      <c r="N717">
        <v>0.1427765142874981</v>
      </c>
      <c r="O717">
        <v>2.0423660146315657E-2</v>
      </c>
      <c r="P717">
        <v>2.7397931942792254E-2</v>
      </c>
      <c r="Q717">
        <v>5.1705022069927602E-3</v>
      </c>
      <c r="R717">
        <v>1.7086739118543194E-3</v>
      </c>
      <c r="S717">
        <v>0.26235589572185619</v>
      </c>
      <c r="T717">
        <v>1.3446627546794325</v>
      </c>
      <c r="U717">
        <v>0.2056523739832235</v>
      </c>
      <c r="V717">
        <v>0.24527299213701742</v>
      </c>
      <c r="W717">
        <v>9.5654951656484841E-2</v>
      </c>
      <c r="X717">
        <v>1.4939906159135784E-2</v>
      </c>
      <c r="Y717">
        <v>4.6504471238637953E-3</v>
      </c>
    </row>
    <row r="718" spans="1:25">
      <c r="A718" s="1010"/>
      <c r="B718" s="1351">
        <v>468</v>
      </c>
      <c r="C718" s="1014">
        <v>0.99045518839394997</v>
      </c>
      <c r="D718" s="1014">
        <v>1.0023403793259393</v>
      </c>
      <c r="E718" s="1014">
        <v>1.0473254363649702</v>
      </c>
      <c r="F718" s="1014">
        <v>0.97501740890735078</v>
      </c>
      <c r="G718" s="1014">
        <v>1.0151200538508141</v>
      </c>
      <c r="H718" s="1014">
        <v>1.0371841407171913</v>
      </c>
      <c r="I718" s="1014">
        <v>0.9937939327534252</v>
      </c>
      <c r="K718">
        <v>2.4105649731357457</v>
      </c>
      <c r="L718">
        <v>0</v>
      </c>
      <c r="M718">
        <v>1.5571777776345248E-3</v>
      </c>
      <c r="N718">
        <v>0.16353730770296182</v>
      </c>
      <c r="O718">
        <v>2.120874383188982E-2</v>
      </c>
      <c r="P718">
        <v>2.915291289999725E-2</v>
      </c>
      <c r="Q718">
        <v>5.8167135153431469E-3</v>
      </c>
      <c r="R718">
        <v>1.537360292174311E-3</v>
      </c>
      <c r="S718">
        <v>0.26275475549887006</v>
      </c>
      <c r="T718">
        <v>1.3383740931758645</v>
      </c>
      <c r="U718">
        <v>0.21418003840181155</v>
      </c>
      <c r="V718">
        <v>0.24854613957149979</v>
      </c>
      <c r="W718">
        <v>0.10450721430325551</v>
      </c>
      <c r="X718">
        <v>1.8322683795094215E-2</v>
      </c>
      <c r="Y718">
        <v>4.1841879246143614E-3</v>
      </c>
    </row>
    <row r="719" spans="1:25">
      <c r="A719" s="1010"/>
      <c r="B719" s="1351">
        <v>469</v>
      </c>
      <c r="C719" s="1014">
        <v>1.0391326077912562</v>
      </c>
      <c r="D719" s="1014">
        <v>1.0079654061154875</v>
      </c>
      <c r="E719" s="1014">
        <v>1.0483715536380733</v>
      </c>
      <c r="F719" s="1014">
        <v>0.97719970341105766</v>
      </c>
      <c r="G719" s="1014">
        <v>0.99923441282916414</v>
      </c>
      <c r="H719" s="1014">
        <v>1.0049567094324419</v>
      </c>
      <c r="I719" s="1014">
        <v>0.99307994464998095</v>
      </c>
      <c r="K719">
        <v>2.3587990685565101</v>
      </c>
      <c r="L719">
        <v>0</v>
      </c>
      <c r="M719">
        <v>1.4332094489721799E-3</v>
      </c>
      <c r="N719">
        <v>0.15093033750339538</v>
      </c>
      <c r="O719">
        <v>2.019103418436868E-2</v>
      </c>
      <c r="P719">
        <v>2.8772200240602137E-2</v>
      </c>
      <c r="Q719">
        <v>5.5432709945202026E-3</v>
      </c>
      <c r="R719">
        <v>1.4143847288890059E-3</v>
      </c>
      <c r="S719">
        <v>0.24696041166521901</v>
      </c>
      <c r="T719">
        <v>1.3413919677515742</v>
      </c>
      <c r="U719">
        <v>0.20415039405850269</v>
      </c>
      <c r="V719">
        <v>0.24288005138053553</v>
      </c>
      <c r="W719">
        <v>9.6393091361781674E-2</v>
      </c>
      <c r="X719">
        <v>1.7755645155860967E-2</v>
      </c>
      <c r="Y719">
        <v>3.849488980235303E-3</v>
      </c>
    </row>
    <row r="720" spans="1:25">
      <c r="A720" s="1010"/>
      <c r="B720" s="1351">
        <v>470</v>
      </c>
      <c r="C720" s="1014">
        <v>1.0070306763932695</v>
      </c>
      <c r="D720" s="1014">
        <v>1.0432198095222229</v>
      </c>
      <c r="E720" s="1014">
        <v>1.0000068247550167</v>
      </c>
      <c r="F720" s="1014">
        <v>1.0220172551804587</v>
      </c>
      <c r="G720" s="1014">
        <v>0.98838177368887792</v>
      </c>
      <c r="H720" s="1014">
        <v>1.0212135002011864</v>
      </c>
      <c r="I720" s="1014">
        <v>1.015059414501964</v>
      </c>
      <c r="K720">
        <v>2.4370611517494614</v>
      </c>
      <c r="L720">
        <v>0</v>
      </c>
      <c r="M720">
        <v>1.6495008480082447E-3</v>
      </c>
      <c r="N720">
        <v>0.15016360488494482</v>
      </c>
      <c r="O720">
        <v>2.0646004181047593E-2</v>
      </c>
      <c r="P720">
        <v>2.8826940704354435E-2</v>
      </c>
      <c r="Q720">
        <v>5.4026790128985369E-3</v>
      </c>
      <c r="R720">
        <v>1.6281801109534336E-3</v>
      </c>
      <c r="S720">
        <v>0.25704803094635836</v>
      </c>
      <c r="T720">
        <v>1.4018384674607689</v>
      </c>
      <c r="U720">
        <v>0.21049349661355202</v>
      </c>
      <c r="V720">
        <v>0.24311142781653183</v>
      </c>
      <c r="W720">
        <v>9.8646880283394314E-2</v>
      </c>
      <c r="X720">
        <v>1.6473571050081296E-2</v>
      </c>
      <c r="Y720">
        <v>4.4313695325859199E-3</v>
      </c>
    </row>
    <row r="721" spans="1:25">
      <c r="A721" s="1010"/>
      <c r="B721" s="1351">
        <v>471</v>
      </c>
      <c r="C721" s="1014">
        <v>1.0117701179476342</v>
      </c>
      <c r="D721" s="1014">
        <v>0.99904068548376423</v>
      </c>
      <c r="E721" s="1014">
        <v>1.0104213131991857</v>
      </c>
      <c r="F721" s="1014">
        <v>1.008126618266306</v>
      </c>
      <c r="G721" s="1014">
        <v>1.012397672844942</v>
      </c>
      <c r="H721" s="1014">
        <v>1.0158004135830061</v>
      </c>
      <c r="I721" s="1014">
        <v>1.0382952846736371</v>
      </c>
      <c r="K721">
        <v>2.4333427028578454</v>
      </c>
      <c r="L721">
        <v>0</v>
      </c>
      <c r="M721">
        <v>1.6134297592161307E-3</v>
      </c>
      <c r="N721">
        <v>0.15156240543671815</v>
      </c>
      <c r="O721">
        <v>2.0752689033302678E-2</v>
      </c>
      <c r="P721">
        <v>2.8967238323128416E-2</v>
      </c>
      <c r="Q721">
        <v>5.4875795752855486E-3</v>
      </c>
      <c r="R721">
        <v>1.592464130226781E-3</v>
      </c>
      <c r="S721">
        <v>0.26699570641818399</v>
      </c>
      <c r="T721">
        <v>1.3830128461928866</v>
      </c>
      <c r="U721">
        <v>0.20954269403107453</v>
      </c>
      <c r="V721">
        <v>0.24688456438007619</v>
      </c>
      <c r="W721">
        <v>9.8953917023219776E-2</v>
      </c>
      <c r="X721">
        <v>1.6869865666140935E-2</v>
      </c>
      <c r="Y721">
        <v>4.3341624068178536E-3</v>
      </c>
    </row>
    <row r="722" spans="1:25">
      <c r="A722" s="1010"/>
      <c r="B722" s="1351">
        <v>472</v>
      </c>
      <c r="C722" s="1014">
        <v>0.98899260276161105</v>
      </c>
      <c r="D722" s="1014">
        <v>0.96795223242775108</v>
      </c>
      <c r="E722" s="1014">
        <v>1.0101488081355281</v>
      </c>
      <c r="F722" s="1014">
        <v>1.000473681596235</v>
      </c>
      <c r="G722" s="1014">
        <v>0.96036560431900198</v>
      </c>
      <c r="H722" s="1014">
        <v>0.99207972936755406</v>
      </c>
      <c r="I722" s="1014">
        <v>1.0218042060213564</v>
      </c>
      <c r="K722">
        <v>2.4264144613656962</v>
      </c>
      <c r="L722">
        <v>0</v>
      </c>
      <c r="M722">
        <v>1.6242144583030632E-3</v>
      </c>
      <c r="N722">
        <v>0.15240204081947387</v>
      </c>
      <c r="O722">
        <v>2.1378630006129717E-2</v>
      </c>
      <c r="P722">
        <v>2.8835838807767463E-2</v>
      </c>
      <c r="Q722">
        <v>5.6515560296472962E-3</v>
      </c>
      <c r="R722">
        <v>1.6026040479060531E-3</v>
      </c>
      <c r="S722">
        <v>0.27099935279312581</v>
      </c>
      <c r="T722">
        <v>1.3725081474485172</v>
      </c>
      <c r="U722">
        <v>0.21436773409163065</v>
      </c>
      <c r="V722">
        <v>0.23942300385910026</v>
      </c>
      <c r="W722">
        <v>9.9518095101745654E-2</v>
      </c>
      <c r="X722">
        <v>1.6989912898835648E-2</v>
      </c>
      <c r="Y722">
        <v>4.361759920117868E-3</v>
      </c>
    </row>
    <row r="723" spans="1:25">
      <c r="A723" s="1010"/>
      <c r="B723" s="1351">
        <v>473</v>
      </c>
      <c r="C723" s="1014">
        <v>1.0126791360156608</v>
      </c>
      <c r="D723" s="1014">
        <v>0.99560397761534614</v>
      </c>
      <c r="E723" s="1014">
        <v>0.98462589642980136</v>
      </c>
      <c r="F723" s="1014">
        <v>1.0016227890913245</v>
      </c>
      <c r="G723" s="1014">
        <v>0.96844269436230335</v>
      </c>
      <c r="H723" s="1014">
        <v>0.98361238952070107</v>
      </c>
      <c r="I723" s="1014">
        <v>1.012326542920654</v>
      </c>
      <c r="K723">
        <v>2.3920987335213448</v>
      </c>
      <c r="L723">
        <v>0</v>
      </c>
      <c r="M723">
        <v>1.6479114745173318E-3</v>
      </c>
      <c r="N723">
        <v>0.14313172140604702</v>
      </c>
      <c r="O723">
        <v>2.0732870083975011E-2</v>
      </c>
      <c r="P723">
        <v>2.8055064112057708E-2</v>
      </c>
      <c r="Q723">
        <v>5.3418225556239388E-3</v>
      </c>
      <c r="R723">
        <v>1.6257970263984793E-3</v>
      </c>
      <c r="S723">
        <v>0.25758162373206756</v>
      </c>
      <c r="T723">
        <v>1.3735319466134488</v>
      </c>
      <c r="U723">
        <v>0.20926756486642026</v>
      </c>
      <c r="V723">
        <v>0.23941423243904039</v>
      </c>
      <c r="W723">
        <v>9.4896218915267214E-2</v>
      </c>
      <c r="X723">
        <v>1.5742899683504352E-2</v>
      </c>
      <c r="Y723">
        <v>4.4248835620109466E-3</v>
      </c>
    </row>
    <row r="724" spans="1:25">
      <c r="A724" s="1010"/>
      <c r="B724" s="1351">
        <v>474</v>
      </c>
      <c r="C724" s="1014">
        <v>1.0156501470983346</v>
      </c>
      <c r="D724" s="1014">
        <v>1.0042740405578199</v>
      </c>
      <c r="E724" s="1014">
        <v>1.0132366003227553</v>
      </c>
      <c r="F724" s="1014">
        <v>1.0067474071856548</v>
      </c>
      <c r="G724" s="1014">
        <v>1.0414452917110966</v>
      </c>
      <c r="H724" s="1014">
        <v>1.0384986307879907</v>
      </c>
      <c r="I724" s="1014">
        <v>0.98244053480813576</v>
      </c>
      <c r="K724">
        <v>2.4261286151844437</v>
      </c>
      <c r="L724">
        <v>0</v>
      </c>
      <c r="M724">
        <v>1.6317188310744004E-3</v>
      </c>
      <c r="N724">
        <v>0.15463308781680191</v>
      </c>
      <c r="O724">
        <v>2.0651500927184242E-2</v>
      </c>
      <c r="P724">
        <v>2.8861977861041152E-2</v>
      </c>
      <c r="Q724">
        <v>5.4761969995569659E-3</v>
      </c>
      <c r="R724">
        <v>1.6109789808511636E-3</v>
      </c>
      <c r="S724">
        <v>0.25290127760742459</v>
      </c>
      <c r="T724">
        <v>1.3811822005569114</v>
      </c>
      <c r="U724">
        <v>0.20875168259153296</v>
      </c>
      <c r="V724">
        <v>0.25159742669665985</v>
      </c>
      <c r="W724">
        <v>0.10079151922004985</v>
      </c>
      <c r="X724">
        <v>1.6917931030705442E-2</v>
      </c>
      <c r="Y724">
        <v>4.3845537267985547E-3</v>
      </c>
    </row>
    <row r="725" spans="1:25">
      <c r="A725" s="1010"/>
      <c r="B725" s="1351">
        <v>475</v>
      </c>
      <c r="C725" s="1014">
        <v>1.0159880481007801</v>
      </c>
      <c r="D725" s="1014">
        <v>1.0401131157585239</v>
      </c>
      <c r="E725" s="1014">
        <v>1.0142882850532586</v>
      </c>
      <c r="F725" s="1014">
        <v>1.0119633715245666</v>
      </c>
      <c r="G725" s="1014">
        <v>0.99829488066135896</v>
      </c>
      <c r="H725" s="1014">
        <v>1.0106208407856352</v>
      </c>
      <c r="I725" s="1014">
        <v>1.0278323672502927</v>
      </c>
      <c r="K725">
        <v>2.4214632586097502</v>
      </c>
      <c r="L725">
        <v>0</v>
      </c>
      <c r="M725">
        <v>1.5717501978531028E-3</v>
      </c>
      <c r="N725">
        <v>0.14937051817653565</v>
      </c>
      <c r="O725">
        <v>2.048667099261264E-2</v>
      </c>
      <c r="P725">
        <v>2.8945093841448829E-2</v>
      </c>
      <c r="Q725">
        <v>5.4381910890123966E-3</v>
      </c>
      <c r="R725">
        <v>1.5512214957704394E-3</v>
      </c>
      <c r="S725">
        <v>0.25758058098431202</v>
      </c>
      <c r="T725">
        <v>1.3883611948415535</v>
      </c>
      <c r="U725">
        <v>0.20868580102698206</v>
      </c>
      <c r="V725">
        <v>0.24420714670409377</v>
      </c>
      <c r="W725">
        <v>9.7301137715538291E-2</v>
      </c>
      <c r="X725">
        <v>1.688553838828143E-2</v>
      </c>
      <c r="Y725">
        <v>4.2219135514584881E-3</v>
      </c>
    </row>
    <row r="726" spans="1:25">
      <c r="A726" s="1010"/>
      <c r="B726" s="1351">
        <v>476</v>
      </c>
      <c r="C726" s="1014">
        <v>0.99387001886368087</v>
      </c>
      <c r="D726" s="1014">
        <v>1.0376607150428281</v>
      </c>
      <c r="E726" s="1014">
        <v>1.0324128619761765</v>
      </c>
      <c r="F726" s="1014">
        <v>0.99439986357452481</v>
      </c>
      <c r="G726" s="1014">
        <v>0.96978733625397318</v>
      </c>
      <c r="H726" s="1014">
        <v>1.0097738786092862</v>
      </c>
      <c r="I726" s="1014">
        <v>0.99738848138301817</v>
      </c>
      <c r="K726">
        <v>2.4072919234832488</v>
      </c>
      <c r="L726">
        <v>0</v>
      </c>
      <c r="M726">
        <v>1.5467424601620149E-3</v>
      </c>
      <c r="N726">
        <v>0.15525122786698073</v>
      </c>
      <c r="O726">
        <v>2.0965517186361794E-2</v>
      </c>
      <c r="P726">
        <v>2.8991743576802023E-2</v>
      </c>
      <c r="Q726">
        <v>5.6663004220262299E-3</v>
      </c>
      <c r="R726">
        <v>1.526523440521721E-3</v>
      </c>
      <c r="S726">
        <v>0.25588767226176073</v>
      </c>
      <c r="T726">
        <v>1.364656563505269</v>
      </c>
      <c r="U726">
        <v>0.21339254561203394</v>
      </c>
      <c r="V726">
        <v>0.24064714517071376</v>
      </c>
      <c r="W726">
        <v>0.10006793752262055</v>
      </c>
      <c r="X726">
        <v>1.7630795791535248E-2</v>
      </c>
      <c r="Y726">
        <v>4.1546935867831994E-3</v>
      </c>
    </row>
    <row r="727" spans="1:25">
      <c r="A727" s="1010"/>
      <c r="B727" s="1351">
        <v>477</v>
      </c>
      <c r="C727" s="1014">
        <v>1.0150459207146016</v>
      </c>
      <c r="D727" s="1014">
        <v>1.0141259905406634</v>
      </c>
      <c r="E727" s="1014">
        <v>0.98065399757589544</v>
      </c>
      <c r="F727" s="1014">
        <v>0.98138573197789836</v>
      </c>
      <c r="G727" s="1014">
        <v>0.97577167773399143</v>
      </c>
      <c r="H727" s="1014">
        <v>1.0053065898562357</v>
      </c>
      <c r="I727" s="1014">
        <v>1.0332392900050433</v>
      </c>
      <c r="K727">
        <v>2.3713443509291503</v>
      </c>
      <c r="L727">
        <v>0</v>
      </c>
      <c r="M727">
        <v>1.6873368889692712E-3</v>
      </c>
      <c r="N727">
        <v>0.14484820158637984</v>
      </c>
      <c r="O727">
        <v>2.0598234756942207E-2</v>
      </c>
      <c r="P727">
        <v>2.76604093014063E-2</v>
      </c>
      <c r="Q727">
        <v>5.2857832101491937E-3</v>
      </c>
      <c r="R727">
        <v>1.6651820044689249E-3</v>
      </c>
      <c r="S727">
        <v>0.2617142715032707</v>
      </c>
      <c r="T727">
        <v>1.3456967311267372</v>
      </c>
      <c r="U727">
        <v>0.20876627681285656</v>
      </c>
      <c r="V727">
        <v>0.24053680832854746</v>
      </c>
      <c r="W727">
        <v>9.6264359339750888E-2</v>
      </c>
      <c r="X727">
        <v>1.5463353358542074E-2</v>
      </c>
      <c r="Y727">
        <v>4.532076489064168E-3</v>
      </c>
    </row>
    <row r="728" spans="1:25">
      <c r="A728" s="1010"/>
      <c r="B728" s="1351">
        <v>478</v>
      </c>
      <c r="C728" s="1014">
        <v>0.96616350541173035</v>
      </c>
      <c r="D728" s="1014">
        <v>0.99336553495929147</v>
      </c>
      <c r="E728" s="1014">
        <v>1.0133229717234271</v>
      </c>
      <c r="F728" s="1014">
        <v>0.98113078420295408</v>
      </c>
      <c r="G728" s="1014">
        <v>0.98769818094236284</v>
      </c>
      <c r="H728" s="1014">
        <v>1.0118507745834611</v>
      </c>
      <c r="I728" s="1014">
        <v>0.99877009025958374</v>
      </c>
      <c r="K728">
        <v>2.4204954110043801</v>
      </c>
      <c r="L728">
        <v>0</v>
      </c>
      <c r="M728">
        <v>1.6750003332172232E-3</v>
      </c>
      <c r="N728">
        <v>0.15872229919768485</v>
      </c>
      <c r="O728">
        <v>2.1761549170788524E-2</v>
      </c>
      <c r="P728">
        <v>2.8671244926634747E-2</v>
      </c>
      <c r="Q728">
        <v>5.7710479128793507E-3</v>
      </c>
      <c r="R728">
        <v>1.6531496687743018E-3</v>
      </c>
      <c r="S728">
        <v>0.26939909271220469</v>
      </c>
      <c r="T728">
        <v>1.3460399459980064</v>
      </c>
      <c r="U728">
        <v>0.21944419529937986</v>
      </c>
      <c r="V728">
        <v>0.24556928788152804</v>
      </c>
      <c r="W728">
        <v>0.10345165597672908</v>
      </c>
      <c r="X728">
        <v>1.7187614155226072E-2</v>
      </c>
      <c r="Y728">
        <v>4.4993284377617994E-3</v>
      </c>
    </row>
    <row r="729" spans="1:25">
      <c r="A729" s="1010"/>
      <c r="B729" s="1351">
        <v>479</v>
      </c>
      <c r="C729" s="1014">
        <v>0.9833971236134057</v>
      </c>
      <c r="D729" s="1014">
        <v>0.97379781105591567</v>
      </c>
      <c r="E729" s="1014">
        <v>1.0069737083361048</v>
      </c>
      <c r="F729" s="1014">
        <v>0.98189143762866982</v>
      </c>
      <c r="G729" s="1014">
        <v>0.9859542301829004</v>
      </c>
      <c r="H729" s="1014">
        <v>0.98117810247896231</v>
      </c>
      <c r="I729" s="1014">
        <v>0.97655271672375865</v>
      </c>
      <c r="K729">
        <v>2.3915806975644687</v>
      </c>
      <c r="L729">
        <v>0</v>
      </c>
      <c r="M729">
        <v>1.6240432145208693E-3</v>
      </c>
      <c r="N729">
        <v>0.15090947142840264</v>
      </c>
      <c r="O729">
        <v>2.1469654442673586E-2</v>
      </c>
      <c r="P729">
        <v>2.8330804084000124E-2</v>
      </c>
      <c r="Q729">
        <v>5.6576189689018222E-3</v>
      </c>
      <c r="R729">
        <v>1.6021949999446936E-3</v>
      </c>
      <c r="S729">
        <v>0.25872772056682702</v>
      </c>
      <c r="T729">
        <v>1.3469483978864301</v>
      </c>
      <c r="U729">
        <v>0.21557642438128913</v>
      </c>
      <c r="V729">
        <v>0.24416159996209941</v>
      </c>
      <c r="W729">
        <v>9.8728335132878875E-2</v>
      </c>
      <c r="X729">
        <v>1.6731872299129164E-2</v>
      </c>
      <c r="Y729">
        <v>4.3606466264096708E-3</v>
      </c>
    </row>
    <row r="730" spans="1:25">
      <c r="A730" s="1010"/>
      <c r="B730" s="1351">
        <v>480</v>
      </c>
      <c r="C730" s="1014">
        <v>0.9979448972060031</v>
      </c>
      <c r="D730" s="1014">
        <v>1.000042273179192</v>
      </c>
      <c r="E730" s="1014">
        <v>1.0061087908035591</v>
      </c>
      <c r="F730" s="1014">
        <v>1.024515982388698</v>
      </c>
      <c r="G730" s="1014">
        <v>0.98516321210530733</v>
      </c>
      <c r="H730" s="1014">
        <v>1.0166057117347016</v>
      </c>
      <c r="I730" s="1014">
        <v>1.0230524831681715</v>
      </c>
      <c r="K730">
        <v>2.457963029795657</v>
      </c>
      <c r="L730">
        <v>0</v>
      </c>
      <c r="M730">
        <v>1.6514434402045597E-3</v>
      </c>
      <c r="N730">
        <v>0.15312801195638137</v>
      </c>
      <c r="O730">
        <v>2.1032680904590591E-2</v>
      </c>
      <c r="P730">
        <v>2.9164531560581408E-2</v>
      </c>
      <c r="Q730">
        <v>5.537669882645058E-3</v>
      </c>
      <c r="R730">
        <v>1.6300008435079297E-3</v>
      </c>
      <c r="S730">
        <v>0.26662102357323703</v>
      </c>
      <c r="T730">
        <v>1.4054011119377803</v>
      </c>
      <c r="U730">
        <v>0.2124308433798841</v>
      </c>
      <c r="V730">
        <v>0.24310453828102974</v>
      </c>
      <c r="W730">
        <v>0.10023100010539045</v>
      </c>
      <c r="X730">
        <v>1.6896735844439136E-2</v>
      </c>
      <c r="Y730">
        <v>4.4363249663949321E-3</v>
      </c>
    </row>
    <row r="731" spans="1:25">
      <c r="A731" s="1010"/>
      <c r="B731" s="1351">
        <v>481</v>
      </c>
      <c r="C731" s="1014">
        <v>1.0073628790589901</v>
      </c>
      <c r="D731" s="1014">
        <v>0.98530104694759191</v>
      </c>
      <c r="E731" s="1014">
        <v>0.99882537399872762</v>
      </c>
      <c r="F731" s="1014">
        <v>0.98235927445563453</v>
      </c>
      <c r="G731" s="1014">
        <v>0.96273116044604157</v>
      </c>
      <c r="H731" s="1014">
        <v>0.99803918913446243</v>
      </c>
      <c r="I731" s="1014">
        <v>1.0169571434055853</v>
      </c>
      <c r="K731">
        <v>2.3803253787749017</v>
      </c>
      <c r="L731">
        <v>0</v>
      </c>
      <c r="M731">
        <v>1.6359200920160043E-3</v>
      </c>
      <c r="N731">
        <v>0.14835148997065217</v>
      </c>
      <c r="O731">
        <v>2.0899411450906468E-2</v>
      </c>
      <c r="P731">
        <v>2.8077789282867791E-2</v>
      </c>
      <c r="Q731">
        <v>5.4624979775687033E-3</v>
      </c>
      <c r="R731">
        <v>1.6142839058278971E-3</v>
      </c>
      <c r="S731">
        <v>0.26285185741954187</v>
      </c>
      <c r="T731">
        <v>1.3474169454404694</v>
      </c>
      <c r="U731">
        <v>0.21042007261951887</v>
      </c>
      <c r="V731">
        <v>0.23871464659258237</v>
      </c>
      <c r="W731">
        <v>9.7524937318691218E-2</v>
      </c>
      <c r="X731">
        <v>1.6233818245170228E-2</v>
      </c>
      <c r="Y731">
        <v>4.3935486431169969E-3</v>
      </c>
    </row>
    <row r="732" spans="1:25">
      <c r="A732" s="1010"/>
      <c r="B732" s="1351">
        <v>482</v>
      </c>
      <c r="C732" s="1014">
        <v>1.0173029715678088</v>
      </c>
      <c r="D732" s="1014">
        <v>0.98798056406999724</v>
      </c>
      <c r="E732" s="1014">
        <v>1.0156045057611485</v>
      </c>
      <c r="F732" s="1014">
        <v>0.98799455152286209</v>
      </c>
      <c r="G732" s="1014">
        <v>0.97212301570180004</v>
      </c>
      <c r="H732" s="1014">
        <v>1.0213529193444579</v>
      </c>
      <c r="I732" s="1014">
        <v>0.96695351193632362</v>
      </c>
      <c r="K732">
        <v>2.3804317148151606</v>
      </c>
      <c r="L732">
        <v>0</v>
      </c>
      <c r="M732">
        <v>1.6000517070373444E-3</v>
      </c>
      <c r="N732">
        <v>0.15268658611026936</v>
      </c>
      <c r="O732">
        <v>2.0693829549235692E-2</v>
      </c>
      <c r="P732">
        <v>2.8336981329425873E-2</v>
      </c>
      <c r="Q732">
        <v>5.5003940371970046E-3</v>
      </c>
      <c r="R732">
        <v>1.5793729513930042E-3</v>
      </c>
      <c r="S732">
        <v>0.24917005614927223</v>
      </c>
      <c r="T732">
        <v>1.3555054275203364</v>
      </c>
      <c r="U732">
        <v>0.20842049523499964</v>
      </c>
      <c r="V732">
        <v>0.23965564104992335</v>
      </c>
      <c r="W732">
        <v>9.9384384195683545E-2</v>
      </c>
      <c r="X732">
        <v>1.6800065860924834E-2</v>
      </c>
      <c r="Y732">
        <v>4.2985325335382569E-3</v>
      </c>
    </row>
    <row r="733" spans="1:25">
      <c r="A733" s="1010"/>
      <c r="B733" s="1351">
        <v>483</v>
      </c>
      <c r="C733" s="1014">
        <v>1.0045265135682508</v>
      </c>
      <c r="D733" s="1014">
        <v>0.99624085306276966</v>
      </c>
      <c r="E733" s="1014">
        <v>0.98690916065798606</v>
      </c>
      <c r="F733" s="1014">
        <v>1.0203539345641235</v>
      </c>
      <c r="G733" s="1014">
        <v>1.0239310837166322</v>
      </c>
      <c r="H733" s="1014">
        <v>0.98780947385179696</v>
      </c>
      <c r="I733" s="1014">
        <v>1.0146020914159686</v>
      </c>
      <c r="K733">
        <v>2.4369861420694408</v>
      </c>
      <c r="L733">
        <v>0</v>
      </c>
      <c r="M733">
        <v>1.6602753396156688E-3</v>
      </c>
      <c r="N733">
        <v>0.14521324570375224</v>
      </c>
      <c r="O733">
        <v>2.089970174260956E-2</v>
      </c>
      <c r="P733">
        <v>2.8649113283326848E-2</v>
      </c>
      <c r="Q733">
        <v>5.3972776793183149E-3</v>
      </c>
      <c r="R733">
        <v>1.6380896389738245E-3</v>
      </c>
      <c r="S733">
        <v>0.26055166087734788</v>
      </c>
      <c r="T733">
        <v>1.3992683314542274</v>
      </c>
      <c r="U733">
        <v>0.21097370843988281</v>
      </c>
      <c r="V733">
        <v>0.24938549401566407</v>
      </c>
      <c r="W733">
        <v>9.6144228609956403E-2</v>
      </c>
      <c r="X733">
        <v>1.606722596281062E-2</v>
      </c>
      <c r="Y733">
        <v>4.4583400011823891E-3</v>
      </c>
    </row>
    <row r="734" spans="1:25">
      <c r="A734" s="1010"/>
      <c r="B734" s="1351">
        <v>484</v>
      </c>
      <c r="C734" s="1014">
        <v>1.0063667949574322</v>
      </c>
      <c r="D734" s="1014">
        <v>0.98560671125078458</v>
      </c>
      <c r="E734" s="1014">
        <v>1.0010542634108219</v>
      </c>
      <c r="F734" s="1014">
        <v>0.99274061243434375</v>
      </c>
      <c r="G734" s="1014">
        <v>0.97525141466851717</v>
      </c>
      <c r="H734" s="1014">
        <v>0.99711931996331937</v>
      </c>
      <c r="I734" s="1014">
        <v>0.998334298261499</v>
      </c>
      <c r="K734">
        <v>2.3931241723634509</v>
      </c>
      <c r="L734">
        <v>0</v>
      </c>
      <c r="M734">
        <v>1.6283724024878828E-3</v>
      </c>
      <c r="N734">
        <v>0.14866294164150667</v>
      </c>
      <c r="O734">
        <v>2.0920144397983897E-2</v>
      </c>
      <c r="P734">
        <v>2.8288833639548251E-2</v>
      </c>
      <c r="Q734">
        <v>5.4801816133712615E-3</v>
      </c>
      <c r="R734">
        <v>1.606816171898043E-3</v>
      </c>
      <c r="S734">
        <v>0.25819387660639698</v>
      </c>
      <c r="T734">
        <v>1.3617039821262935</v>
      </c>
      <c r="U734">
        <v>0.21063591328834697</v>
      </c>
      <c r="V734">
        <v>0.2409063813092775</v>
      </c>
      <c r="W734">
        <v>9.7600296980162829E-2</v>
      </c>
      <c r="X734">
        <v>1.6379953058052846E-2</v>
      </c>
      <c r="Y734">
        <v>4.3732239330977621E-3</v>
      </c>
    </row>
    <row r="735" spans="1:25">
      <c r="A735" s="1010"/>
      <c r="B735" s="1351">
        <v>485</v>
      </c>
      <c r="C735" s="1014">
        <v>0.96368864696893397</v>
      </c>
      <c r="D735" s="1014">
        <v>1.0136840434004522</v>
      </c>
      <c r="E735" s="1014">
        <v>1.0012172010351894</v>
      </c>
      <c r="F735" s="1014">
        <v>0.97119548848396375</v>
      </c>
      <c r="G735" s="1014">
        <v>1.0025203885471345</v>
      </c>
      <c r="H735" s="1014">
        <v>1.0233194195503175</v>
      </c>
      <c r="I735" s="1014">
        <v>0.98507447822419836</v>
      </c>
      <c r="K735">
        <v>2.4043249710743786</v>
      </c>
      <c r="L735">
        <v>0</v>
      </c>
      <c r="M735">
        <v>1.7338311195400585E-3</v>
      </c>
      <c r="N735">
        <v>0.15842317003328663</v>
      </c>
      <c r="O735">
        <v>2.171214353730621E-2</v>
      </c>
      <c r="P735">
        <v>2.8204695354437759E-2</v>
      </c>
      <c r="Q735">
        <v>5.6885824817031238E-3</v>
      </c>
      <c r="R735">
        <v>1.7114664854944849E-3</v>
      </c>
      <c r="S735">
        <v>0.26460116368945297</v>
      </c>
      <c r="T735">
        <v>1.3321547904958571</v>
      </c>
      <c r="U735">
        <v>0.21996476422498876</v>
      </c>
      <c r="V735">
        <v>0.24830816889367149</v>
      </c>
      <c r="W735">
        <v>0.10399802610056899</v>
      </c>
      <c r="X735">
        <v>1.6633783308407514E-2</v>
      </c>
      <c r="Y735">
        <v>4.6580475887406728E-3</v>
      </c>
    </row>
    <row r="736" spans="1:25">
      <c r="A736" s="1010"/>
      <c r="B736" s="1351">
        <v>486</v>
      </c>
      <c r="C736" s="1014">
        <v>1.01805834299172</v>
      </c>
      <c r="D736" s="1014">
        <v>0.99702912068737171</v>
      </c>
      <c r="E736" s="1014">
        <v>1.0213307007664327</v>
      </c>
      <c r="F736" s="1014">
        <v>0.99449645016862276</v>
      </c>
      <c r="G736" s="1014">
        <v>1.0045017779401788</v>
      </c>
      <c r="H736" s="1014">
        <v>1.0012695712646518</v>
      </c>
      <c r="I736" s="1014">
        <v>1.0339015794397239</v>
      </c>
      <c r="K736">
        <v>2.4048936005678123</v>
      </c>
      <c r="L736">
        <v>0</v>
      </c>
      <c r="M736">
        <v>1.545762121837269E-3</v>
      </c>
      <c r="N736">
        <v>0.1500370811145928</v>
      </c>
      <c r="O736">
        <v>2.0640787376627258E-2</v>
      </c>
      <c r="P736">
        <v>2.8851608516759525E-2</v>
      </c>
      <c r="Q736">
        <v>5.5176427157755913E-3</v>
      </c>
      <c r="R736">
        <v>1.525384295292503E-3</v>
      </c>
      <c r="S736">
        <v>0.26332437600428843</v>
      </c>
      <c r="T736">
        <v>1.3645494948728603</v>
      </c>
      <c r="U736">
        <v>0.20828513353076028</v>
      </c>
      <c r="V736">
        <v>0.24511672471901502</v>
      </c>
      <c r="W736">
        <v>9.7332790533501676E-2</v>
      </c>
      <c r="X736">
        <v>1.7106745801183751E-2</v>
      </c>
      <c r="Y736">
        <v>4.151593208988392E-3</v>
      </c>
    </row>
    <row r="737" spans="1:25">
      <c r="A737" s="1010"/>
      <c r="B737" s="1351">
        <v>487</v>
      </c>
      <c r="C737" s="1014">
        <v>0.97271333999111409</v>
      </c>
      <c r="D737" s="1014">
        <v>1.0159941831113084</v>
      </c>
      <c r="E737" s="1014">
        <v>0.99753874148029031</v>
      </c>
      <c r="F737" s="1014">
        <v>1.0221473318048382</v>
      </c>
      <c r="G737" s="1014">
        <v>1.0197693363271694</v>
      </c>
      <c r="H737" s="1014">
        <v>0.99175331096881303</v>
      </c>
      <c r="I737" s="1014">
        <v>0.98778321391014212</v>
      </c>
      <c r="K737">
        <v>2.4587459372820577</v>
      </c>
      <c r="L737">
        <v>0</v>
      </c>
      <c r="M737">
        <v>1.6766679748094282E-3</v>
      </c>
      <c r="N737">
        <v>0.15144383131949743</v>
      </c>
      <c r="O737">
        <v>2.1497430761276897E-2</v>
      </c>
      <c r="P737">
        <v>2.901730391580511E-2</v>
      </c>
      <c r="Q737">
        <v>5.611533435410568E-3</v>
      </c>
      <c r="R737">
        <v>1.6543523203265615E-3</v>
      </c>
      <c r="S737">
        <v>0.25982237211018405</v>
      </c>
      <c r="T737">
        <v>1.4019623364817655</v>
      </c>
      <c r="U737">
        <v>0.21791103781144408</v>
      </c>
      <c r="V737">
        <v>0.25066641984449495</v>
      </c>
      <c r="W737">
        <v>9.9634085572539832E-2</v>
      </c>
      <c r="X737">
        <v>1.6699300025288823E-2</v>
      </c>
      <c r="Y737">
        <v>4.5026016588330733E-3</v>
      </c>
    </row>
    <row r="738" spans="1:25">
      <c r="A738" s="1010"/>
      <c r="B738" s="1351">
        <v>488</v>
      </c>
      <c r="C738" s="1014">
        <v>0.99602728414781305</v>
      </c>
      <c r="D738" s="1014">
        <v>1.0206687765058942</v>
      </c>
      <c r="E738" s="1014">
        <v>0.99377391424635564</v>
      </c>
      <c r="F738" s="1014">
        <v>0.99856900255206782</v>
      </c>
      <c r="G738" s="1014">
        <v>1.0005906385387036</v>
      </c>
      <c r="H738" s="1014">
        <v>1.0378667163234676</v>
      </c>
      <c r="I738" s="1014">
        <v>0.99737945738384148</v>
      </c>
      <c r="K738">
        <v>2.4191790769561017</v>
      </c>
      <c r="L738">
        <v>0</v>
      </c>
      <c r="M738">
        <v>1.7252392354686571E-3</v>
      </c>
      <c r="N738">
        <v>0.15416033949564606</v>
      </c>
      <c r="O738">
        <v>2.0970554835411524E-2</v>
      </c>
      <c r="P738">
        <v>2.8356777946448721E-2</v>
      </c>
      <c r="Q738">
        <v>5.4532755977899864E-3</v>
      </c>
      <c r="R738">
        <v>1.70329734917807E-3</v>
      </c>
      <c r="S738">
        <v>0.25949847138851978</v>
      </c>
      <c r="T738">
        <v>1.3695414061059599</v>
      </c>
      <c r="U738">
        <v>0.21279749715017748</v>
      </c>
      <c r="V738">
        <v>0.24590321672272938</v>
      </c>
      <c r="W738">
        <v>0.10164923855643869</v>
      </c>
      <c r="X738">
        <v>1.6234427150624117E-2</v>
      </c>
      <c r="Y738">
        <v>4.6358138926424555E-3</v>
      </c>
    </row>
    <row r="739" spans="1:25">
      <c r="A739" s="1010"/>
      <c r="B739" s="1351">
        <v>489</v>
      </c>
      <c r="C739" s="1014">
        <v>0.99331669206320516</v>
      </c>
      <c r="D739" s="1014">
        <v>0.97741154008028175</v>
      </c>
      <c r="E739" s="1014">
        <v>0.99584735741044739</v>
      </c>
      <c r="F739" s="1014">
        <v>0.9788407598243557</v>
      </c>
      <c r="G739" s="1014">
        <v>0.98705962034504735</v>
      </c>
      <c r="H739" s="1014">
        <v>1.0069974742205592</v>
      </c>
      <c r="I739" s="1014">
        <v>1.0348051428080345</v>
      </c>
      <c r="K739">
        <v>2.4000868273471929</v>
      </c>
      <c r="L739">
        <v>0</v>
      </c>
      <c r="M739">
        <v>1.6872944306699728E-3</v>
      </c>
      <c r="N739">
        <v>0.15165763063093865</v>
      </c>
      <c r="O739">
        <v>2.1230464838597106E-2</v>
      </c>
      <c r="P739">
        <v>2.8197470187582629E-2</v>
      </c>
      <c r="Q739">
        <v>5.5324154144505587E-3</v>
      </c>
      <c r="R739">
        <v>1.6651773037493283E-3</v>
      </c>
      <c r="S739">
        <v>0.273119251922043</v>
      </c>
      <c r="T739">
        <v>1.3425278917563852</v>
      </c>
      <c r="U739">
        <v>0.21338531463941426</v>
      </c>
      <c r="V739">
        <v>0.24375570278199069</v>
      </c>
      <c r="W739">
        <v>9.9875356153743253E-2</v>
      </c>
      <c r="X739">
        <v>1.6295382453709623E-2</v>
      </c>
      <c r="Y739">
        <v>4.5320636952550187E-3</v>
      </c>
    </row>
    <row r="740" spans="1:25">
      <c r="A740" s="1010"/>
      <c r="B740" s="1351">
        <v>490</v>
      </c>
      <c r="C740" s="1014">
        <v>0.99172733580434713</v>
      </c>
      <c r="D740" s="1014">
        <v>0.97901074598133209</v>
      </c>
      <c r="E740" s="1014">
        <v>0.98258279778601709</v>
      </c>
      <c r="F740" s="1014">
        <v>1.009443918430766</v>
      </c>
      <c r="G740" s="1014">
        <v>0.98787543731311056</v>
      </c>
      <c r="H740" s="1014">
        <v>1.0019349422113084</v>
      </c>
      <c r="I740" s="1014">
        <v>1.000969006205124</v>
      </c>
      <c r="K740">
        <v>2.4296234822919516</v>
      </c>
      <c r="L740">
        <v>0</v>
      </c>
      <c r="M740">
        <v>1.7277090863826914E-3</v>
      </c>
      <c r="N740">
        <v>0.14917521533590655</v>
      </c>
      <c r="O740">
        <v>2.1247939360959017E-2</v>
      </c>
      <c r="P740">
        <v>2.8361777819839781E-2</v>
      </c>
      <c r="Q740">
        <v>5.4631962178247834E-3</v>
      </c>
      <c r="R740">
        <v>1.7049477732807644E-3</v>
      </c>
      <c r="S740">
        <v>0.26384748524311141</v>
      </c>
      <c r="T740">
        <v>1.3842126570840967</v>
      </c>
      <c r="U740">
        <v>0.21368164783191929</v>
      </c>
      <c r="V740">
        <v>0.2440428711576082</v>
      </c>
      <c r="W740">
        <v>9.9024791356068814E-2</v>
      </c>
      <c r="X740">
        <v>1.5948356394729434E-2</v>
      </c>
      <c r="Y740">
        <v>4.6403058029878298E-3</v>
      </c>
    </row>
    <row r="741" spans="1:25">
      <c r="A741" s="1010"/>
      <c r="B741" s="1351">
        <v>491</v>
      </c>
      <c r="C741" s="1014">
        <v>1.0036169965642556</v>
      </c>
      <c r="D741" s="1014">
        <v>0.97484532481376995</v>
      </c>
      <c r="E741" s="1014">
        <v>0.98511946624560531</v>
      </c>
      <c r="F741" s="1014">
        <v>1.0310494231084768</v>
      </c>
      <c r="G741" s="1014">
        <v>1.0028639752884452</v>
      </c>
      <c r="H741" s="1014">
        <v>0.98359648931134047</v>
      </c>
      <c r="I741" s="1014">
        <v>0.97324967173939758</v>
      </c>
      <c r="K741">
        <v>2.4404213862433863</v>
      </c>
      <c r="L741">
        <v>0</v>
      </c>
      <c r="M741">
        <v>1.6687847756005282E-3</v>
      </c>
      <c r="N741">
        <v>0.14516121083111957</v>
      </c>
      <c r="O741">
        <v>2.1017606037813337E-2</v>
      </c>
      <c r="P741">
        <v>2.8654588262165673E-2</v>
      </c>
      <c r="Q741">
        <v>5.4178946812275183E-3</v>
      </c>
      <c r="R741">
        <v>1.6463898524001835E-3</v>
      </c>
      <c r="S741">
        <v>0.25254641646270237</v>
      </c>
      <c r="T741">
        <v>1.4138958565942219</v>
      </c>
      <c r="U741">
        <v>0.21115881912242662</v>
      </c>
      <c r="V741">
        <v>0.24584932797616013</v>
      </c>
      <c r="W741">
        <v>9.6213200728940129E-2</v>
      </c>
      <c r="X741">
        <v>1.6047930023846455E-2</v>
      </c>
      <c r="Y741">
        <v>4.4809304459643177E-3</v>
      </c>
    </row>
    <row r="742" spans="1:25">
      <c r="A742" s="1010"/>
      <c r="B742" s="1351">
        <v>492</v>
      </c>
      <c r="C742" s="1014">
        <v>0.99783502070502694</v>
      </c>
      <c r="D742" s="1014">
        <v>1.0103732330690647</v>
      </c>
      <c r="E742" s="1014">
        <v>0.9877609823746174</v>
      </c>
      <c r="F742" s="1014">
        <v>1.015202714053308</v>
      </c>
      <c r="G742" s="1014">
        <v>1.011077466883497</v>
      </c>
      <c r="H742" s="1014">
        <v>0.99776439037571907</v>
      </c>
      <c r="I742" s="1014">
        <v>1.0362168645900955</v>
      </c>
      <c r="K742">
        <v>2.4396125733065919</v>
      </c>
      <c r="L742">
        <v>0</v>
      </c>
      <c r="M742">
        <v>1.6800642634638642E-3</v>
      </c>
      <c r="N742">
        <v>0.14734296475114858</v>
      </c>
      <c r="O742">
        <v>2.0975319467774721E-2</v>
      </c>
      <c r="P742">
        <v>2.8652984381219097E-2</v>
      </c>
      <c r="Q742">
        <v>5.4214784482298859E-3</v>
      </c>
      <c r="R742">
        <v>1.6578381200498438E-3</v>
      </c>
      <c r="S742">
        <v>0.26688526327108208</v>
      </c>
      <c r="T742">
        <v>1.3922228301984287</v>
      </c>
      <c r="U742">
        <v>0.21239141265870501</v>
      </c>
      <c r="V742">
        <v>0.24760296197561554</v>
      </c>
      <c r="W742">
        <v>9.750442054959603E-2</v>
      </c>
      <c r="X742">
        <v>1.6123074891618336E-2</v>
      </c>
      <c r="Y742">
        <v>4.5120888565862768E-3</v>
      </c>
    </row>
    <row r="743" spans="1:25">
      <c r="A743" s="1010"/>
      <c r="B743" s="1351">
        <v>493</v>
      </c>
      <c r="C743" s="1014">
        <v>1.0183983332763562</v>
      </c>
      <c r="D743" s="1014">
        <v>1.0155581930285535</v>
      </c>
      <c r="E743" s="1014">
        <v>0.99974094057813523</v>
      </c>
      <c r="F743" s="1014">
        <v>1.0095614618892048</v>
      </c>
      <c r="G743" s="1014">
        <v>1.0174274614668084</v>
      </c>
      <c r="H743" s="1014">
        <v>0.99841977252026715</v>
      </c>
      <c r="I743" s="1014">
        <v>1.0105205881259571</v>
      </c>
      <c r="K743">
        <v>2.4117343258830042</v>
      </c>
      <c r="L743">
        <v>0</v>
      </c>
      <c r="M743">
        <v>1.605023262989337E-3</v>
      </c>
      <c r="N743">
        <v>0.14595357998930686</v>
      </c>
      <c r="O743">
        <v>2.053643249887422E-2</v>
      </c>
      <c r="P743">
        <v>2.8579604087543741E-2</v>
      </c>
      <c r="Q743">
        <v>5.3725699499981017E-3</v>
      </c>
      <c r="R743">
        <v>1.583803800592871E-3</v>
      </c>
      <c r="S743">
        <v>0.25451219160750738</v>
      </c>
      <c r="T743">
        <v>1.3847478133015863</v>
      </c>
      <c r="U743">
        <v>0.20814301487788675</v>
      </c>
      <c r="V743">
        <v>0.24738097574518456</v>
      </c>
      <c r="W743">
        <v>9.5896345861522056E-2</v>
      </c>
      <c r="X743">
        <v>1.6322425581556676E-2</v>
      </c>
      <c r="Y743">
        <v>4.3105918444312462E-3</v>
      </c>
    </row>
    <row r="744" spans="1:25">
      <c r="A744" s="1010"/>
      <c r="B744" s="1351">
        <v>494</v>
      </c>
      <c r="C744" s="1014">
        <v>1.0483242672388813</v>
      </c>
      <c r="D744" s="1014">
        <v>0.99276428074761514</v>
      </c>
      <c r="E744" s="1014">
        <v>1.0162776198860477</v>
      </c>
      <c r="F744" s="1014">
        <v>1.0018791734556085</v>
      </c>
      <c r="G744" s="1014">
        <v>0.98058398520383105</v>
      </c>
      <c r="H744" s="1014">
        <v>1.0169286868482856</v>
      </c>
      <c r="I744" s="1014">
        <v>1.0348454598020174</v>
      </c>
      <c r="K744">
        <v>2.3921537555806207</v>
      </c>
      <c r="L744">
        <v>0</v>
      </c>
      <c r="M744">
        <v>1.5421761618793796E-3</v>
      </c>
      <c r="N744">
        <v>0.14745458199354847</v>
      </c>
      <c r="O744">
        <v>2.0060571493607494E-2</v>
      </c>
      <c r="P744">
        <v>2.8642945645686854E-2</v>
      </c>
      <c r="Q744">
        <v>5.3356520988923168E-3</v>
      </c>
      <c r="R744">
        <v>1.5221586679486534E-3</v>
      </c>
      <c r="S744">
        <v>0.25778275646263538</v>
      </c>
      <c r="T744">
        <v>1.3745694358450218</v>
      </c>
      <c r="U744">
        <v>0.20225525846950629</v>
      </c>
      <c r="V744">
        <v>0.23928219203848647</v>
      </c>
      <c r="W744">
        <v>9.5940938661557049E-2</v>
      </c>
      <c r="X744">
        <v>1.670662625092096E-2</v>
      </c>
      <c r="Y744">
        <v>4.1428141146862014E-3</v>
      </c>
    </row>
    <row r="745" spans="1:25">
      <c r="A745" s="1010"/>
      <c r="B745" s="1351">
        <v>495</v>
      </c>
      <c r="C745" s="1014">
        <v>0.99126863854839453</v>
      </c>
      <c r="D745" s="1014">
        <v>0.98556480236573085</v>
      </c>
      <c r="E745" s="1014">
        <v>0.99565183296746718</v>
      </c>
      <c r="F745" s="1014">
        <v>0.97562736285695695</v>
      </c>
      <c r="G745" s="1014">
        <v>0.97865099217865903</v>
      </c>
      <c r="H745" s="1014">
        <v>0.96093038482481807</v>
      </c>
      <c r="I745" s="1014">
        <v>1.0281855538740066</v>
      </c>
      <c r="K745">
        <v>2.3763063882792621</v>
      </c>
      <c r="L745">
        <v>0</v>
      </c>
      <c r="M745">
        <v>1.6111393680596025E-3</v>
      </c>
      <c r="N745">
        <v>0.14463495083156774</v>
      </c>
      <c r="O745">
        <v>2.1235353124706167E-2</v>
      </c>
      <c r="P745">
        <v>2.8034541038204467E-2</v>
      </c>
      <c r="Q745">
        <v>5.5325992148517328E-3</v>
      </c>
      <c r="R745">
        <v>1.5890080437639953E-3</v>
      </c>
      <c r="S745">
        <v>0.26672112910616019</v>
      </c>
      <c r="T745">
        <v>1.3381164386898163</v>
      </c>
      <c r="U745">
        <v>0.21382551482924547</v>
      </c>
      <c r="V745">
        <v>0.24245003655558117</v>
      </c>
      <c r="W745">
        <v>9.5261620554390317E-2</v>
      </c>
      <c r="X745">
        <v>1.6191579580265774E-2</v>
      </c>
      <c r="Y745">
        <v>4.3247560787647472E-3</v>
      </c>
    </row>
    <row r="746" spans="1:25">
      <c r="A746" s="1010"/>
      <c r="B746" s="1351">
        <v>496</v>
      </c>
      <c r="C746" s="1014">
        <v>0.98308528863616573</v>
      </c>
      <c r="D746" s="1014">
        <v>0.98030488374882996</v>
      </c>
      <c r="E746" s="1014">
        <v>0.98158493253120327</v>
      </c>
      <c r="F746" s="1014">
        <v>1.0003493790832123</v>
      </c>
      <c r="G746" s="1014">
        <v>0.98613465431094838</v>
      </c>
      <c r="H746" s="1014">
        <v>0.99434181415472467</v>
      </c>
      <c r="I746" s="1014">
        <v>1.0050811092123477</v>
      </c>
      <c r="K746">
        <v>2.4219187442845316</v>
      </c>
      <c r="L746">
        <v>0</v>
      </c>
      <c r="M746">
        <v>1.7327586568161104E-3</v>
      </c>
      <c r="N746">
        <v>0.14914504689164032</v>
      </c>
      <c r="O746">
        <v>2.1427821300130361E-2</v>
      </c>
      <c r="P746">
        <v>2.8235455334524869E-2</v>
      </c>
      <c r="Q746">
        <v>5.5038682996018081E-3</v>
      </c>
      <c r="R746">
        <v>1.7097564982547031E-3</v>
      </c>
      <c r="S746">
        <v>0.2664114452055994</v>
      </c>
      <c r="T746">
        <v>1.3717201456426664</v>
      </c>
      <c r="U746">
        <v>0.21555660797965781</v>
      </c>
      <c r="V746">
        <v>0.2443019150770768</v>
      </c>
      <c r="W746">
        <v>9.9064338339303906E-2</v>
      </c>
      <c r="X746">
        <v>1.5921708805720795E-2</v>
      </c>
      <c r="Y746">
        <v>4.6533935671711282E-3</v>
      </c>
    </row>
    <row r="747" spans="1:25">
      <c r="A747" s="1010"/>
      <c r="B747" s="1351">
        <v>497</v>
      </c>
      <c r="C747" s="1014">
        <v>0.98097374089167633</v>
      </c>
      <c r="D747" s="1014">
        <v>1.0356236394523544</v>
      </c>
      <c r="E747" s="1014">
        <v>0.97852153011319576</v>
      </c>
      <c r="F747" s="1014">
        <v>1.037679438174784</v>
      </c>
      <c r="G747" s="1014">
        <v>0.98797920167857167</v>
      </c>
      <c r="H747" s="1014">
        <v>0.9940779973116175</v>
      </c>
      <c r="I747" s="1014">
        <v>1.0025474828254128</v>
      </c>
      <c r="K747">
        <v>2.4637985181378208</v>
      </c>
      <c r="L747">
        <v>0</v>
      </c>
      <c r="M747">
        <v>1.7260871555285517E-3</v>
      </c>
      <c r="N747">
        <v>0.14719957251273105</v>
      </c>
      <c r="O747">
        <v>2.1214113623327251E-2</v>
      </c>
      <c r="P747">
        <v>2.8769713631983322E-2</v>
      </c>
      <c r="Q747">
        <v>5.4320369187127676E-3</v>
      </c>
      <c r="R747">
        <v>1.703167479324078E-3</v>
      </c>
      <c r="S747">
        <v>0.2590487719803205</v>
      </c>
      <c r="T747">
        <v>1.4228401856912101</v>
      </c>
      <c r="U747">
        <v>0.21600995366261261</v>
      </c>
      <c r="V747">
        <v>0.24476461312079301</v>
      </c>
      <c r="W747">
        <v>9.7953139740317122E-2</v>
      </c>
      <c r="X747">
        <v>1.5953876502307396E-2</v>
      </c>
      <c r="Y747">
        <v>4.6354604297114722E-3</v>
      </c>
    </row>
    <row r="748" spans="1:25">
      <c r="A748" s="1010"/>
      <c r="B748" s="1351">
        <v>498</v>
      </c>
      <c r="C748" s="1014">
        <v>0.99733561998546272</v>
      </c>
      <c r="D748" s="1014">
        <v>1.0279311073304445</v>
      </c>
      <c r="E748" s="1014">
        <v>0.99200905964295705</v>
      </c>
      <c r="F748" s="1014">
        <v>0.97507658843560319</v>
      </c>
      <c r="G748" s="1014">
        <v>0.99929278468724292</v>
      </c>
      <c r="H748" s="1014">
        <v>0.98150768052586024</v>
      </c>
      <c r="I748" s="1014">
        <v>1.0137522761260709</v>
      </c>
      <c r="K748">
        <v>2.3682652400601323</v>
      </c>
      <c r="L748">
        <v>0</v>
      </c>
      <c r="M748">
        <v>1.6328340723178166E-3</v>
      </c>
      <c r="N748">
        <v>0.14501974953351721</v>
      </c>
      <c r="O748">
        <v>2.090923715874262E-2</v>
      </c>
      <c r="P748">
        <v>2.7848507013870691E-2</v>
      </c>
      <c r="Q748">
        <v>5.4276550379077724E-3</v>
      </c>
      <c r="R748">
        <v>1.6108749706111359E-3</v>
      </c>
      <c r="S748">
        <v>0.25763377351751959</v>
      </c>
      <c r="T748">
        <v>1.3372842999093328</v>
      </c>
      <c r="U748">
        <v>0.2125123007813863</v>
      </c>
      <c r="V748">
        <v>0.24560573348800213</v>
      </c>
      <c r="W748">
        <v>9.5723095362909461E-2</v>
      </c>
      <c r="X748">
        <v>1.5938576713436667E-2</v>
      </c>
      <c r="Y748">
        <v>4.384270645212165E-3</v>
      </c>
    </row>
    <row r="749" spans="1:25">
      <c r="A749" s="1010"/>
      <c r="B749" s="1351">
        <v>499</v>
      </c>
      <c r="C749" s="1014">
        <v>1.0350944817712084</v>
      </c>
      <c r="D749" s="1014">
        <v>0.98623330944525833</v>
      </c>
      <c r="E749" s="1014">
        <v>1.0015107602620408</v>
      </c>
      <c r="F749" s="1014">
        <v>0.97308329579431851</v>
      </c>
      <c r="G749" s="1014">
        <v>1.0373064505362337</v>
      </c>
      <c r="H749" s="1014">
        <v>1.0121233022770564</v>
      </c>
      <c r="I749" s="1014">
        <v>0.96799332908375146</v>
      </c>
      <c r="K749">
        <v>2.3507628863845675</v>
      </c>
      <c r="L749">
        <v>0</v>
      </c>
      <c r="M749">
        <v>1.605255944742857E-3</v>
      </c>
      <c r="N749">
        <v>0.14678394274676262</v>
      </c>
      <c r="O749">
        <v>2.0336983255731272E-2</v>
      </c>
      <c r="P749">
        <v>2.7784751238230074E-2</v>
      </c>
      <c r="Q749">
        <v>5.3298617478680773E-3</v>
      </c>
      <c r="R749">
        <v>1.5843207463181075E-3</v>
      </c>
      <c r="S749">
        <v>0.24452191650737812</v>
      </c>
      <c r="T749">
        <v>1.3347504095528173</v>
      </c>
      <c r="U749">
        <v>0.20479149818507103</v>
      </c>
      <c r="V749">
        <v>0.2497808131942913</v>
      </c>
      <c r="W749">
        <v>9.6340579429605888E-2</v>
      </c>
      <c r="X749">
        <v>1.6051066924951719E-2</v>
      </c>
      <c r="Y749">
        <v>4.3119988002842278E-3</v>
      </c>
    </row>
    <row r="750" spans="1:25">
      <c r="A750" s="1010"/>
      <c r="B750" s="1351">
        <v>500</v>
      </c>
      <c r="C750" s="1014">
        <v>0.95235210117771862</v>
      </c>
      <c r="D750" s="1014">
        <v>0.98672758228049662</v>
      </c>
      <c r="E750" s="1014">
        <v>0.98760324046854209</v>
      </c>
      <c r="F750" s="1014">
        <v>1.0056939688705193</v>
      </c>
      <c r="G750" s="1014">
        <v>0.96711635141392682</v>
      </c>
      <c r="H750" s="1014">
        <v>1.0159552853553029</v>
      </c>
      <c r="I750" s="1014">
        <v>0.98278745714427451</v>
      </c>
      <c r="K750">
        <v>2.4550380888728585</v>
      </c>
      <c r="L750">
        <v>0</v>
      </c>
      <c r="M750">
        <v>1.8023458023082612E-3</v>
      </c>
      <c r="N750">
        <v>0.15802969767026948</v>
      </c>
      <c r="O750">
        <v>2.2091755240140724E-2</v>
      </c>
      <c r="P750">
        <v>2.8591095571975939E-2</v>
      </c>
      <c r="Q750">
        <v>5.7091314345362951E-3</v>
      </c>
      <c r="R750">
        <v>1.77892888384334E-3</v>
      </c>
      <c r="S750">
        <v>0.269979208330555</v>
      </c>
      <c r="T750">
        <v>1.379179359714338</v>
      </c>
      <c r="U750">
        <v>0.222534345484319</v>
      </c>
      <c r="V750">
        <v>0.2430793356909573</v>
      </c>
      <c r="W750">
        <v>0.10458628231659022</v>
      </c>
      <c r="X750">
        <v>1.6439636339566063E-2</v>
      </c>
      <c r="Y750">
        <v>4.8416579980726168E-3</v>
      </c>
    </row>
    <row r="751" spans="1:25">
      <c r="A751" s="1010"/>
      <c r="B751" s="1351">
        <v>501</v>
      </c>
      <c r="C751" s="1014">
        <v>1.0064326622969648</v>
      </c>
      <c r="D751" s="1014">
        <v>1.0143118378294929</v>
      </c>
      <c r="E751" s="1014">
        <v>0.97822025034551885</v>
      </c>
      <c r="F751" s="1014">
        <v>0.99837186808094391</v>
      </c>
      <c r="G751" s="1014">
        <v>0.98041736498991261</v>
      </c>
      <c r="H751" s="1014">
        <v>0.98121008207663452</v>
      </c>
      <c r="I751" s="1014">
        <v>0.99675160897061843</v>
      </c>
      <c r="K751">
        <v>2.384642009969463</v>
      </c>
      <c r="L751">
        <v>0</v>
      </c>
      <c r="M751">
        <v>1.6692989088883377E-3</v>
      </c>
      <c r="N751">
        <v>0.14220188348691454</v>
      </c>
      <c r="O751">
        <v>2.0772086627170932E-2</v>
      </c>
      <c r="P751">
        <v>2.7840211116902529E-2</v>
      </c>
      <c r="Q751">
        <v>5.3172225400845308E-3</v>
      </c>
      <c r="R751">
        <v>1.64684260245649E-3</v>
      </c>
      <c r="S751">
        <v>0.2525677030061651</v>
      </c>
      <c r="T751">
        <v>1.3689361486740312</v>
      </c>
      <c r="U751">
        <v>0.21054470308332593</v>
      </c>
      <c r="V751">
        <v>0.24186518175736377</v>
      </c>
      <c r="W751">
        <v>9.4644693696798843E-2</v>
      </c>
      <c r="X751">
        <v>1.5492469604765599E-2</v>
      </c>
      <c r="Y751">
        <v>4.4821626823685684E-3</v>
      </c>
    </row>
    <row r="752" spans="1:25">
      <c r="A752" s="1010"/>
      <c r="B752" s="1351">
        <v>502</v>
      </c>
      <c r="C752" s="1014">
        <v>1.0002105965840371</v>
      </c>
      <c r="D752" s="1014">
        <v>0.95186091408906659</v>
      </c>
      <c r="E752" s="1014">
        <v>1.0259561929900411</v>
      </c>
      <c r="F752" s="1014">
        <v>1.0040758013621038</v>
      </c>
      <c r="G752" s="1014">
        <v>0.99126122577723885</v>
      </c>
      <c r="H752" s="1014">
        <v>0.97386693952353398</v>
      </c>
      <c r="I752" s="1014">
        <v>1.016463107646804</v>
      </c>
      <c r="K752">
        <v>2.4270197715852277</v>
      </c>
      <c r="L752">
        <v>0</v>
      </c>
      <c r="M752">
        <v>1.5311581807552642E-3</v>
      </c>
      <c r="N752">
        <v>0.15065074970592451</v>
      </c>
      <c r="O752">
        <v>2.1227592577230236E-2</v>
      </c>
      <c r="P752">
        <v>2.9225242848261369E-2</v>
      </c>
      <c r="Q752">
        <v>5.7006072711177271E-3</v>
      </c>
      <c r="R752">
        <v>1.5104049050984557E-3</v>
      </c>
      <c r="S752">
        <v>0.26737514524558653</v>
      </c>
      <c r="T752">
        <v>1.3777942458843293</v>
      </c>
      <c r="U752">
        <v>0.21201763555076478</v>
      </c>
      <c r="V752">
        <v>0.24393496656776206</v>
      </c>
      <c r="W752">
        <v>9.7467528956359212E-2</v>
      </c>
      <c r="X752">
        <v>1.7535986006713914E-2</v>
      </c>
      <c r="Y752">
        <v>4.1108242468348459E-3</v>
      </c>
    </row>
    <row r="753" spans="1:25">
      <c r="A753" s="1010"/>
      <c r="B753" s="1351">
        <v>503</v>
      </c>
      <c r="C753" s="1014">
        <v>1.001074651147059</v>
      </c>
      <c r="D753" s="1014">
        <v>0.96422511133816746</v>
      </c>
      <c r="E753" s="1014">
        <v>0.98570014920663274</v>
      </c>
      <c r="F753" s="1014">
        <v>1.016838575543368</v>
      </c>
      <c r="G753" s="1014">
        <v>1.0037208951635475</v>
      </c>
      <c r="H753" s="1014">
        <v>0.98745216822162007</v>
      </c>
      <c r="I753" s="1014">
        <v>0.96111610108147116</v>
      </c>
      <c r="K753">
        <v>2.4231291329878641</v>
      </c>
      <c r="L753">
        <v>0</v>
      </c>
      <c r="M753">
        <v>1.6816114361753035E-3</v>
      </c>
      <c r="N753">
        <v>0.14654186057731206</v>
      </c>
      <c r="O753">
        <v>2.1122209780681991E-2</v>
      </c>
      <c r="P753">
        <v>2.8404744967378062E-2</v>
      </c>
      <c r="Q753">
        <v>5.4480641893144043E-3</v>
      </c>
      <c r="R753">
        <v>1.6591324974830428E-3</v>
      </c>
      <c r="S753">
        <v>0.25174366556239691</v>
      </c>
      <c r="T753">
        <v>1.3944210087053366</v>
      </c>
      <c r="U753">
        <v>0.21169705964547678</v>
      </c>
      <c r="V753">
        <v>0.24615145052949533</v>
      </c>
      <c r="W753">
        <v>9.709439418368529E-2</v>
      </c>
      <c r="X753">
        <v>1.6011542060208776E-2</v>
      </c>
      <c r="Y753">
        <v>4.5156117252680393E-3</v>
      </c>
    </row>
    <row r="754" spans="1:25">
      <c r="A754" s="1010"/>
      <c r="B754" s="1351">
        <v>504</v>
      </c>
      <c r="C754" s="1014">
        <v>0.99025716941496544</v>
      </c>
      <c r="D754" s="1014">
        <v>0.99942226945954937</v>
      </c>
      <c r="E754" s="1014">
        <v>1.0143308522153165</v>
      </c>
      <c r="F754" s="1014">
        <v>0.99825609087503853</v>
      </c>
      <c r="G754" s="1014">
        <v>0.99875311458665594</v>
      </c>
      <c r="H754" s="1014">
        <v>1.0087891800253084</v>
      </c>
      <c r="I754" s="1014">
        <v>0.99381641915816021</v>
      </c>
      <c r="K754">
        <v>2.4219722901609915</v>
      </c>
      <c r="L754">
        <v>0</v>
      </c>
      <c r="M754">
        <v>1.6237187381933904E-3</v>
      </c>
      <c r="N754">
        <v>0.15432544019208952</v>
      </c>
      <c r="O754">
        <v>2.1204377305399966E-2</v>
      </c>
      <c r="P754">
        <v>2.8824715764972281E-2</v>
      </c>
      <c r="Q754">
        <v>5.628945327342455E-3</v>
      </c>
      <c r="R754">
        <v>1.6024727661574792E-3</v>
      </c>
      <c r="S754">
        <v>0.26049357467769563</v>
      </c>
      <c r="T754">
        <v>1.3695564392584496</v>
      </c>
      <c r="U754">
        <v>0.21410844781041014</v>
      </c>
      <c r="V754">
        <v>0.2458813168147306</v>
      </c>
      <c r="W754">
        <v>0.10052629835525807</v>
      </c>
      <c r="X754">
        <v>1.7082578012200721E-2</v>
      </c>
      <c r="Y754">
        <v>4.3614026144752661E-3</v>
      </c>
    </row>
    <row r="755" spans="1:25">
      <c r="A755" s="1010"/>
      <c r="B755" s="1351">
        <v>505</v>
      </c>
      <c r="C755" s="1014">
        <v>1.0136374647528594</v>
      </c>
      <c r="D755" s="1014">
        <v>0.97477410528184527</v>
      </c>
      <c r="E755" s="1014">
        <v>0.9962208092539161</v>
      </c>
      <c r="F755" s="1014">
        <v>1.0088449072686911</v>
      </c>
      <c r="G755" s="1014">
        <v>0.98327603487125181</v>
      </c>
      <c r="H755" s="1014">
        <v>1.0299157787955708</v>
      </c>
      <c r="I755" s="1014">
        <v>0.99550906428668162</v>
      </c>
      <c r="K755">
        <v>2.4223674528596497</v>
      </c>
      <c r="L755">
        <v>0</v>
      </c>
      <c r="M755">
        <v>1.6907960644231184E-3</v>
      </c>
      <c r="N755">
        <v>0.15218894691113777</v>
      </c>
      <c r="O755">
        <v>2.0817466511349785E-2</v>
      </c>
      <c r="P755">
        <v>2.8499471111772902E-2</v>
      </c>
      <c r="Q755">
        <v>5.4268340440784763E-3</v>
      </c>
      <c r="R755">
        <v>1.6691262229173534E-3</v>
      </c>
      <c r="S755">
        <v>0.25975896850172575</v>
      </c>
      <c r="T755">
        <v>1.3836881868826454</v>
      </c>
      <c r="U755">
        <v>0.20910875731365888</v>
      </c>
      <c r="V755">
        <v>0.24184901832598449</v>
      </c>
      <c r="W755">
        <v>0.10020294554018651</v>
      </c>
      <c r="X755">
        <v>1.6305716207147363E-2</v>
      </c>
      <c r="Y755">
        <v>4.5428113514695279E-3</v>
      </c>
    </row>
    <row r="756" spans="1:25">
      <c r="A756" s="1010"/>
      <c r="B756" s="1351">
        <v>506</v>
      </c>
      <c r="C756" s="1014">
        <v>1.0389588796538765</v>
      </c>
      <c r="D756" s="1014">
        <v>1.0160246977579872</v>
      </c>
      <c r="E756" s="1014">
        <v>0.99979576013346416</v>
      </c>
      <c r="F756" s="1014">
        <v>1.0003439501305613</v>
      </c>
      <c r="G756" s="1014">
        <v>1.0323753279845329</v>
      </c>
      <c r="H756" s="1014">
        <v>0.99185247605479332</v>
      </c>
      <c r="I756" s="1014">
        <v>0.99883000562975044</v>
      </c>
      <c r="K756">
        <v>2.3802189656132846</v>
      </c>
      <c r="L756">
        <v>0</v>
      </c>
      <c r="M756">
        <v>1.5625765362811523E-3</v>
      </c>
      <c r="N756">
        <v>0.14210459494099661</v>
      </c>
      <c r="O756">
        <v>2.0128026541091491E-2</v>
      </c>
      <c r="P756">
        <v>2.8254172627317848E-2</v>
      </c>
      <c r="Q756">
        <v>5.2660163993546701E-3</v>
      </c>
      <c r="R756">
        <v>1.5417814639546543E-3</v>
      </c>
      <c r="S756">
        <v>0.24599809338180031</v>
      </c>
      <c r="T756">
        <v>1.3721059560313431</v>
      </c>
      <c r="U756">
        <v>0.20402413508861766</v>
      </c>
      <c r="V756">
        <v>0.24872101691221243</v>
      </c>
      <c r="W756">
        <v>9.3364392366852039E-2</v>
      </c>
      <c r="X756">
        <v>1.607713549926211E-2</v>
      </c>
      <c r="Y756">
        <v>4.19622089676157E-3</v>
      </c>
    </row>
    <row r="757" spans="1:25">
      <c r="A757" s="1010"/>
      <c r="B757" s="1351">
        <v>507</v>
      </c>
      <c r="C757" s="1014">
        <v>1.0026773232246999</v>
      </c>
      <c r="D757" s="1014">
        <v>1.0139535832434643</v>
      </c>
      <c r="E757" s="1014">
        <v>0.97244291115945425</v>
      </c>
      <c r="F757" s="1014">
        <v>1.0233057994862764</v>
      </c>
      <c r="G757" s="1014">
        <v>0.98916035975266015</v>
      </c>
      <c r="H757" s="1014">
        <v>1.0101815792942737</v>
      </c>
      <c r="I757" s="1014">
        <v>1.0037024566715964</v>
      </c>
      <c r="K757">
        <v>2.4341170023870657</v>
      </c>
      <c r="L757">
        <v>0</v>
      </c>
      <c r="M757">
        <v>1.7458750755069456E-3</v>
      </c>
      <c r="N757">
        <v>0.14620425809037665</v>
      </c>
      <c r="O757">
        <v>2.0847707816155376E-2</v>
      </c>
      <c r="P757">
        <v>2.8275853923150771E-2</v>
      </c>
      <c r="Q757">
        <v>5.3052539190328154E-3</v>
      </c>
      <c r="R757">
        <v>1.7230622048332726E-3</v>
      </c>
      <c r="S757">
        <v>0.25773752896804419</v>
      </c>
      <c r="T757">
        <v>1.4029975602419977</v>
      </c>
      <c r="U757">
        <v>0.21131364160538754</v>
      </c>
      <c r="V757">
        <v>0.24361220343949785</v>
      </c>
      <c r="W757">
        <v>9.7649853575991846E-2</v>
      </c>
      <c r="X757">
        <v>1.5506346363851746E-2</v>
      </c>
      <c r="Y757">
        <v>4.6896073142530005E-3</v>
      </c>
    </row>
    <row r="758" spans="1:25">
      <c r="A758" s="1010"/>
      <c r="B758" s="1351">
        <v>508</v>
      </c>
      <c r="C758" s="1014">
        <v>1.0096223013208894</v>
      </c>
      <c r="D758" s="1014">
        <v>0.97881846538514461</v>
      </c>
      <c r="E758" s="1014">
        <v>0.98167312292017783</v>
      </c>
      <c r="F758" s="1014">
        <v>1.0047990367439812</v>
      </c>
      <c r="G758" s="1014">
        <v>0.97075256161839574</v>
      </c>
      <c r="H758" s="1014">
        <v>0.99442567638238744</v>
      </c>
      <c r="I758" s="1014">
        <v>0.99971744112121252</v>
      </c>
      <c r="K758">
        <v>2.4022802936594516</v>
      </c>
      <c r="L758">
        <v>0</v>
      </c>
      <c r="M758">
        <v>1.6876124892269587E-3</v>
      </c>
      <c r="N758">
        <v>0.14529807212621532</v>
      </c>
      <c r="O758">
        <v>2.0871634897376163E-2</v>
      </c>
      <c r="P758">
        <v>2.8075289042385047E-2</v>
      </c>
      <c r="Q758">
        <v>5.3614885138582721E-3</v>
      </c>
      <c r="R758">
        <v>1.6652115297851886E-3</v>
      </c>
      <c r="S758">
        <v>0.25822992165387643</v>
      </c>
      <c r="T758">
        <v>1.3778236082560511</v>
      </c>
      <c r="U758">
        <v>0.209891194422968</v>
      </c>
      <c r="V758">
        <v>0.2400057356091716</v>
      </c>
      <c r="W758">
        <v>9.6503988520590889E-2</v>
      </c>
      <c r="X758">
        <v>1.5709604729156442E-2</v>
      </c>
      <c r="Y758">
        <v>4.5321568472420195E-3</v>
      </c>
    </row>
    <row r="759" spans="1:25">
      <c r="A759" s="1010"/>
      <c r="B759" s="1351">
        <v>509</v>
      </c>
      <c r="C759" s="1014">
        <v>0.99414256694400494</v>
      </c>
      <c r="D759" s="1014">
        <v>0.97853516495372073</v>
      </c>
      <c r="E759" s="1014">
        <v>1.0140628206584579</v>
      </c>
      <c r="F759" s="1014">
        <v>1.0201288027894575</v>
      </c>
      <c r="G759" s="1014">
        <v>1.0181253445605456</v>
      </c>
      <c r="H759" s="1014">
        <v>0.97718035663242853</v>
      </c>
      <c r="I759" s="1014">
        <v>1.0373403055204777</v>
      </c>
      <c r="K759">
        <v>2.4572672481601097</v>
      </c>
      <c r="L759">
        <v>0</v>
      </c>
      <c r="M759">
        <v>1.574868859875329E-3</v>
      </c>
      <c r="N759">
        <v>0.14949735441001233</v>
      </c>
      <c r="O759">
        <v>2.1219694642522581E-2</v>
      </c>
      <c r="P759">
        <v>2.9406885555698627E-2</v>
      </c>
      <c r="Q759">
        <v>5.6315059022109034E-3</v>
      </c>
      <c r="R759">
        <v>1.5535955098478387E-3</v>
      </c>
      <c r="S759">
        <v>0.27090004710128968</v>
      </c>
      <c r="T759">
        <v>1.3995587539755809</v>
      </c>
      <c r="U759">
        <v>0.21327072628278726</v>
      </c>
      <c r="V759">
        <v>0.24894286999445542</v>
      </c>
      <c r="W759">
        <v>9.7396665455173684E-2</v>
      </c>
      <c r="X759">
        <v>1.7235643355218138E-2</v>
      </c>
      <c r="Y759">
        <v>4.2283748351836367E-3</v>
      </c>
    </row>
    <row r="760" spans="1:25">
      <c r="A760" s="1010"/>
      <c r="B760" s="1351">
        <v>510</v>
      </c>
      <c r="C760" s="1014">
        <v>1.0063443927235693</v>
      </c>
      <c r="D760" s="1014">
        <v>0.96327966169992996</v>
      </c>
      <c r="E760" s="1014">
        <v>1.0296553178883114</v>
      </c>
      <c r="F760" s="1014">
        <v>0.99876515051939641</v>
      </c>
      <c r="G760" s="1014">
        <v>1.0184443843502089</v>
      </c>
      <c r="H760" s="1014">
        <v>1.0149045251258815</v>
      </c>
      <c r="I760" s="1014">
        <v>0.98917113321224082</v>
      </c>
      <c r="K760">
        <v>2.4248790798447497</v>
      </c>
      <c r="L760">
        <v>0</v>
      </c>
      <c r="M760">
        <v>1.5696563061142789E-3</v>
      </c>
      <c r="N760">
        <v>0.15625745496908483</v>
      </c>
      <c r="O760">
        <v>2.1045399861839266E-2</v>
      </c>
      <c r="P760">
        <v>2.9149420884984824E-2</v>
      </c>
      <c r="Q760">
        <v>5.6724127288772536E-3</v>
      </c>
      <c r="R760">
        <v>1.549241484063554E-3</v>
      </c>
      <c r="S760">
        <v>0.26053904773660119</v>
      </c>
      <c r="T760">
        <v>1.3705873032581535</v>
      </c>
      <c r="U760">
        <v>0.21073797886480988</v>
      </c>
      <c r="V760">
        <v>0.24818012472220372</v>
      </c>
      <c r="W760">
        <v>0.10087771992318523</v>
      </c>
      <c r="X760">
        <v>1.7636107104756236E-2</v>
      </c>
      <c r="Y760">
        <v>4.2165246123030296E-3</v>
      </c>
    </row>
    <row r="761" spans="1:25">
      <c r="A761" s="1010"/>
      <c r="B761" s="1351">
        <v>511</v>
      </c>
      <c r="C761" s="1014">
        <v>0.98725399893181309</v>
      </c>
      <c r="D761" s="1014">
        <v>0.99548852052326897</v>
      </c>
      <c r="E761" s="1014">
        <v>1.0497498447929434</v>
      </c>
      <c r="F761" s="1014">
        <v>1.0119129750339955</v>
      </c>
      <c r="G761" s="1014">
        <v>0.99199465727584446</v>
      </c>
      <c r="H761" s="1014">
        <v>0.99567299523198394</v>
      </c>
      <c r="I761" s="1014">
        <v>1.0310591814077061</v>
      </c>
      <c r="K761">
        <v>2.4581306499412485</v>
      </c>
      <c r="L761">
        <v>0</v>
      </c>
      <c r="M761">
        <v>1.4943776472809138E-3</v>
      </c>
      <c r="N761">
        <v>0.15800662742466981</v>
      </c>
      <c r="O761">
        <v>2.13112897908419E-2</v>
      </c>
      <c r="P761">
        <v>2.9990909968176847E-2</v>
      </c>
      <c r="Q761">
        <v>5.8587228668545571E-3</v>
      </c>
      <c r="R761">
        <v>1.4745664896782223E-3</v>
      </c>
      <c r="S761">
        <v>0.27075028578938293</v>
      </c>
      <c r="T761">
        <v>1.3890729646433062</v>
      </c>
      <c r="U761">
        <v>0.21488297530365891</v>
      </c>
      <c r="V761">
        <v>0.24479842955207373</v>
      </c>
      <c r="W761">
        <v>0.10083292206132574</v>
      </c>
      <c r="X761">
        <v>1.8632049804365374E-2</v>
      </c>
      <c r="Y761">
        <v>4.0132838941914382E-3</v>
      </c>
    </row>
    <row r="762" spans="1:25">
      <c r="A762" s="1010"/>
      <c r="B762" s="1351">
        <v>512</v>
      </c>
      <c r="C762" s="1014">
        <v>0.99262917302839204</v>
      </c>
      <c r="D762" s="1014">
        <v>0.99638181929779646</v>
      </c>
      <c r="E762" s="1014">
        <v>1.0141555266159967</v>
      </c>
      <c r="F762" s="1014">
        <v>0.9658317652596321</v>
      </c>
      <c r="G762" s="1014">
        <v>1.0205857010634298</v>
      </c>
      <c r="H762" s="1014">
        <v>1.0106376281119702</v>
      </c>
      <c r="I762" s="1014">
        <v>0.99280696484208719</v>
      </c>
      <c r="K762">
        <v>2.379375917769877</v>
      </c>
      <c r="L762">
        <v>0</v>
      </c>
      <c r="M762">
        <v>1.6244868921872721E-3</v>
      </c>
      <c r="N762">
        <v>0.15432051379868622</v>
      </c>
      <c r="O762">
        <v>2.1167773595227646E-2</v>
      </c>
      <c r="P762">
        <v>2.8245142233890515E-2</v>
      </c>
      <c r="Q762">
        <v>5.6182460020385199E-3</v>
      </c>
      <c r="R762">
        <v>1.6032697461349794E-3</v>
      </c>
      <c r="S762">
        <v>0.26015916289731639</v>
      </c>
      <c r="T762">
        <v>1.3250682456022735</v>
      </c>
      <c r="U762">
        <v>0.21359620553218267</v>
      </c>
      <c r="V762">
        <v>0.24945823703670358</v>
      </c>
      <c r="W762">
        <v>0.10053344781781033</v>
      </c>
      <c r="X762">
        <v>1.6866588668551934E-2</v>
      </c>
      <c r="Y762">
        <v>4.3635717312496426E-3</v>
      </c>
    </row>
    <row r="763" spans="1:25">
      <c r="A763" s="1010"/>
      <c r="B763" s="1351">
        <v>513</v>
      </c>
      <c r="C763" s="1014">
        <v>0.99649235088692689</v>
      </c>
      <c r="D763" s="1014">
        <v>0.98546401738716827</v>
      </c>
      <c r="E763" s="1014">
        <v>0.97999418057180454</v>
      </c>
      <c r="F763" s="1014">
        <v>0.97196457075985199</v>
      </c>
      <c r="G763" s="1014">
        <v>0.98360760904587785</v>
      </c>
      <c r="H763" s="1014">
        <v>0.99503119647062321</v>
      </c>
      <c r="I763" s="1014">
        <v>0.98714625603986794</v>
      </c>
      <c r="K763">
        <v>2.3645608839508743</v>
      </c>
      <c r="L763">
        <v>0</v>
      </c>
      <c r="M763">
        <v>1.714286896757932E-3</v>
      </c>
      <c r="N763">
        <v>0.14684803548518616</v>
      </c>
      <c r="O763">
        <v>2.1114068980098034E-2</v>
      </c>
      <c r="P763">
        <v>2.7501709896007646E-2</v>
      </c>
      <c r="Q763">
        <v>5.4145214487574976E-3</v>
      </c>
      <c r="R763">
        <v>1.6915457151235236E-3</v>
      </c>
      <c r="S763">
        <v>0.25750108351491091</v>
      </c>
      <c r="T763">
        <v>1.3327644225905264</v>
      </c>
      <c r="U763">
        <v>0.21265101452426957</v>
      </c>
      <c r="V763">
        <v>0.24302217376590626</v>
      </c>
      <c r="W763">
        <v>9.7632304950595522E-2</v>
      </c>
      <c r="X763">
        <v>1.5530460157581489E-2</v>
      </c>
      <c r="Y763">
        <v>4.6038298186711043E-3</v>
      </c>
    </row>
    <row r="764" spans="1:25">
      <c r="A764" s="1010"/>
      <c r="B764" s="1351">
        <v>514</v>
      </c>
      <c r="C764" s="1014">
        <v>0.97162564663820794</v>
      </c>
      <c r="D764" s="1014">
        <v>1.0344020054707765</v>
      </c>
      <c r="E764" s="1014">
        <v>0.98269888620539725</v>
      </c>
      <c r="F764" s="1014">
        <v>0.97395129863222785</v>
      </c>
      <c r="G764" s="1014">
        <v>0.98600233186544639</v>
      </c>
      <c r="H764" s="1014">
        <v>0.99941089776009084</v>
      </c>
      <c r="I764" s="1014">
        <v>1.0120709214297148</v>
      </c>
      <c r="K764">
        <v>2.3882009381700078</v>
      </c>
      <c r="L764">
        <v>0</v>
      </c>
      <c r="M764">
        <v>1.7374238478236326E-3</v>
      </c>
      <c r="N764">
        <v>0.15006164577046485</v>
      </c>
      <c r="O764">
        <v>2.1426602200323774E-2</v>
      </c>
      <c r="P764">
        <v>2.7792773972477553E-2</v>
      </c>
      <c r="Q764">
        <v>5.5097825031669399E-3</v>
      </c>
      <c r="R764">
        <v>1.7144767421311692E-3</v>
      </c>
      <c r="S764">
        <v>0.26468402444271349</v>
      </c>
      <c r="T764">
        <v>1.3355453928748688</v>
      </c>
      <c r="U764">
        <v>0.21810285449120642</v>
      </c>
      <c r="V764">
        <v>0.24502367955125007</v>
      </c>
      <c r="W764">
        <v>9.9606249710139066E-2</v>
      </c>
      <c r="X764">
        <v>1.5804639244114401E-2</v>
      </c>
      <c r="Y764">
        <v>4.6662405149748929E-3</v>
      </c>
    </row>
    <row r="765" spans="1:25">
      <c r="A765" s="1010"/>
      <c r="B765" s="1351">
        <v>515</v>
      </c>
      <c r="C765" s="1014">
        <v>0.96658372223910649</v>
      </c>
      <c r="D765" s="1014">
        <v>0.99079523820197724</v>
      </c>
      <c r="E765" s="1014">
        <v>0.99767615470838222</v>
      </c>
      <c r="F765" s="1014">
        <v>1.0238545442559686</v>
      </c>
      <c r="G765" s="1014">
        <v>1.0189730907868999</v>
      </c>
      <c r="H765" s="1014">
        <v>0.97323894345117978</v>
      </c>
      <c r="I765" s="1014">
        <v>1.0149847984316867</v>
      </c>
      <c r="K765">
        <v>2.4721742721605642</v>
      </c>
      <c r="L765">
        <v>0</v>
      </c>
      <c r="M765">
        <v>1.6645013351987287E-3</v>
      </c>
      <c r="N765">
        <v>0.15036873289106545</v>
      </c>
      <c r="O765">
        <v>2.1753715718486565E-2</v>
      </c>
      <c r="P765">
        <v>2.9219087962644025E-2</v>
      </c>
      <c r="Q765">
        <v>5.67921762910542E-3</v>
      </c>
      <c r="R765">
        <v>1.6419261725658261E-3</v>
      </c>
      <c r="S765">
        <v>0.27041751455716467</v>
      </c>
      <c r="T765">
        <v>1.4043069655574616</v>
      </c>
      <c r="U765">
        <v>0.21929341252864556</v>
      </c>
      <c r="V765">
        <v>0.25093668858884616</v>
      </c>
      <c r="W765">
        <v>9.8918689686893768E-2</v>
      </c>
      <c r="X765">
        <v>1.6834040421974134E-2</v>
      </c>
      <c r="Y765">
        <v>4.4687817809068598E-3</v>
      </c>
    </row>
    <row r="766" spans="1:25">
      <c r="A766" s="1010"/>
      <c r="B766" s="1351">
        <v>516</v>
      </c>
      <c r="C766" s="1014">
        <v>0.98333400285592787</v>
      </c>
      <c r="D766" s="1014">
        <v>1.0062029203866405</v>
      </c>
      <c r="E766" s="1014">
        <v>1.0194902052556429</v>
      </c>
      <c r="F766" s="1014">
        <v>0.99983243341596706</v>
      </c>
      <c r="G766" s="1014">
        <v>1.0277224981056592</v>
      </c>
      <c r="H766" s="1014">
        <v>0.99930677765893894</v>
      </c>
      <c r="I766" s="1014">
        <v>0.98430104147571174</v>
      </c>
      <c r="K766">
        <v>2.4293057378810925</v>
      </c>
      <c r="L766">
        <v>0</v>
      </c>
      <c r="M766">
        <v>1.6001113200635405E-3</v>
      </c>
      <c r="N766">
        <v>0.15444841417000046</v>
      </c>
      <c r="O766">
        <v>2.1325411917945493E-2</v>
      </c>
      <c r="P766">
        <v>2.9028929497881457E-2</v>
      </c>
      <c r="Q766">
        <v>5.6902361045616081E-3</v>
      </c>
      <c r="R766">
        <v>1.5789755739684236E-3</v>
      </c>
      <c r="S766">
        <v>0.25817513991190028</v>
      </c>
      <c r="T766">
        <v>1.3718310425676963</v>
      </c>
      <c r="U766">
        <v>0.21563386037060847</v>
      </c>
      <c r="V766">
        <v>0.25125143033887903</v>
      </c>
      <c r="W766">
        <v>0.10030244362504054</v>
      </c>
      <c r="X766">
        <v>1.7342514119491042E-2</v>
      </c>
      <c r="Y766">
        <v>4.2974510031839807E-3</v>
      </c>
    </row>
    <row r="767" spans="1:25">
      <c r="A767" s="1010"/>
      <c r="B767" s="1351">
        <v>517</v>
      </c>
      <c r="C767" s="1014">
        <v>1.0101483328082481</v>
      </c>
      <c r="D767" s="1014">
        <v>1.0228564210330577</v>
      </c>
      <c r="E767" s="1014">
        <v>1.0380455695193262</v>
      </c>
      <c r="F767" s="1014">
        <v>1.0044736025795122</v>
      </c>
      <c r="G767" s="1014">
        <v>0.9985024746022072</v>
      </c>
      <c r="H767" s="1014">
        <v>0.95583732491279572</v>
      </c>
      <c r="I767" s="1014">
        <v>1.0282137731113479</v>
      </c>
      <c r="K767">
        <v>2.4063680939120724</v>
      </c>
      <c r="L767">
        <v>0</v>
      </c>
      <c r="M767">
        <v>1.4282158617034402E-3</v>
      </c>
      <c r="N767">
        <v>0.14569939833594692</v>
      </c>
      <c r="O767">
        <v>2.0696678703028087E-2</v>
      </c>
      <c r="P767">
        <v>2.9324673418985335E-2</v>
      </c>
      <c r="Q767">
        <v>5.6247904346854892E-3</v>
      </c>
      <c r="R767">
        <v>1.4084927204553704E-3</v>
      </c>
      <c r="S767">
        <v>0.25679599589650387</v>
      </c>
      <c r="T767">
        <v>1.3786043810071653</v>
      </c>
      <c r="U767">
        <v>0.20997293358549748</v>
      </c>
      <c r="V767">
        <v>0.24451480007450005</v>
      </c>
      <c r="W767">
        <v>9.3605955880192174E-2</v>
      </c>
      <c r="X767">
        <v>1.7714756841236013E-2</v>
      </c>
      <c r="Y767">
        <v>3.8334528755790058E-3</v>
      </c>
    </row>
    <row r="768" spans="1:25">
      <c r="A768" s="1010"/>
      <c r="B768" s="1351">
        <v>518</v>
      </c>
      <c r="C768" s="1014">
        <v>0.98328371705271522</v>
      </c>
      <c r="D768" s="1014">
        <v>0.98765001704066724</v>
      </c>
      <c r="E768" s="1014">
        <v>1.018535210645926</v>
      </c>
      <c r="F768" s="1014">
        <v>0.99837654320256397</v>
      </c>
      <c r="G768" s="1014">
        <v>0.99986551482004027</v>
      </c>
      <c r="H768" s="1014">
        <v>1.0009025053499832</v>
      </c>
      <c r="I768" s="1014">
        <v>1.0191772358181339</v>
      </c>
      <c r="K768">
        <v>2.4358549808827337</v>
      </c>
      <c r="L768">
        <v>0</v>
      </c>
      <c r="M768">
        <v>1.6125245087585242E-3</v>
      </c>
      <c r="N768">
        <v>0.15520208443115471</v>
      </c>
      <c r="O768">
        <v>2.1413351249865098E-2</v>
      </c>
      <c r="P768">
        <v>2.9078416330699294E-2</v>
      </c>
      <c r="Q768">
        <v>5.7082758873925341E-3</v>
      </c>
      <c r="R768">
        <v>1.5912587557098427E-3</v>
      </c>
      <c r="S768">
        <v>0.26997526192987475</v>
      </c>
      <c r="T768">
        <v>1.3698127738637238</v>
      </c>
      <c r="U768">
        <v>0.21564155849144429</v>
      </c>
      <c r="V768">
        <v>0.24650342727497321</v>
      </c>
      <c r="W768">
        <v>0.10084826907283312</v>
      </c>
      <c r="X768">
        <v>1.7361946329087045E-2</v>
      </c>
      <c r="Y768">
        <v>4.3308817747343496E-3</v>
      </c>
    </row>
    <row r="769" spans="1:25">
      <c r="A769" s="1010"/>
      <c r="B769" s="1351">
        <v>519</v>
      </c>
      <c r="C769" s="1014">
        <v>1.0201482115886655</v>
      </c>
      <c r="D769" s="1014">
        <v>1.024247144899723</v>
      </c>
      <c r="E769" s="1014">
        <v>1.0373181815797612</v>
      </c>
      <c r="F769" s="1014">
        <v>1.0243795902105686</v>
      </c>
      <c r="G769" s="1014">
        <v>0.98519005971772788</v>
      </c>
      <c r="H769" s="1014">
        <v>0.99658595004999118</v>
      </c>
      <c r="I769" s="1014">
        <v>0.98158578096788285</v>
      </c>
      <c r="K769">
        <v>2.4255784425808362</v>
      </c>
      <c r="L769">
        <v>0</v>
      </c>
      <c r="M769">
        <v>1.4763036776331521E-3</v>
      </c>
      <c r="N769">
        <v>0.15036142267966346</v>
      </c>
      <c r="O769">
        <v>2.0487203573646754E-2</v>
      </c>
      <c r="P769">
        <v>2.9470167253474545E-2</v>
      </c>
      <c r="Q769">
        <v>5.5638748812498135E-3</v>
      </c>
      <c r="R769">
        <v>1.4567500581326054E-3</v>
      </c>
      <c r="S769">
        <v>0.2458981704490443</v>
      </c>
      <c r="T769">
        <v>1.4059084100756318</v>
      </c>
      <c r="U769">
        <v>0.20791224845668918</v>
      </c>
      <c r="V769">
        <v>0.24164044905816329</v>
      </c>
      <c r="W769">
        <v>9.6641669068761912E-2</v>
      </c>
      <c r="X769">
        <v>1.7749587263299144E-2</v>
      </c>
      <c r="Y769">
        <v>3.9647934407093504E-3</v>
      </c>
    </row>
    <row r="770" spans="1:25">
      <c r="A770" s="1010"/>
      <c r="B770" s="1351">
        <v>520</v>
      </c>
      <c r="C770" s="1014">
        <v>1.0139696423676618</v>
      </c>
      <c r="D770" s="1014">
        <v>1.0286939063553027</v>
      </c>
      <c r="E770" s="1014">
        <v>1.0077285735139545</v>
      </c>
      <c r="F770" s="1014">
        <v>0.99904263790001269</v>
      </c>
      <c r="G770" s="1014">
        <v>1.0010597670311672</v>
      </c>
      <c r="H770" s="1014">
        <v>1.0303437651016727</v>
      </c>
      <c r="I770" s="1014">
        <v>1.0115301450232592</v>
      </c>
      <c r="K770">
        <v>2.4084263654720557</v>
      </c>
      <c r="L770">
        <v>0</v>
      </c>
      <c r="M770">
        <v>1.6316057998527252E-3</v>
      </c>
      <c r="N770">
        <v>0.15205705756874791</v>
      </c>
      <c r="O770">
        <v>2.0573093063431743E-2</v>
      </c>
      <c r="P770">
        <v>2.8566015345643677E-2</v>
      </c>
      <c r="Q770">
        <v>5.425458255909411E-3</v>
      </c>
      <c r="R770">
        <v>1.610703247905099E-3</v>
      </c>
      <c r="S770">
        <v>0.25700353898318584</v>
      </c>
      <c r="T770">
        <v>1.3704925696690651</v>
      </c>
      <c r="U770">
        <v>0.20907905922144834</v>
      </c>
      <c r="V770">
        <v>0.24482475611432736</v>
      </c>
      <c r="W770">
        <v>9.943474815145896E-2</v>
      </c>
      <c r="X770">
        <v>1.6607168378165962E-2</v>
      </c>
      <c r="Y770">
        <v>4.3838032726147072E-3</v>
      </c>
    </row>
    <row r="771" spans="1:25">
      <c r="A771" s="1010"/>
      <c r="B771" s="1351">
        <v>521</v>
      </c>
      <c r="C771" s="1014">
        <v>1.0095021962614981</v>
      </c>
      <c r="D771" s="1014">
        <v>1.0045730742264902</v>
      </c>
      <c r="E771" s="1014">
        <v>1.0242760992734143</v>
      </c>
      <c r="F771" s="1014">
        <v>1.0195942975266643</v>
      </c>
      <c r="G771" s="1014">
        <v>1.0260450129386003</v>
      </c>
      <c r="H771" s="1014">
        <v>0.99700217923193113</v>
      </c>
      <c r="I771" s="1014">
        <v>0.97910572495182513</v>
      </c>
      <c r="K771">
        <v>2.4342711886053827</v>
      </c>
      <c r="L771">
        <v>0</v>
      </c>
      <c r="M771">
        <v>1.540175790569989E-3</v>
      </c>
      <c r="N771">
        <v>0.15082022752101013</v>
      </c>
      <c r="O771">
        <v>2.0783180664040082E-2</v>
      </c>
      <c r="P771">
        <v>2.9293583759676865E-2</v>
      </c>
      <c r="Q771">
        <v>5.5719735672621618E-3</v>
      </c>
      <c r="R771">
        <v>1.5197847023576488E-3</v>
      </c>
      <c r="S771">
        <v>0.25020621008286559</v>
      </c>
      <c r="T771">
        <v>1.3990515169169413</v>
      </c>
      <c r="U771">
        <v>0.21006048495064689</v>
      </c>
      <c r="V771">
        <v>0.24930243402432672</v>
      </c>
      <c r="W771">
        <v>9.76727519883306E-2</v>
      </c>
      <c r="X771">
        <v>1.7392863255571281E-2</v>
      </c>
      <c r="Y771">
        <v>4.1363529629250342E-3</v>
      </c>
    </row>
    <row r="772" spans="1:25">
      <c r="A772" s="1010"/>
      <c r="B772" s="1351">
        <v>522</v>
      </c>
      <c r="C772" s="1014">
        <v>1.0025699748280907</v>
      </c>
      <c r="D772" s="1014">
        <v>1.0350711061069506</v>
      </c>
      <c r="E772" s="1014">
        <v>1.0247460442700482</v>
      </c>
      <c r="F772" s="1014">
        <v>1.0076428760556935</v>
      </c>
      <c r="G772" s="1014">
        <v>1.0288222047075533</v>
      </c>
      <c r="H772" s="1014">
        <v>0.97247348408622725</v>
      </c>
      <c r="I772" s="1014">
        <v>0.97333192737860319</v>
      </c>
      <c r="K772">
        <v>2.408254368994919</v>
      </c>
      <c r="L772">
        <v>0</v>
      </c>
      <c r="M772">
        <v>1.5012813314570139E-3</v>
      </c>
      <c r="N772">
        <v>0.14717020339329503</v>
      </c>
      <c r="O772">
        <v>2.0789955368648024E-2</v>
      </c>
      <c r="P772">
        <v>2.9032536677668409E-2</v>
      </c>
      <c r="Q772">
        <v>5.5763880535618258E-3</v>
      </c>
      <c r="R772">
        <v>1.4809038487119139E-3</v>
      </c>
      <c r="S772">
        <v>0.24473553744423249</v>
      </c>
      <c r="T772">
        <v>1.3826624866708728</v>
      </c>
      <c r="U772">
        <v>0.21151454620576376</v>
      </c>
      <c r="V772">
        <v>0.25020219771054625</v>
      </c>
      <c r="W772">
        <v>9.5282850110549086E-2</v>
      </c>
      <c r="X772">
        <v>1.7277512746151101E-2</v>
      </c>
      <c r="Y772">
        <v>4.0305320963713023E-3</v>
      </c>
    </row>
    <row r="773" spans="1:25">
      <c r="A773" s="1010"/>
      <c r="B773" s="1351">
        <v>523</v>
      </c>
      <c r="C773" s="1014">
        <v>0.98063434446622499</v>
      </c>
      <c r="D773" s="1014">
        <v>1.0021619763186596</v>
      </c>
      <c r="E773" s="1014">
        <v>0.98046789688868896</v>
      </c>
      <c r="F773" s="1014">
        <v>0.95393595568183098</v>
      </c>
      <c r="G773" s="1014">
        <v>0.99901597028342226</v>
      </c>
      <c r="H773" s="1014">
        <v>0.98734762684283339</v>
      </c>
      <c r="I773" s="1014">
        <v>0.99949326673442274</v>
      </c>
      <c r="K773">
        <v>2.3528763606977239</v>
      </c>
      <c r="L773">
        <v>0</v>
      </c>
      <c r="M773">
        <v>1.7204932228061436E-3</v>
      </c>
      <c r="N773">
        <v>0.14757562399274179</v>
      </c>
      <c r="O773">
        <v>2.137666360469773E-2</v>
      </c>
      <c r="P773">
        <v>2.7335738704422938E-2</v>
      </c>
      <c r="Q773">
        <v>5.4845013086540139E-3</v>
      </c>
      <c r="R773">
        <v>1.6974920967565506E-3</v>
      </c>
      <c r="S773">
        <v>0.26205089328846753</v>
      </c>
      <c r="T773">
        <v>1.3080531969987403</v>
      </c>
      <c r="U773">
        <v>0.21609147661174824</v>
      </c>
      <c r="V773">
        <v>0.24666544903976051</v>
      </c>
      <c r="W773">
        <v>9.808798803658135E-2</v>
      </c>
      <c r="X773">
        <v>1.5557816328704529E-2</v>
      </c>
      <c r="Y773">
        <v>4.6200139092520253E-3</v>
      </c>
    </row>
    <row r="774" spans="1:25">
      <c r="A774" s="1010"/>
      <c r="B774" s="1351">
        <v>524</v>
      </c>
      <c r="C774" s="1014">
        <v>0.98726724850995129</v>
      </c>
      <c r="D774" s="1014">
        <v>0.96885779352717183</v>
      </c>
      <c r="E774" s="1014">
        <v>0.98844570498597217</v>
      </c>
      <c r="F774" s="1014">
        <v>1.0182398957899146</v>
      </c>
      <c r="G774" s="1014">
        <v>0.97050871734539013</v>
      </c>
      <c r="H774" s="1014">
        <v>0.98051685382860365</v>
      </c>
      <c r="I774" s="1014">
        <v>0.98461058555284042</v>
      </c>
      <c r="K774">
        <v>2.4344547029012542</v>
      </c>
      <c r="L774">
        <v>0</v>
      </c>
      <c r="M774">
        <v>1.6817834426813472E-3</v>
      </c>
      <c r="N774">
        <v>0.14776458569439108</v>
      </c>
      <c r="O774">
        <v>2.1396896280382265E-2</v>
      </c>
      <c r="P774">
        <v>2.8581324674718973E-2</v>
      </c>
      <c r="Q774">
        <v>5.5342761043257046E-3</v>
      </c>
      <c r="R774">
        <v>1.6591431921748208E-3</v>
      </c>
      <c r="S774">
        <v>0.26030086587551254</v>
      </c>
      <c r="T774">
        <v>1.3964029857846092</v>
      </c>
      <c r="U774">
        <v>0.21466723025662054</v>
      </c>
      <c r="V774">
        <v>0.24133941011734814</v>
      </c>
      <c r="W774">
        <v>9.7743266999203757E-2</v>
      </c>
      <c r="X774">
        <v>1.6230860531951923E-2</v>
      </c>
      <c r="Y774">
        <v>4.5156408326935552E-3</v>
      </c>
    </row>
    <row r="775" spans="1:25">
      <c r="A775" s="1010"/>
      <c r="B775" s="1351">
        <v>525</v>
      </c>
      <c r="C775" s="1014">
        <v>1.0147238326029735</v>
      </c>
      <c r="D775" s="1014">
        <v>1.0309891153466848</v>
      </c>
      <c r="E775" s="1014">
        <v>1.0140904477118755</v>
      </c>
      <c r="F775" s="1014">
        <v>1.0104451704163073</v>
      </c>
      <c r="G775" s="1014">
        <v>0.96994845524774675</v>
      </c>
      <c r="H775" s="1014">
        <v>0.98101248024556909</v>
      </c>
      <c r="I775" s="1014">
        <v>0.98094685598389508</v>
      </c>
      <c r="K775">
        <v>2.3950726118789021</v>
      </c>
      <c r="L775">
        <v>0</v>
      </c>
      <c r="M775">
        <v>1.5311967038640017E-3</v>
      </c>
      <c r="N775">
        <v>0.14537158923028934</v>
      </c>
      <c r="O775">
        <v>2.0551864960175463E-2</v>
      </c>
      <c r="P775">
        <v>2.8673682159390902E-2</v>
      </c>
      <c r="Q775">
        <v>5.4544205268673906E-3</v>
      </c>
      <c r="R775">
        <v>1.5105940734673634E-3</v>
      </c>
      <c r="S775">
        <v>0.2447924733308684</v>
      </c>
      <c r="T775">
        <v>1.386273966031923</v>
      </c>
      <c r="U775">
        <v>0.20894512882110419</v>
      </c>
      <c r="V775">
        <v>0.23944552788246348</v>
      </c>
      <c r="W775">
        <v>9.4707215257149618E-2</v>
      </c>
      <c r="X775">
        <v>1.6766007208289309E-2</v>
      </c>
      <c r="Y775">
        <v>4.1113391007756763E-3</v>
      </c>
    </row>
    <row r="776" spans="1:25">
      <c r="A776" s="1010"/>
      <c r="B776" s="1351">
        <v>526</v>
      </c>
      <c r="C776" s="1014">
        <v>1.0092159353992221</v>
      </c>
      <c r="D776" s="1014">
        <v>0.95982778711213079</v>
      </c>
      <c r="E776" s="1014">
        <v>1.0158096314863532</v>
      </c>
      <c r="F776" s="1014">
        <v>0.99943820868303146</v>
      </c>
      <c r="G776" s="1014">
        <v>1.0081929208404268</v>
      </c>
      <c r="H776" s="1014">
        <v>1.0205014308661498</v>
      </c>
      <c r="I776" s="1014">
        <v>1.0129551660796376</v>
      </c>
      <c r="K776">
        <v>2.4269633053353989</v>
      </c>
      <c r="L776">
        <v>0</v>
      </c>
      <c r="M776">
        <v>1.6211190051789769E-3</v>
      </c>
      <c r="N776">
        <v>0.15479105309795063</v>
      </c>
      <c r="O776">
        <v>2.0992879947817764E-2</v>
      </c>
      <c r="P776">
        <v>2.8917617914333785E-2</v>
      </c>
      <c r="Q776">
        <v>5.5810219441134032E-3</v>
      </c>
      <c r="R776">
        <v>1.600150498721882E-3</v>
      </c>
      <c r="S776">
        <v>0.26689204261252514</v>
      </c>
      <c r="T776">
        <v>1.3712103054130611</v>
      </c>
      <c r="U776">
        <v>0.21009130411047161</v>
      </c>
      <c r="V776">
        <v>0.24630351880665646</v>
      </c>
      <c r="W776">
        <v>0.10074205957915615</v>
      </c>
      <c r="X776">
        <v>1.7107388247718413E-2</v>
      </c>
      <c r="Y776">
        <v>4.3550821680508256E-3</v>
      </c>
    </row>
    <row r="777" spans="1:25">
      <c r="A777" s="1010"/>
      <c r="B777" s="1351">
        <v>527</v>
      </c>
      <c r="C777" s="1014">
        <v>0.96299246873531474</v>
      </c>
      <c r="D777" s="1014">
        <v>1.0282678294456082</v>
      </c>
      <c r="E777" s="1014">
        <v>0.96094167372319572</v>
      </c>
      <c r="F777" s="1014">
        <v>1.0026098987629086</v>
      </c>
      <c r="G777" s="1014">
        <v>1.0297355501909435</v>
      </c>
      <c r="H777" s="1014">
        <v>0.99721340083635845</v>
      </c>
      <c r="I777" s="1014">
        <v>1.0020323554156856</v>
      </c>
      <c r="K777">
        <v>2.4353133799805025</v>
      </c>
      <c r="L777">
        <v>0</v>
      </c>
      <c r="M777">
        <v>1.831922159631883E-3</v>
      </c>
      <c r="N777">
        <v>0.14813283680730879</v>
      </c>
      <c r="O777">
        <v>2.163216285854392E-2</v>
      </c>
      <c r="P777">
        <v>2.798292771524832E-2</v>
      </c>
      <c r="Q777">
        <v>5.4404292305798843E-3</v>
      </c>
      <c r="R777">
        <v>1.807673645678684E-3</v>
      </c>
      <c r="S777">
        <v>0.26481576139023405</v>
      </c>
      <c r="T777">
        <v>1.3743749029391457</v>
      </c>
      <c r="U777">
        <v>0.21998126005696139</v>
      </c>
      <c r="V777">
        <v>0.2531537976782729</v>
      </c>
      <c r="W777">
        <v>9.9634788701060795E-2</v>
      </c>
      <c r="X777">
        <v>1.5268869353019994E-2</v>
      </c>
      <c r="Y777">
        <v>4.9198917640802305E-3</v>
      </c>
    </row>
    <row r="778" spans="1:25">
      <c r="A778" s="1010"/>
      <c r="B778" s="1351">
        <v>528</v>
      </c>
      <c r="C778" s="1014">
        <v>1.0242093335827629</v>
      </c>
      <c r="D778" s="1014">
        <v>0.9705258592730982</v>
      </c>
      <c r="E778" s="1014">
        <v>0.98431894899195638</v>
      </c>
      <c r="F778" s="1014">
        <v>1.0089085164844169</v>
      </c>
      <c r="G778" s="1014">
        <v>0.97304945114530006</v>
      </c>
      <c r="H778" s="1014">
        <v>1.0321687417902026</v>
      </c>
      <c r="I778" s="1014">
        <v>0.99988376812835855</v>
      </c>
      <c r="K778">
        <v>2.4117252489535916</v>
      </c>
      <c r="L778">
        <v>0</v>
      </c>
      <c r="M778">
        <v>1.7205094384339253E-3</v>
      </c>
      <c r="N778">
        <v>0.14939418145751335</v>
      </c>
      <c r="O778">
        <v>2.0614644253596062E-2</v>
      </c>
      <c r="P778">
        <v>2.8169998261868931E-2</v>
      </c>
      <c r="Q778">
        <v>5.3097090093381849E-3</v>
      </c>
      <c r="R778">
        <v>1.6985069108017912E-3</v>
      </c>
      <c r="S778">
        <v>0.25886474074583438</v>
      </c>
      <c r="T778">
        <v>1.3835162361581104</v>
      </c>
      <c r="U778">
        <v>0.20691068048467759</v>
      </c>
      <c r="V778">
        <v>0.23950891765552421</v>
      </c>
      <c r="W778">
        <v>9.9066519566532965E-2</v>
      </c>
      <c r="X778">
        <v>1.5768847989677301E-2</v>
      </c>
      <c r="Y778">
        <v>4.6227758985498092E-3</v>
      </c>
    </row>
    <row r="779" spans="1:25">
      <c r="A779" s="1010"/>
      <c r="B779" s="1351">
        <v>529</v>
      </c>
      <c r="C779" s="1014">
        <v>0.98218920133123333</v>
      </c>
      <c r="D779" s="1014">
        <v>0.99596851578420431</v>
      </c>
      <c r="E779" s="1014">
        <v>1.0197623085475871</v>
      </c>
      <c r="F779" s="1014">
        <v>0.98991145848410422</v>
      </c>
      <c r="G779" s="1014">
        <v>0.99408366175238749</v>
      </c>
      <c r="H779" s="1014">
        <v>0.97111361250880335</v>
      </c>
      <c r="I779" s="1014">
        <v>0.99273139681036093</v>
      </c>
      <c r="K779">
        <v>2.4049722585149635</v>
      </c>
      <c r="L779">
        <v>0</v>
      </c>
      <c r="M779">
        <v>1.5594025364700545E-3</v>
      </c>
      <c r="N779">
        <v>0.15058412833946563</v>
      </c>
      <c r="O779">
        <v>2.1398526494723187E-2</v>
      </c>
      <c r="P779">
        <v>2.8791115720770644E-2</v>
      </c>
      <c r="Q779">
        <v>5.711290255418491E-3</v>
      </c>
      <c r="R779">
        <v>1.5382065119697412E-3</v>
      </c>
      <c r="S779">
        <v>0.25960240730545964</v>
      </c>
      <c r="T779">
        <v>1.3582247084967827</v>
      </c>
      <c r="U779">
        <v>0.21588614462858957</v>
      </c>
      <c r="V779">
        <v>0.2455830432484121</v>
      </c>
      <c r="W779">
        <v>9.7777313786389444E-2</v>
      </c>
      <c r="X779">
        <v>1.7248285207510771E-2</v>
      </c>
      <c r="Y779">
        <v>4.1864910559412435E-3</v>
      </c>
    </row>
    <row r="780" spans="1:25">
      <c r="A780" s="1010"/>
      <c r="B780" s="1351">
        <v>530</v>
      </c>
      <c r="C780" s="1014">
        <v>1.0078757082514564</v>
      </c>
      <c r="D780" s="1014">
        <v>0.98442207586952502</v>
      </c>
      <c r="E780" s="1014">
        <v>0.96528419449617997</v>
      </c>
      <c r="F780" s="1014">
        <v>0.97358925904770555</v>
      </c>
      <c r="G780" s="1014">
        <v>1.0376356422256137</v>
      </c>
      <c r="H780" s="1014">
        <v>1.0163829420419823</v>
      </c>
      <c r="I780" s="1014">
        <v>0.98148353675470035</v>
      </c>
      <c r="K780">
        <v>2.3689804121662759</v>
      </c>
      <c r="L780">
        <v>0</v>
      </c>
      <c r="M780">
        <v>1.7851166224292887E-3</v>
      </c>
      <c r="N780">
        <v>0.14629654468624792</v>
      </c>
      <c r="O780">
        <v>2.0870780320005802E-2</v>
      </c>
      <c r="P780">
        <v>2.726701746647257E-2</v>
      </c>
      <c r="Q780">
        <v>5.2723824281555561E-3</v>
      </c>
      <c r="R780">
        <v>1.7619333123096552E-3</v>
      </c>
      <c r="S780">
        <v>0.25492262262789334</v>
      </c>
      <c r="T780">
        <v>1.3346842209748595</v>
      </c>
      <c r="U780">
        <v>0.21019957999160579</v>
      </c>
      <c r="V780">
        <v>0.25160388968325514</v>
      </c>
      <c r="W780">
        <v>9.8138539675910796E-2</v>
      </c>
      <c r="X780">
        <v>1.495261596704133E-2</v>
      </c>
      <c r="Y780">
        <v>4.7954016549465774E-3</v>
      </c>
    </row>
    <row r="781" spans="1:25">
      <c r="A781" s="1010"/>
      <c r="B781" s="1351">
        <v>531</v>
      </c>
      <c r="C781" s="1014">
        <v>0.99207181991284199</v>
      </c>
      <c r="D781" s="1014">
        <v>0.99724418378638868</v>
      </c>
      <c r="E781" s="1014">
        <v>0.99597846864216644</v>
      </c>
      <c r="F781" s="1014">
        <v>0.9928446619677006</v>
      </c>
      <c r="G781" s="1014">
        <v>1.0071892121040982</v>
      </c>
      <c r="H781" s="1014">
        <v>1.0168370764448269</v>
      </c>
      <c r="I781" s="1014">
        <v>1.014819827293576</v>
      </c>
      <c r="K781">
        <v>2.4182608295304453</v>
      </c>
      <c r="L781">
        <v>0</v>
      </c>
      <c r="M781">
        <v>1.6979353745167191E-3</v>
      </c>
      <c r="N781">
        <v>0.15269416711036896</v>
      </c>
      <c r="O781">
        <v>2.1163458068444857E-2</v>
      </c>
      <c r="P781">
        <v>2.842092715938465E-2</v>
      </c>
      <c r="Q781">
        <v>5.5156827317471941E-3</v>
      </c>
      <c r="R781">
        <v>1.6758941356303755E-3</v>
      </c>
      <c r="S781">
        <v>0.26634854412701797</v>
      </c>
      <c r="T781">
        <v>1.3617377403454365</v>
      </c>
      <c r="U781">
        <v>0.21365352638631641</v>
      </c>
      <c r="V781">
        <v>0.24727199551840409</v>
      </c>
      <c r="W781">
        <v>0.10055011457213886</v>
      </c>
      <c r="X781">
        <v>1.6365483371238547E-2</v>
      </c>
      <c r="Y781">
        <v>4.5612313788325485E-3</v>
      </c>
    </row>
    <row r="782" spans="1:25">
      <c r="A782" s="1010"/>
      <c r="B782" s="1351">
        <v>532</v>
      </c>
      <c r="C782" s="1014">
        <v>0.99418299219878814</v>
      </c>
      <c r="D782" s="1014">
        <v>0.96894232441586781</v>
      </c>
      <c r="E782" s="1014">
        <v>0.99555815973375894</v>
      </c>
      <c r="F782" s="1014">
        <v>0.98617359288788342</v>
      </c>
      <c r="G782" s="1014">
        <v>1.022682345102262</v>
      </c>
      <c r="H782" s="1014">
        <v>0.95908821831885371</v>
      </c>
      <c r="I782" s="1014">
        <v>0.99526857102156574</v>
      </c>
      <c r="K782">
        <v>2.3902361257911617</v>
      </c>
      <c r="L782">
        <v>0</v>
      </c>
      <c r="M782">
        <v>1.6096605571864716E-3</v>
      </c>
      <c r="N782">
        <v>0.14445742811559226</v>
      </c>
      <c r="O782">
        <v>2.1252422216298701E-2</v>
      </c>
      <c r="P782">
        <v>2.8222229376068511E-2</v>
      </c>
      <c r="Q782">
        <v>5.5365237428147626E-3</v>
      </c>
      <c r="R782">
        <v>1.587507076818999E-3</v>
      </c>
      <c r="S782">
        <v>0.25949809700767235</v>
      </c>
      <c r="T782">
        <v>1.3525790673117755</v>
      </c>
      <c r="U782">
        <v>0.21319838365733171</v>
      </c>
      <c r="V782">
        <v>0.24978608482017384</v>
      </c>
      <c r="W782">
        <v>9.5150013582425003E-2</v>
      </c>
      <c r="X782">
        <v>1.6257358499842736E-2</v>
      </c>
      <c r="Y782">
        <v>4.3206709415340872E-3</v>
      </c>
    </row>
    <row r="783" spans="1:25">
      <c r="A783" s="1010"/>
      <c r="B783" s="1351">
        <v>533</v>
      </c>
      <c r="C783" s="1014">
        <v>0.96761070152131956</v>
      </c>
      <c r="D783" s="1014">
        <v>1.0122036276662407</v>
      </c>
      <c r="E783" s="1014">
        <v>1.0091589287091425</v>
      </c>
      <c r="F783" s="1014">
        <v>1.0388484529004041</v>
      </c>
      <c r="G783" s="1014">
        <v>0.98951665319603321</v>
      </c>
      <c r="H783" s="1014">
        <v>0.97868461674555529</v>
      </c>
      <c r="I783" s="1014">
        <v>0.99328347681692308</v>
      </c>
      <c r="K783">
        <v>2.4819663637676785</v>
      </c>
      <c r="L783">
        <v>0</v>
      </c>
      <c r="M783">
        <v>1.625002138796422E-3</v>
      </c>
      <c r="N783">
        <v>0.15199289549548942</v>
      </c>
      <c r="O783">
        <v>2.1636527826674426E-2</v>
      </c>
      <c r="P783">
        <v>2.956799286801012E-2</v>
      </c>
      <c r="Q783">
        <v>5.7140746263360303E-3</v>
      </c>
      <c r="R783">
        <v>1.6030853262410381E-3</v>
      </c>
      <c r="S783">
        <v>0.26209631364599389</v>
      </c>
      <c r="T783">
        <v>1.4251306129959902</v>
      </c>
      <c r="U783">
        <v>0.21910125038868858</v>
      </c>
      <c r="V783">
        <v>0.24579750615247689</v>
      </c>
      <c r="W783">
        <v>9.9308890688145329E-2</v>
      </c>
      <c r="X783">
        <v>1.7279146091337207E-2</v>
      </c>
      <c r="Y783">
        <v>4.3630698010923355E-3</v>
      </c>
    </row>
    <row r="784" spans="1:25">
      <c r="A784" s="1010"/>
      <c r="B784" s="1351">
        <v>534</v>
      </c>
      <c r="C784" s="1014">
        <v>0.99171858388478507</v>
      </c>
      <c r="D784" s="1014">
        <v>0.9677491851950315</v>
      </c>
      <c r="E784" s="1014">
        <v>0.98497406116964592</v>
      </c>
      <c r="F784" s="1014">
        <v>0.98534796117927137</v>
      </c>
      <c r="G784" s="1014">
        <v>1.0011845818006502</v>
      </c>
      <c r="H784" s="1014">
        <v>0.98318292756642389</v>
      </c>
      <c r="I784" s="1014">
        <v>1.000551384464974</v>
      </c>
      <c r="K784">
        <v>2.394646099639449</v>
      </c>
      <c r="L784">
        <v>0</v>
      </c>
      <c r="M784">
        <v>1.6913206998889813E-3</v>
      </c>
      <c r="N784">
        <v>0.14705599602810412</v>
      </c>
      <c r="O784">
        <v>2.1303886894528674E-2</v>
      </c>
      <c r="P784">
        <v>2.7996433329493017E-2</v>
      </c>
      <c r="Q784">
        <v>5.4908825564008393E-3</v>
      </c>
      <c r="R784">
        <v>1.668613799545208E-3</v>
      </c>
      <c r="S784">
        <v>0.26368214283660718</v>
      </c>
      <c r="T784">
        <v>1.351221564345124</v>
      </c>
      <c r="U784">
        <v>0.21369175434206061</v>
      </c>
      <c r="V784">
        <v>0.24630865415926362</v>
      </c>
      <c r="W784">
        <v>9.7477592838615124E-2</v>
      </c>
      <c r="X784">
        <v>1.5898482505624183E-2</v>
      </c>
      <c r="Y784">
        <v>4.5414167039708681E-3</v>
      </c>
    </row>
    <row r="785" spans="1:25">
      <c r="A785" s="1010"/>
      <c r="B785" s="1351">
        <v>535</v>
      </c>
      <c r="C785" s="1014">
        <v>0.97889336937654758</v>
      </c>
      <c r="D785" s="1014">
        <v>0.97171286612731689</v>
      </c>
      <c r="E785" s="1014">
        <v>1.0141853349308922</v>
      </c>
      <c r="F785" s="1014">
        <v>0.98756231126661242</v>
      </c>
      <c r="G785" s="1014">
        <v>0.97944400274359611</v>
      </c>
      <c r="H785" s="1014">
        <v>1.0199133736140866</v>
      </c>
      <c r="I785" s="1014">
        <v>0.96734093687318645</v>
      </c>
      <c r="K785">
        <v>2.4157166985576404</v>
      </c>
      <c r="L785">
        <v>0</v>
      </c>
      <c r="M785">
        <v>1.6714912041023316E-3</v>
      </c>
      <c r="N785">
        <v>0.15881915537132091</v>
      </c>
      <c r="O785">
        <v>2.1583534459300412E-2</v>
      </c>
      <c r="P785">
        <v>2.8626326586394378E-2</v>
      </c>
      <c r="Q785">
        <v>5.7287655071152467E-3</v>
      </c>
      <c r="R785">
        <v>1.6498586884095016E-3</v>
      </c>
      <c r="S785">
        <v>0.26108282543715883</v>
      </c>
      <c r="T785">
        <v>1.3548820021643448</v>
      </c>
      <c r="U785">
        <v>0.21659348567086092</v>
      </c>
      <c r="V785">
        <v>0.24331730690450051</v>
      </c>
      <c r="W785">
        <v>0.10346231456267847</v>
      </c>
      <c r="X785">
        <v>1.7152242935578633E-2</v>
      </c>
      <c r="Y785">
        <v>4.4903714740801987E-3</v>
      </c>
    </row>
    <row r="786" spans="1:25">
      <c r="A786" s="1010"/>
      <c r="B786" s="1351">
        <v>536</v>
      </c>
      <c r="C786" s="1014">
        <v>1.0155390443313166</v>
      </c>
      <c r="D786" s="1014">
        <v>0.9934106564220887</v>
      </c>
      <c r="E786" s="1014">
        <v>0.9952414971809419</v>
      </c>
      <c r="F786" s="1014">
        <v>1.0325140724738393</v>
      </c>
      <c r="G786" s="1014">
        <v>1.0016929690772174</v>
      </c>
      <c r="H786" s="1014">
        <v>0.96773685874223658</v>
      </c>
      <c r="I786" s="1014">
        <v>1.0061310729496407</v>
      </c>
      <c r="K786">
        <v>2.4349069511833732</v>
      </c>
      <c r="L786">
        <v>0</v>
      </c>
      <c r="M786">
        <v>1.5823589281264505E-3</v>
      </c>
      <c r="N786">
        <v>0.14188912318790259</v>
      </c>
      <c r="O786">
        <v>2.0691453397354426E-2</v>
      </c>
      <c r="P786">
        <v>2.888153611202135E-2</v>
      </c>
      <c r="Q786">
        <v>5.3886644222472906E-3</v>
      </c>
      <c r="R786">
        <v>1.560775822426772E-3</v>
      </c>
      <c r="S786">
        <v>0.2543136584531866</v>
      </c>
      <c r="T786">
        <v>1.4161299429682477</v>
      </c>
      <c r="U786">
        <v>0.20871391064437236</v>
      </c>
      <c r="V786">
        <v>0.24488272751261583</v>
      </c>
      <c r="W786">
        <v>9.3475999116826788E-2</v>
      </c>
      <c r="X786">
        <v>1.6313601195264076E-2</v>
      </c>
      <c r="Y786">
        <v>4.2479172790340879E-3</v>
      </c>
    </row>
    <row r="787" spans="1:25">
      <c r="A787" s="1010"/>
      <c r="B787" s="1351">
        <v>537</v>
      </c>
      <c r="C787" s="1014">
        <v>0.97982571736849877</v>
      </c>
      <c r="D787" s="1014">
        <v>0.97355869600206379</v>
      </c>
      <c r="E787" s="1014">
        <v>1.0086556995680414</v>
      </c>
      <c r="F787" s="1014">
        <v>1.000097534529699</v>
      </c>
      <c r="G787" s="1014">
        <v>0.99001065054662296</v>
      </c>
      <c r="H787" s="1014">
        <v>1.0365997105873896</v>
      </c>
      <c r="I787" s="1014">
        <v>1.0203502065276289</v>
      </c>
      <c r="K787">
        <v>2.4528434693191814</v>
      </c>
      <c r="L787">
        <v>0</v>
      </c>
      <c r="M787">
        <v>1.716118660790544E-3</v>
      </c>
      <c r="N787">
        <v>0.16039410984347183</v>
      </c>
      <c r="O787">
        <v>2.155022167323049E-2</v>
      </c>
      <c r="P787">
        <v>2.8974512126922817E-2</v>
      </c>
      <c r="Q787">
        <v>5.6884177083314762E-3</v>
      </c>
      <c r="R787">
        <v>1.6942660943704455E-3</v>
      </c>
      <c r="S787">
        <v>0.27630474282399925</v>
      </c>
      <c r="T787">
        <v>1.3719597699479755</v>
      </c>
      <c r="U787">
        <v>0.21636806250991236</v>
      </c>
      <c r="V787">
        <v>0.24507960832372599</v>
      </c>
      <c r="W787">
        <v>0.10482919296966058</v>
      </c>
      <c r="X787">
        <v>1.7105450164162407E-2</v>
      </c>
      <c r="Y787">
        <v>4.6112337942084474E-3</v>
      </c>
    </row>
    <row r="788" spans="1:25">
      <c r="A788" s="1010"/>
      <c r="B788" s="1351">
        <v>538</v>
      </c>
      <c r="C788" s="1014">
        <v>0.99857181616800728</v>
      </c>
      <c r="D788" s="1014">
        <v>1.0441366834923766</v>
      </c>
      <c r="E788" s="1014">
        <v>1.0125730932018981</v>
      </c>
      <c r="F788" s="1014">
        <v>0.99590021909564497</v>
      </c>
      <c r="G788" s="1014">
        <v>1.0261901872623438</v>
      </c>
      <c r="H788" s="1014">
        <v>1.0185538171326669</v>
      </c>
      <c r="I788" s="1014">
        <v>1.0028769688036152</v>
      </c>
      <c r="K788">
        <v>2.4132326414494814</v>
      </c>
      <c r="L788">
        <v>0</v>
      </c>
      <c r="M788">
        <v>1.6160991350846943E-3</v>
      </c>
      <c r="N788">
        <v>0.1528079123403743</v>
      </c>
      <c r="O788">
        <v>2.0825152928074488E-2</v>
      </c>
      <c r="P788">
        <v>2.8711536154658313E-2</v>
      </c>
      <c r="Q788">
        <v>5.5185889753392101E-3</v>
      </c>
      <c r="R788">
        <v>1.5951555880915995E-3</v>
      </c>
      <c r="S788">
        <v>0.25588002667043119</v>
      </c>
      <c r="T788">
        <v>1.3662863409160375</v>
      </c>
      <c r="U788">
        <v>0.2123196360693804</v>
      </c>
      <c r="V788">
        <v>0.25004657216500364</v>
      </c>
      <c r="W788">
        <v>9.9640738283376579E-2</v>
      </c>
      <c r="X788">
        <v>1.6875592825912292E-2</v>
      </c>
      <c r="Y788">
        <v>4.3414876678870423E-3</v>
      </c>
    </row>
    <row r="789" spans="1:25">
      <c r="A789" s="1010"/>
      <c r="B789" s="1351">
        <v>539</v>
      </c>
      <c r="C789" s="1014">
        <v>1.0039898152575064</v>
      </c>
      <c r="D789" s="1014">
        <v>1.0069013164057172</v>
      </c>
      <c r="E789" s="1014">
        <v>1.0003766015522211</v>
      </c>
      <c r="F789" s="1014">
        <v>1.0292819831291204</v>
      </c>
      <c r="G789" s="1014">
        <v>1.0038414213576516</v>
      </c>
      <c r="H789" s="1014">
        <v>1.0135414495098125</v>
      </c>
      <c r="I789" s="1014">
        <v>1.0158950081025953</v>
      </c>
      <c r="K789">
        <v>2.4569821542156394</v>
      </c>
      <c r="L789">
        <v>0</v>
      </c>
      <c r="M789">
        <v>1.6536490193321018E-3</v>
      </c>
      <c r="N789">
        <v>0.15069457086931873</v>
      </c>
      <c r="O789">
        <v>2.0870845570501048E-2</v>
      </c>
      <c r="P789">
        <v>2.9085284423063015E-2</v>
      </c>
      <c r="Q789">
        <v>5.4635460264597585E-3</v>
      </c>
      <c r="R789">
        <v>1.6321128705991392E-3</v>
      </c>
      <c r="S789">
        <v>0.2619549141276219</v>
      </c>
      <c r="T789">
        <v>1.4118112819434974</v>
      </c>
      <c r="U789">
        <v>0.21113229344696322</v>
      </c>
      <c r="V789">
        <v>0.2459378128983295</v>
      </c>
      <c r="W789">
        <v>9.8973936323629427E-2</v>
      </c>
      <c r="X789">
        <v>1.6637131527081829E-2</v>
      </c>
      <c r="Y789">
        <v>4.4420732079076619E-3</v>
      </c>
    </row>
    <row r="790" spans="1:25">
      <c r="A790" s="1010"/>
      <c r="B790" s="1351">
        <v>540</v>
      </c>
      <c r="C790" s="1014">
        <v>1.0042438231757695</v>
      </c>
      <c r="D790" s="1014">
        <v>1.0236763068497272</v>
      </c>
      <c r="E790" s="1014">
        <v>1.0071224683873088</v>
      </c>
      <c r="F790" s="1014">
        <v>1.0268997728108438</v>
      </c>
      <c r="G790" s="1014">
        <v>1.012954182682243</v>
      </c>
      <c r="H790" s="1014">
        <v>1.0041339610680879</v>
      </c>
      <c r="I790" s="1014">
        <v>1.0077945564691804</v>
      </c>
      <c r="K790">
        <v>2.4482655848638082</v>
      </c>
      <c r="L790">
        <v>0</v>
      </c>
      <c r="M790">
        <v>1.6092530750930695E-3</v>
      </c>
      <c r="N790">
        <v>0.14964896583938855</v>
      </c>
      <c r="O790">
        <v>2.0794295689188211E-2</v>
      </c>
      <c r="P790">
        <v>2.9140038872859604E-2</v>
      </c>
      <c r="Q790">
        <v>5.4804667037412803E-3</v>
      </c>
      <c r="R790">
        <v>1.5880987628492168E-3</v>
      </c>
      <c r="S790">
        <v>0.25692896161258288</v>
      </c>
      <c r="T790">
        <v>1.4086936696666297</v>
      </c>
      <c r="U790">
        <v>0.21110186571839459</v>
      </c>
      <c r="V790">
        <v>0.24745375012727089</v>
      </c>
      <c r="W790">
        <v>9.7895076559798178E-2</v>
      </c>
      <c r="X790">
        <v>1.682736707033701E-2</v>
      </c>
      <c r="Y790">
        <v>4.3222813158590931E-3</v>
      </c>
    </row>
    <row r="791" spans="1:25">
      <c r="A791" s="1010"/>
      <c r="B791" s="1351">
        <v>541</v>
      </c>
      <c r="C791" s="1014">
        <v>1.0031291786950784</v>
      </c>
      <c r="D791" s="1014">
        <v>1.0359620031283641</v>
      </c>
      <c r="E791" s="1014">
        <v>0.97771928514924467</v>
      </c>
      <c r="F791" s="1014">
        <v>0.99731335846634583</v>
      </c>
      <c r="G791" s="1014">
        <v>1.0091960042084456</v>
      </c>
      <c r="H791" s="1014">
        <v>0.99861970049579063</v>
      </c>
      <c r="I791" s="1014">
        <v>0.99396109623492879</v>
      </c>
      <c r="K791">
        <v>2.3918338935471093</v>
      </c>
      <c r="L791">
        <v>0</v>
      </c>
      <c r="M791">
        <v>1.6983684672622957E-3</v>
      </c>
      <c r="N791">
        <v>0.14449339897653107</v>
      </c>
      <c r="O791">
        <v>2.0743556110641229E-2</v>
      </c>
      <c r="P791">
        <v>2.7873533444949656E-2</v>
      </c>
      <c r="Q791">
        <v>5.3072132489857763E-3</v>
      </c>
      <c r="R791">
        <v>1.6759194152137567E-3</v>
      </c>
      <c r="S791">
        <v>0.25149016557306286</v>
      </c>
      <c r="T791">
        <v>1.3674739968321947</v>
      </c>
      <c r="U791">
        <v>0.21123636339087437</v>
      </c>
      <c r="V791">
        <v>0.24698871654531904</v>
      </c>
      <c r="W791">
        <v>9.6198989893515302E-2</v>
      </c>
      <c r="X791">
        <v>1.5489108401556193E-2</v>
      </c>
      <c r="Y791">
        <v>4.5613001815250987E-3</v>
      </c>
    </row>
    <row r="792" spans="1:25">
      <c r="A792" s="1010"/>
      <c r="B792" s="1351">
        <v>542</v>
      </c>
      <c r="C792" s="1014">
        <v>0.99457009998253632</v>
      </c>
      <c r="D792" s="1014">
        <v>1.0037993257461693</v>
      </c>
      <c r="E792" s="1014">
        <v>1.0046341230322566</v>
      </c>
      <c r="F792" s="1014">
        <v>1.0134152576553261</v>
      </c>
      <c r="G792" s="1014">
        <v>1.0049092449288362</v>
      </c>
      <c r="H792" s="1014">
        <v>0.99138078473964752</v>
      </c>
      <c r="I792" s="1014">
        <v>0.97674071802591544</v>
      </c>
      <c r="K792">
        <v>2.4266257313649215</v>
      </c>
      <c r="L792">
        <v>0</v>
      </c>
      <c r="M792">
        <v>1.619549075314555E-3</v>
      </c>
      <c r="N792">
        <v>0.14945330297427817</v>
      </c>
      <c r="O792">
        <v>2.1085662426189991E-2</v>
      </c>
      <c r="P792">
        <v>2.8793613469214704E-2</v>
      </c>
      <c r="Q792">
        <v>5.5434206003574689E-3</v>
      </c>
      <c r="R792">
        <v>1.5979855464813622E-3</v>
      </c>
      <c r="S792">
        <v>0.25282004677469994</v>
      </c>
      <c r="T792">
        <v>1.3901411047013474</v>
      </c>
      <c r="U792">
        <v>0.21314659589226953</v>
      </c>
      <c r="V792">
        <v>0.24669346759297531</v>
      </c>
      <c r="W792">
        <v>9.7911109025362431E-2</v>
      </c>
      <c r="X792">
        <v>1.6709781555329109E-2</v>
      </c>
      <c r="Y792">
        <v>4.3491898817284444E-3</v>
      </c>
    </row>
    <row r="793" spans="1:25">
      <c r="A793" s="1010"/>
      <c r="B793" s="1351">
        <v>543</v>
      </c>
      <c r="C793" s="1014">
        <v>1.0057855876894748</v>
      </c>
      <c r="D793" s="1014">
        <v>0.96732503327773434</v>
      </c>
      <c r="E793" s="1014">
        <v>1.0441189874206347</v>
      </c>
      <c r="F793" s="1014">
        <v>0.97016909183112532</v>
      </c>
      <c r="G793" s="1014">
        <v>0.97078854758130939</v>
      </c>
      <c r="H793" s="1014">
        <v>1.0014920921294101</v>
      </c>
      <c r="I793" s="1014">
        <v>1.0408160339922925</v>
      </c>
      <c r="K793">
        <v>2.3892146213000847</v>
      </c>
      <c r="L793">
        <v>0</v>
      </c>
      <c r="M793">
        <v>1.5023293687197756E-3</v>
      </c>
      <c r="N793">
        <v>0.15618925342977166</v>
      </c>
      <c r="O793">
        <v>2.104735433868573E-2</v>
      </c>
      <c r="P793">
        <v>2.8964730115340204E-2</v>
      </c>
      <c r="Q793">
        <v>5.7543363650492865E-3</v>
      </c>
      <c r="R793">
        <v>1.4825285179251814E-3</v>
      </c>
      <c r="S793">
        <v>0.27265029573783489</v>
      </c>
      <c r="T793">
        <v>1.3316511007319332</v>
      </c>
      <c r="U793">
        <v>0.21090448946152687</v>
      </c>
      <c r="V793">
        <v>0.24003508154722389</v>
      </c>
      <c r="W793">
        <v>9.9995169242858908E-2</v>
      </c>
      <c r="X793">
        <v>1.8007657270258524E-2</v>
      </c>
      <c r="Y793">
        <v>4.0349539103977546E-3</v>
      </c>
    </row>
    <row r="794" spans="1:25">
      <c r="A794" s="1010"/>
      <c r="B794" s="1351">
        <v>544</v>
      </c>
      <c r="C794" s="1014">
        <v>0.98334384177024448</v>
      </c>
      <c r="D794" s="1014">
        <v>1.0300623578541137</v>
      </c>
      <c r="E794" s="1014">
        <v>1.0197337268220108</v>
      </c>
      <c r="F794" s="1014">
        <v>0.98393314701663082</v>
      </c>
      <c r="G794" s="1014">
        <v>1.0096710924014072</v>
      </c>
      <c r="H794" s="1014">
        <v>0.99988968680099355</v>
      </c>
      <c r="I794" s="1014">
        <v>0.99379419369554123</v>
      </c>
      <c r="K794">
        <v>2.4021499943927491</v>
      </c>
      <c r="L794">
        <v>0</v>
      </c>
      <c r="M794">
        <v>1.591988486552474E-3</v>
      </c>
      <c r="N794">
        <v>0.15377850401946336</v>
      </c>
      <c r="O794">
        <v>2.1215696227505628E-2</v>
      </c>
      <c r="P794">
        <v>2.8682673557179027E-2</v>
      </c>
      <c r="Q794">
        <v>5.6623317399415261E-3</v>
      </c>
      <c r="R794">
        <v>1.5709722933634198E-3</v>
      </c>
      <c r="S794">
        <v>0.25768640835790008</v>
      </c>
      <c r="T794">
        <v>1.3500214548360958</v>
      </c>
      <c r="U794">
        <v>0.2156325518810967</v>
      </c>
      <c r="V794">
        <v>0.24816894772161302</v>
      </c>
      <c r="W794">
        <v>9.9853156431858894E-2</v>
      </c>
      <c r="X794">
        <v>1.7193617101624828E-2</v>
      </c>
      <c r="Y794">
        <v>4.2756687116579017E-3</v>
      </c>
    </row>
    <row r="795" spans="1:25">
      <c r="A795" s="1010"/>
      <c r="B795" s="1351">
        <v>545</v>
      </c>
      <c r="C795" s="1014">
        <v>1.0222276389872311</v>
      </c>
      <c r="D795" s="1014">
        <v>1.0201109765978338</v>
      </c>
      <c r="E795" s="1014">
        <v>1.0360413798346351</v>
      </c>
      <c r="F795" s="1014">
        <v>1.0023034537628273</v>
      </c>
      <c r="G795" s="1014">
        <v>0.97537321736129512</v>
      </c>
      <c r="H795" s="1014">
        <v>1.0333149260504371</v>
      </c>
      <c r="I795" s="1014">
        <v>1.0065927650032549</v>
      </c>
      <c r="K795">
        <v>2.4107150945783276</v>
      </c>
      <c r="L795">
        <v>0</v>
      </c>
      <c r="M795">
        <v>1.5330366136322073E-3</v>
      </c>
      <c r="N795">
        <v>0.15561434241019675</v>
      </c>
      <c r="O795">
        <v>2.0462907405397166E-2</v>
      </c>
      <c r="P795">
        <v>2.9117534726023027E-2</v>
      </c>
      <c r="Q795">
        <v>5.5502912969443811E-3</v>
      </c>
      <c r="R795">
        <v>1.5134533061501802E-3</v>
      </c>
      <c r="S795">
        <v>0.25521406470023406</v>
      </c>
      <c r="T795">
        <v>1.375582171411357</v>
      </c>
      <c r="U795">
        <v>0.20748501802338293</v>
      </c>
      <c r="V795">
        <v>0.23984553840677636</v>
      </c>
      <c r="W795">
        <v>0.10009164211808877</v>
      </c>
      <c r="X795">
        <v>1.7652046397816347E-2</v>
      </c>
      <c r="Y795">
        <v>4.1191209895925038E-3</v>
      </c>
    </row>
    <row r="796" spans="1:25">
      <c r="A796" s="1010"/>
      <c r="B796" s="1351">
        <v>546</v>
      </c>
      <c r="C796" s="1014">
        <v>1.0055832001845364</v>
      </c>
      <c r="D796" s="1014">
        <v>0.9858653070925627</v>
      </c>
      <c r="E796" s="1014">
        <v>0.99606947742545016</v>
      </c>
      <c r="F796" s="1014">
        <v>0.97717410657886772</v>
      </c>
      <c r="G796" s="1014">
        <v>0.99029913996756025</v>
      </c>
      <c r="H796" s="1014">
        <v>0.98893423678473713</v>
      </c>
      <c r="I796" s="1014">
        <v>0.97740841463780748</v>
      </c>
      <c r="K796">
        <v>2.3649963434667636</v>
      </c>
      <c r="L796">
        <v>0</v>
      </c>
      <c r="M796">
        <v>1.6329648202933239E-3</v>
      </c>
      <c r="N796">
        <v>0.14683729582161051</v>
      </c>
      <c r="O796">
        <v>2.0931938494746064E-2</v>
      </c>
      <c r="P796">
        <v>2.7848496430140941E-2</v>
      </c>
      <c r="Q796">
        <v>5.4558435975308201E-3</v>
      </c>
      <c r="R796">
        <v>1.6111688787398572E-3</v>
      </c>
      <c r="S796">
        <v>0.25222686956869228</v>
      </c>
      <c r="T796">
        <v>1.3402466860364413</v>
      </c>
      <c r="U796">
        <v>0.21078310935237232</v>
      </c>
      <c r="V796">
        <v>0.24354201945730256</v>
      </c>
      <c r="W796">
        <v>9.6688079748207659E-2</v>
      </c>
      <c r="X796">
        <v>1.6072730335019093E-2</v>
      </c>
      <c r="Y796">
        <v>4.3850705662517569E-3</v>
      </c>
    </row>
    <row r="797" spans="1:25">
      <c r="A797" s="1010"/>
      <c r="B797" s="1351">
        <v>547</v>
      </c>
      <c r="C797" s="1014">
        <v>1.0240162635663568</v>
      </c>
      <c r="D797" s="1014">
        <v>0.99691689247027238</v>
      </c>
      <c r="E797" s="1014">
        <v>1.0026010475385627</v>
      </c>
      <c r="F797" s="1014">
        <v>1.0250751896170869</v>
      </c>
      <c r="G797" s="1014">
        <v>0.99546718805257894</v>
      </c>
      <c r="H797" s="1014">
        <v>1.0101525551940584</v>
      </c>
      <c r="I797" s="1014">
        <v>1.0152771951049888</v>
      </c>
      <c r="K797">
        <v>2.4345797852510151</v>
      </c>
      <c r="L797">
        <v>0</v>
      </c>
      <c r="M797">
        <v>1.6119776515512701E-3</v>
      </c>
      <c r="N797">
        <v>0.14788101724266542</v>
      </c>
      <c r="O797">
        <v>2.0509034013126013E-2</v>
      </c>
      <c r="P797">
        <v>2.8904290541201576E-2</v>
      </c>
      <c r="Q797">
        <v>5.3808394648647362E-3</v>
      </c>
      <c r="R797">
        <v>1.5909137765868088E-3</v>
      </c>
      <c r="S797">
        <v>0.25768825442211418</v>
      </c>
      <c r="T797">
        <v>1.4060903794087034</v>
      </c>
      <c r="U797">
        <v>0.20701065528107093</v>
      </c>
      <c r="V797">
        <v>0.24328440938454512</v>
      </c>
      <c r="W797">
        <v>9.6997862655606268E-2</v>
      </c>
      <c r="X797">
        <v>1.6524163856798467E-2</v>
      </c>
      <c r="Y797">
        <v>4.3299428552837889E-3</v>
      </c>
    </row>
    <row r="798" spans="1:25">
      <c r="A798" s="1010"/>
      <c r="B798" s="1351">
        <v>548</v>
      </c>
      <c r="C798" s="1014">
        <v>1.004812129851014</v>
      </c>
      <c r="D798" s="1014">
        <v>0.96547598164202797</v>
      </c>
      <c r="E798" s="1014">
        <v>0.9909936047118908</v>
      </c>
      <c r="F798" s="1014">
        <v>1.0230588682027102</v>
      </c>
      <c r="G798" s="1014">
        <v>0.96890959243899588</v>
      </c>
      <c r="H798" s="1014">
        <v>0.96081869907756623</v>
      </c>
      <c r="I798" s="1014">
        <v>0.97508862774895622</v>
      </c>
      <c r="K798">
        <v>2.4185066438715239</v>
      </c>
      <c r="L798">
        <v>0</v>
      </c>
      <c r="M798">
        <v>1.6119396813511833E-3</v>
      </c>
      <c r="N798">
        <v>0.1426833109971711</v>
      </c>
      <c r="O798">
        <v>2.104115982757724E-2</v>
      </c>
      <c r="P798">
        <v>2.8546044144363257E-2</v>
      </c>
      <c r="Q798">
        <v>5.4563012638766811E-3</v>
      </c>
      <c r="R798">
        <v>1.589794789770362E-3</v>
      </c>
      <c r="S798">
        <v>0.25211394890573496</v>
      </c>
      <c r="T798">
        <v>1.4030679307311009</v>
      </c>
      <c r="U798">
        <v>0.21092760981649503</v>
      </c>
      <c r="V798">
        <v>0.23995408563018103</v>
      </c>
      <c r="W798">
        <v>9.4238125283833976E-2</v>
      </c>
      <c r="X798">
        <v>1.6173374820727802E-2</v>
      </c>
      <c r="Y798">
        <v>4.3268973420433265E-3</v>
      </c>
    </row>
    <row r="799" spans="1:25">
      <c r="A799" s="1010"/>
      <c r="B799" s="1351">
        <v>549</v>
      </c>
      <c r="C799" s="1014">
        <v>1.0077427745726282</v>
      </c>
      <c r="D799" s="1014">
        <v>1.0330947331130351</v>
      </c>
      <c r="E799" s="1014">
        <v>1.0052524004088748</v>
      </c>
      <c r="F799" s="1014">
        <v>1.0045250206777401</v>
      </c>
      <c r="G799" s="1014">
        <v>0.99175094527012086</v>
      </c>
      <c r="H799" s="1014">
        <v>1.0123057398856306</v>
      </c>
      <c r="I799" s="1014">
        <v>0.97543781552775366</v>
      </c>
      <c r="K799">
        <v>2.4026299100463895</v>
      </c>
      <c r="L799">
        <v>0</v>
      </c>
      <c r="M799">
        <v>1.6197392224272594E-3</v>
      </c>
      <c r="N799">
        <v>0.14979198352238363</v>
      </c>
      <c r="O799">
        <v>2.0679162107015155E-2</v>
      </c>
      <c r="P799">
        <v>2.8484755856960167E-2</v>
      </c>
      <c r="Q799">
        <v>5.4399221925351075E-3</v>
      </c>
      <c r="R799">
        <v>1.5986189450334599E-3</v>
      </c>
      <c r="S799">
        <v>0.24734497035292527</v>
      </c>
      <c r="T799">
        <v>1.3779594671226287</v>
      </c>
      <c r="U799">
        <v>0.21036255637824605</v>
      </c>
      <c r="V799">
        <v>0.24362442513706595</v>
      </c>
      <c r="W799">
        <v>9.8097074296484899E-2</v>
      </c>
      <c r="X799">
        <v>1.6515799573749178E-2</v>
      </c>
      <c r="Y799">
        <v>4.3509137837874782E-3</v>
      </c>
    </row>
    <row r="800" spans="1:25">
      <c r="A800" s="1010"/>
      <c r="B800" s="1351">
        <v>550</v>
      </c>
      <c r="C800" s="1014">
        <v>1.0143692007302947</v>
      </c>
      <c r="D800" s="1014">
        <v>0.98115630214084382</v>
      </c>
      <c r="E800" s="1014">
        <v>0.99396961422831021</v>
      </c>
      <c r="F800" s="1014">
        <v>0.98828167002134015</v>
      </c>
      <c r="G800" s="1014">
        <v>1.0223987435789683</v>
      </c>
      <c r="H800" s="1014">
        <v>0.97858585877260751</v>
      </c>
      <c r="I800" s="1014">
        <v>1.0009578161699477</v>
      </c>
      <c r="K800">
        <v>2.3820456638084262</v>
      </c>
      <c r="L800">
        <v>0</v>
      </c>
      <c r="M800">
        <v>1.6105639997996859E-3</v>
      </c>
      <c r="N800">
        <v>0.14388620908228267</v>
      </c>
      <c r="O800">
        <v>2.0771126315627279E-2</v>
      </c>
      <c r="P800">
        <v>2.810194167489901E-2</v>
      </c>
      <c r="Q800">
        <v>5.4024815754567133E-3</v>
      </c>
      <c r="R800">
        <v>1.5888397258840862E-3</v>
      </c>
      <c r="S800">
        <v>0.255796112052809</v>
      </c>
      <c r="T800">
        <v>1.3554364659884635</v>
      </c>
      <c r="U800">
        <v>0.20895033219496423</v>
      </c>
      <c r="V800">
        <v>0.24849473669935054</v>
      </c>
      <c r="W800">
        <v>9.4863661392205451E-2</v>
      </c>
      <c r="X800">
        <v>1.6040023133298435E-2</v>
      </c>
      <c r="Y800">
        <v>4.324297972981608E-3</v>
      </c>
    </row>
    <row r="801" spans="1:25">
      <c r="A801" s="1010"/>
      <c r="B801" s="1351">
        <v>551</v>
      </c>
      <c r="C801" s="1014">
        <v>1.002433400694579</v>
      </c>
      <c r="D801" s="1014">
        <v>0.97331843877352497</v>
      </c>
      <c r="E801" s="1014">
        <v>0.98946697565976316</v>
      </c>
      <c r="F801" s="1014">
        <v>1.0161491631958144</v>
      </c>
      <c r="G801" s="1014">
        <v>1.0232384853970307</v>
      </c>
      <c r="H801" s="1014">
        <v>1.0042090874453027</v>
      </c>
      <c r="I801" s="1014">
        <v>0.96902755886746528</v>
      </c>
      <c r="K801">
        <v>2.4314273006881031</v>
      </c>
      <c r="L801">
        <v>0</v>
      </c>
      <c r="M801">
        <v>1.6910678895817421E-3</v>
      </c>
      <c r="N801">
        <v>0.14908783939232714</v>
      </c>
      <c r="O801">
        <v>2.1052569459357198E-2</v>
      </c>
      <c r="P801">
        <v>2.8540206063670116E-2</v>
      </c>
      <c r="Q801">
        <v>5.4508435426596025E-3</v>
      </c>
      <c r="R801">
        <v>1.6688397500456374E-3</v>
      </c>
      <c r="S801">
        <v>0.25368647494284052</v>
      </c>
      <c r="T801">
        <v>1.3935581725727046</v>
      </c>
      <c r="U801">
        <v>0.21142293386270672</v>
      </c>
      <c r="V801">
        <v>0.24938726935577493</v>
      </c>
      <c r="W801">
        <v>9.8558205875594343E-2</v>
      </c>
      <c r="X801">
        <v>1.6162982093257304E-2</v>
      </c>
      <c r="Y801">
        <v>4.5420316667484752E-3</v>
      </c>
    </row>
    <row r="802" spans="1:25">
      <c r="A802" s="1010"/>
      <c r="B802" s="1351">
        <v>552</v>
      </c>
      <c r="C802" s="1014">
        <v>1.0115926325797402</v>
      </c>
      <c r="D802" s="1014">
        <v>0.98246120653093572</v>
      </c>
      <c r="E802" s="1014">
        <v>0.99275582286722108</v>
      </c>
      <c r="F802" s="1014">
        <v>0.99609935560421536</v>
      </c>
      <c r="G802" s="1014">
        <v>0.99916853995468891</v>
      </c>
      <c r="H802" s="1014">
        <v>0.97132477340169254</v>
      </c>
      <c r="I802" s="1014">
        <v>0.98256856143770288</v>
      </c>
      <c r="K802">
        <v>2.3833384335007333</v>
      </c>
      <c r="L802">
        <v>0</v>
      </c>
      <c r="M802">
        <v>1.6065685148914494E-3</v>
      </c>
      <c r="N802">
        <v>0.14298900805177442</v>
      </c>
      <c r="O802">
        <v>2.0821250027966299E-2</v>
      </c>
      <c r="P802">
        <v>2.8112763466915647E-2</v>
      </c>
      <c r="Q802">
        <v>5.4088909056420999E-3</v>
      </c>
      <c r="R802">
        <v>1.5847361387774522E-3</v>
      </c>
      <c r="S802">
        <v>0.25100512283225784</v>
      </c>
      <c r="T802">
        <v>1.3661323716949134</v>
      </c>
      <c r="U802">
        <v>0.20951975129450892</v>
      </c>
      <c r="V802">
        <v>0.24470021817941556</v>
      </c>
      <c r="W802">
        <v>9.4340531284428875E-2</v>
      </c>
      <c r="X802">
        <v>1.6017228777400149E-2</v>
      </c>
      <c r="Y802">
        <v>4.3131293616244775E-3</v>
      </c>
    </row>
    <row r="803" spans="1:25">
      <c r="A803" s="1010"/>
      <c r="B803" s="1351">
        <v>553</v>
      </c>
      <c r="C803" s="1014">
        <v>1.0275399988674643</v>
      </c>
      <c r="D803" s="1014">
        <v>0.98646984398328241</v>
      </c>
      <c r="E803" s="1014">
        <v>1.0148629071284612</v>
      </c>
      <c r="F803" s="1014">
        <v>0.99888121144953224</v>
      </c>
      <c r="G803" s="1014">
        <v>1.01831393662144</v>
      </c>
      <c r="H803" s="1014">
        <v>0.97119958432782683</v>
      </c>
      <c r="I803" s="1014">
        <v>1.0078442444082798</v>
      </c>
      <c r="K803">
        <v>2.3892814376025195</v>
      </c>
      <c r="L803">
        <v>0</v>
      </c>
      <c r="M803">
        <v>1.5091558692200788E-3</v>
      </c>
      <c r="N803">
        <v>0.14359365932034834</v>
      </c>
      <c r="O803">
        <v>2.049408101693144E-2</v>
      </c>
      <c r="P803">
        <v>2.8653435506807424E-2</v>
      </c>
      <c r="Q803">
        <v>5.443276003282E-3</v>
      </c>
      <c r="R803">
        <v>1.4886446334082036E-3</v>
      </c>
      <c r="S803">
        <v>0.25311153235958628</v>
      </c>
      <c r="T803">
        <v>1.3704256005831867</v>
      </c>
      <c r="U803">
        <v>0.20634160079487721</v>
      </c>
      <c r="V803">
        <v>0.24693179441606761</v>
      </c>
      <c r="W803">
        <v>9.3506470951918844E-2</v>
      </c>
      <c r="X803">
        <v>1.6748897924758636E-2</v>
      </c>
      <c r="Y803">
        <v>4.0515999605656152E-3</v>
      </c>
    </row>
    <row r="804" spans="1:25">
      <c r="A804" s="1010"/>
      <c r="B804" s="1351">
        <v>554</v>
      </c>
      <c r="C804" s="1014">
        <v>0.98596709918294723</v>
      </c>
      <c r="D804" s="1014">
        <v>1.0193290098990841</v>
      </c>
      <c r="E804" s="1014">
        <v>1.0158082128877812</v>
      </c>
      <c r="F804" s="1014">
        <v>0.99559259493380003</v>
      </c>
      <c r="G804" s="1014">
        <v>0.99359946481119543</v>
      </c>
      <c r="H804" s="1014">
        <v>0.96397800609931339</v>
      </c>
      <c r="I804" s="1014">
        <v>0.98715130699035258</v>
      </c>
      <c r="K804">
        <v>2.4001374767907633</v>
      </c>
      <c r="L804">
        <v>0</v>
      </c>
      <c r="M804">
        <v>1.5468376253479352E-3</v>
      </c>
      <c r="N804">
        <v>0.14758424588729516</v>
      </c>
      <c r="O804">
        <v>2.1205428093655613E-2</v>
      </c>
      <c r="P804">
        <v>2.871450014867169E-2</v>
      </c>
      <c r="Q804">
        <v>5.6375205559464235E-3</v>
      </c>
      <c r="R804">
        <v>1.5256567540906933E-3</v>
      </c>
      <c r="S804">
        <v>0.2535380932218847</v>
      </c>
      <c r="T804">
        <v>1.365934165494993</v>
      </c>
      <c r="U804">
        <v>0.21504519502924935</v>
      </c>
      <c r="V804">
        <v>0.24527064713894275</v>
      </c>
      <c r="W804">
        <v>9.6051761229355798E-2</v>
      </c>
      <c r="X804">
        <v>1.7024766110005179E-2</v>
      </c>
      <c r="Y804">
        <v>4.1523347520210467E-3</v>
      </c>
    </row>
    <row r="805" spans="1:25">
      <c r="A805" s="1010"/>
      <c r="B805" s="1351">
        <v>555</v>
      </c>
      <c r="C805" s="1014">
        <v>1.001861217253633</v>
      </c>
      <c r="D805" s="1014">
        <v>1.0023716124744839</v>
      </c>
      <c r="E805" s="1014">
        <v>1.0420780196435167</v>
      </c>
      <c r="F805" s="1014">
        <v>0.99930952247669858</v>
      </c>
      <c r="G805" s="1014">
        <v>0.99982315535061217</v>
      </c>
      <c r="H805" s="1014">
        <v>0.98844773486064574</v>
      </c>
      <c r="I805" s="1014">
        <v>1.0231947461211497</v>
      </c>
      <c r="K805">
        <v>2.4213105706616167</v>
      </c>
      <c r="L805">
        <v>0</v>
      </c>
      <c r="M805">
        <v>1.4832671595682856E-3</v>
      </c>
      <c r="N805">
        <v>0.15323547558871767</v>
      </c>
      <c r="O805">
        <v>2.096364467202734E-2</v>
      </c>
      <c r="P805">
        <v>2.9435766027910964E-2</v>
      </c>
      <c r="Q805">
        <v>5.7199789204056585E-3</v>
      </c>
      <c r="R805">
        <v>1.4634595581084267E-3</v>
      </c>
      <c r="S805">
        <v>0.26316203306534058</v>
      </c>
      <c r="T805">
        <v>1.3716046898097221</v>
      </c>
      <c r="U805">
        <v>0.2117236111753637</v>
      </c>
      <c r="V805">
        <v>0.2452374768602319</v>
      </c>
      <c r="W805">
        <v>9.8219215290767353E-2</v>
      </c>
      <c r="X805">
        <v>1.804543236472855E-2</v>
      </c>
      <c r="Y805">
        <v>3.9830544878574634E-3</v>
      </c>
    </row>
    <row r="806" spans="1:25">
      <c r="A806" s="1010"/>
      <c r="B806" s="1351">
        <v>556</v>
      </c>
      <c r="C806" s="1014">
        <v>1.0059484804637877</v>
      </c>
      <c r="D806" s="1014">
        <v>1.01501695242954</v>
      </c>
      <c r="E806" s="1014">
        <v>1.0113537771134822</v>
      </c>
      <c r="F806" s="1014">
        <v>0.96845776948271445</v>
      </c>
      <c r="G806" s="1014">
        <v>0.98964413700017162</v>
      </c>
      <c r="H806" s="1014">
        <v>1.0227266640493684</v>
      </c>
      <c r="I806" s="1014">
        <v>0.99182751181064766</v>
      </c>
      <c r="K806">
        <v>2.3660998472607502</v>
      </c>
      <c r="L806">
        <v>0</v>
      </c>
      <c r="M806">
        <v>1.6249878230721918E-3</v>
      </c>
      <c r="N806">
        <v>0.15309209398579515</v>
      </c>
      <c r="O806">
        <v>2.0800677752736925E-2</v>
      </c>
      <c r="P806">
        <v>2.8042841827188046E-2</v>
      </c>
      <c r="Q806">
        <v>5.5053959346234964E-3</v>
      </c>
      <c r="R806">
        <v>1.6040150068879345E-3</v>
      </c>
      <c r="S806">
        <v>0.25508871113572851</v>
      </c>
      <c r="T806">
        <v>1.3286121452810769</v>
      </c>
      <c r="U806">
        <v>0.21075853596290214</v>
      </c>
      <c r="V806">
        <v>0.24335373149099679</v>
      </c>
      <c r="W806">
        <v>9.9897733164345387E-2</v>
      </c>
      <c r="X806">
        <v>1.6603353456197182E-2</v>
      </c>
      <c r="Y806">
        <v>4.3656000853440442E-3</v>
      </c>
    </row>
    <row r="807" spans="1:25">
      <c r="A807" s="1010"/>
      <c r="B807" s="1351">
        <v>557</v>
      </c>
      <c r="C807" s="1014">
        <v>0.98706323841590204</v>
      </c>
      <c r="D807" s="1014">
        <v>0.99715529929821622</v>
      </c>
      <c r="E807" s="1014">
        <v>1.0043808287528844</v>
      </c>
      <c r="F807" s="1014">
        <v>0.98460936549401168</v>
      </c>
      <c r="G807" s="1014">
        <v>0.99672745129288443</v>
      </c>
      <c r="H807" s="1014">
        <v>0.99804020712071218</v>
      </c>
      <c r="I807" s="1014">
        <v>0.99212541932175524</v>
      </c>
      <c r="K807">
        <v>2.3988589447280186</v>
      </c>
      <c r="L807">
        <v>0</v>
      </c>
      <c r="M807">
        <v>1.6460950830260281E-3</v>
      </c>
      <c r="N807">
        <v>0.15180049514388685</v>
      </c>
      <c r="O807">
        <v>2.1276916596692178E-2</v>
      </c>
      <c r="P807">
        <v>2.8357628249276508E-2</v>
      </c>
      <c r="Q807">
        <v>5.5922808573642619E-3</v>
      </c>
      <c r="R807">
        <v>1.6243243476786841E-3</v>
      </c>
      <c r="S807">
        <v>0.2601863056793145</v>
      </c>
      <c r="T807">
        <v>1.3506215437389604</v>
      </c>
      <c r="U807">
        <v>0.21476675101450271</v>
      </c>
      <c r="V807">
        <v>0.24577447754683063</v>
      </c>
      <c r="W807">
        <v>9.9463740774845211E-2</v>
      </c>
      <c r="X807">
        <v>1.6619700445690281E-2</v>
      </c>
      <c r="Y807">
        <v>4.4208754160040727E-3</v>
      </c>
    </row>
    <row r="808" spans="1:25">
      <c r="A808" s="1010"/>
      <c r="B808" s="1351">
        <v>558</v>
      </c>
      <c r="C808" s="1014">
        <v>0.99163360267675649</v>
      </c>
      <c r="D808" s="1014">
        <v>0.98103047538337573</v>
      </c>
      <c r="E808" s="1014">
        <v>1.0465066114065373</v>
      </c>
      <c r="F808" s="1014">
        <v>1.0072697661052921</v>
      </c>
      <c r="G808" s="1014">
        <v>1.0296969269201575</v>
      </c>
      <c r="H808" s="1014">
        <v>0.99281544542736755</v>
      </c>
      <c r="I808" s="1014">
        <v>1.006448818489531</v>
      </c>
      <c r="K808">
        <v>2.4488801570927397</v>
      </c>
      <c r="L808">
        <v>0</v>
      </c>
      <c r="M808">
        <v>1.4984094697568632E-3</v>
      </c>
      <c r="N808">
        <v>0.15688745125170234</v>
      </c>
      <c r="O808">
        <v>2.1283371988942545E-2</v>
      </c>
      <c r="P808">
        <v>2.98197229507806E-2</v>
      </c>
      <c r="Q808">
        <v>5.8325008993824036E-3</v>
      </c>
      <c r="R808">
        <v>1.4784876868797789E-3</v>
      </c>
      <c r="S808">
        <v>0.26478742552483137</v>
      </c>
      <c r="T808">
        <v>1.382627837323849</v>
      </c>
      <c r="U808">
        <v>0.21392267407358842</v>
      </c>
      <c r="V808">
        <v>0.25096018129177339</v>
      </c>
      <c r="W808">
        <v>0.10030471355722184</v>
      </c>
      <c r="X808">
        <v>1.8450243913192093E-2</v>
      </c>
      <c r="Y808">
        <v>4.0239561003517664E-3</v>
      </c>
    </row>
    <row r="809" spans="1:25">
      <c r="A809" s="1010"/>
      <c r="B809" s="1351">
        <v>559</v>
      </c>
      <c r="C809" s="1014">
        <v>1.0071557766298478</v>
      </c>
      <c r="D809" s="1014">
        <v>0.9935340619091596</v>
      </c>
      <c r="E809" s="1014">
        <v>0.97161850476239164</v>
      </c>
      <c r="F809" s="1014">
        <v>1.014504653552841</v>
      </c>
      <c r="G809" s="1014">
        <v>1.009068879592157</v>
      </c>
      <c r="H809" s="1014">
        <v>1.0150539697895271</v>
      </c>
      <c r="I809" s="1014">
        <v>1.0186633829041807</v>
      </c>
      <c r="K809">
        <v>2.4309252394890688</v>
      </c>
      <c r="L809">
        <v>0</v>
      </c>
      <c r="M809">
        <v>1.7573188232837221E-3</v>
      </c>
      <c r="N809">
        <v>0.1468050816163817</v>
      </c>
      <c r="O809">
        <v>2.0847565357500535E-2</v>
      </c>
      <c r="P809">
        <v>2.8202630593303135E-2</v>
      </c>
      <c r="Q809">
        <v>5.3007543940347974E-3</v>
      </c>
      <c r="R809">
        <v>1.7344666428049185E-3</v>
      </c>
      <c r="S809">
        <v>0.26348802858160608</v>
      </c>
      <c r="T809">
        <v>1.390912815650571</v>
      </c>
      <c r="U809">
        <v>0.21037122183395557</v>
      </c>
      <c r="V809">
        <v>0.24674116076974401</v>
      </c>
      <c r="W809">
        <v>9.8100275024979949E-2</v>
      </c>
      <c r="X809">
        <v>1.5457911412529451E-2</v>
      </c>
      <c r="Y809">
        <v>4.7206464349398543E-3</v>
      </c>
    </row>
    <row r="810" spans="1:25">
      <c r="A810" s="1010"/>
      <c r="B810" s="1351">
        <v>560</v>
      </c>
      <c r="C810" s="1014">
        <v>0.99705514107674298</v>
      </c>
      <c r="D810" s="1014">
        <v>1.036005385495576</v>
      </c>
      <c r="E810" s="1014">
        <v>1.0202715990469953</v>
      </c>
      <c r="F810" s="1014">
        <v>1.0165217597800762</v>
      </c>
      <c r="G810" s="1014">
        <v>0.99516970855447384</v>
      </c>
      <c r="H810" s="1014">
        <v>1.0275639744579728</v>
      </c>
      <c r="I810" s="1014">
        <v>1.0364186981067154</v>
      </c>
      <c r="K810">
        <v>2.4533993053633374</v>
      </c>
      <c r="L810">
        <v>0</v>
      </c>
      <c r="M810">
        <v>1.6097084614495483E-3</v>
      </c>
      <c r="N810">
        <v>0.15579879181202858</v>
      </c>
      <c r="O810">
        <v>2.0897832785550661E-2</v>
      </c>
      <c r="P810">
        <v>2.935122704265258E-2</v>
      </c>
      <c r="Q810">
        <v>5.5804792540202165E-3</v>
      </c>
      <c r="R810">
        <v>1.5890306497819563E-3</v>
      </c>
      <c r="S810">
        <v>0.26672110961663137</v>
      </c>
      <c r="T810">
        <v>1.394747062256199</v>
      </c>
      <c r="U810">
        <v>0.21266906656506132</v>
      </c>
      <c r="V810">
        <v>0.24481917921013555</v>
      </c>
      <c r="W810">
        <v>0.1011331621029742</v>
      </c>
      <c r="X810">
        <v>1.737725492485637E-2</v>
      </c>
      <c r="Y810">
        <v>4.3248176048935657E-3</v>
      </c>
    </row>
    <row r="811" spans="1:25">
      <c r="A811" s="1010"/>
      <c r="B811" s="1351">
        <v>561</v>
      </c>
      <c r="C811" s="1014">
        <v>1.0098628540067449</v>
      </c>
      <c r="D811" s="1014">
        <v>0.99128412133461052</v>
      </c>
      <c r="E811" s="1014">
        <v>0.99170554155627788</v>
      </c>
      <c r="F811" s="1014">
        <v>1.0265618448466962</v>
      </c>
      <c r="G811" s="1014">
        <v>1.0429372868454256</v>
      </c>
      <c r="H811" s="1014">
        <v>0.99211647613489162</v>
      </c>
      <c r="I811" s="1014">
        <v>1.0155589291157561</v>
      </c>
      <c r="K811">
        <v>2.4485391967784103</v>
      </c>
      <c r="L811">
        <v>0</v>
      </c>
      <c r="M811">
        <v>1.6441124395933887E-3</v>
      </c>
      <c r="N811">
        <v>0.14590878094416376</v>
      </c>
      <c r="O811">
        <v>2.081524109902395E-2</v>
      </c>
      <c r="P811">
        <v>2.8893030285239697E-2</v>
      </c>
      <c r="Q811">
        <v>5.4015997022148939E-3</v>
      </c>
      <c r="R811">
        <v>1.6222380938802278E-3</v>
      </c>
      <c r="S811">
        <v>0.26047906685271893</v>
      </c>
      <c r="T811">
        <v>1.4078878461219124</v>
      </c>
      <c r="U811">
        <v>0.20987508378490932</v>
      </c>
      <c r="V811">
        <v>0.25228583532229015</v>
      </c>
      <c r="W811">
        <v>9.6327405279719336E-2</v>
      </c>
      <c r="X811">
        <v>1.6271984411028242E-2</v>
      </c>
      <c r="Y811">
        <v>4.4151973208980564E-3</v>
      </c>
    </row>
    <row r="812" spans="1:25">
      <c r="A812" s="1010"/>
      <c r="B812" s="1351">
        <v>562</v>
      </c>
      <c r="C812" s="1014">
        <v>1.0255487962188699</v>
      </c>
      <c r="D812" s="1014">
        <v>1.0173595170710259</v>
      </c>
      <c r="E812" s="1014">
        <v>1.0364625440821933</v>
      </c>
      <c r="F812" s="1014">
        <v>0.99997401512734507</v>
      </c>
      <c r="G812" s="1014">
        <v>1.0061157036577872</v>
      </c>
      <c r="H812" s="1014">
        <v>1.0070023779789152</v>
      </c>
      <c r="I812" s="1014">
        <v>0.9712185085713787</v>
      </c>
      <c r="K812">
        <v>2.3927431723234509</v>
      </c>
      <c r="L812">
        <v>0</v>
      </c>
      <c r="M812">
        <v>1.488737638183331E-3</v>
      </c>
      <c r="N812">
        <v>0.15125841408177601</v>
      </c>
      <c r="O812">
        <v>2.0409035987342547E-2</v>
      </c>
      <c r="P812">
        <v>2.8981112949136856E-2</v>
      </c>
      <c r="Q812">
        <v>5.5379770511228641E-3</v>
      </c>
      <c r="R812">
        <v>1.4692232971439602E-3</v>
      </c>
      <c r="S812">
        <v>0.24366551373038078</v>
      </c>
      <c r="T812">
        <v>1.3723943737792501</v>
      </c>
      <c r="U812">
        <v>0.20681450587539227</v>
      </c>
      <c r="V812">
        <v>0.24489097746149163</v>
      </c>
      <c r="W812">
        <v>9.726622929664655E-2</v>
      </c>
      <c r="X812">
        <v>1.7545804966450841E-2</v>
      </c>
      <c r="Y812">
        <v>3.9987414854961226E-3</v>
      </c>
    </row>
    <row r="813" spans="1:25">
      <c r="A813" s="1010"/>
      <c r="B813" s="1351">
        <v>563</v>
      </c>
      <c r="C813" s="1014">
        <v>1.0024768631004659</v>
      </c>
      <c r="D813" s="1014">
        <v>0.9876272364632247</v>
      </c>
      <c r="E813" s="1014">
        <v>1.01807662579561</v>
      </c>
      <c r="F813" s="1014">
        <v>1.0193140407497674</v>
      </c>
      <c r="G813" s="1014">
        <v>1.001755973636983</v>
      </c>
      <c r="H813" s="1014">
        <v>1.0128041291919243</v>
      </c>
      <c r="I813" s="1014">
        <v>1.0137800932153769</v>
      </c>
      <c r="K813">
        <v>2.4516890840384029</v>
      </c>
      <c r="L813">
        <v>0</v>
      </c>
      <c r="M813">
        <v>1.6019943683614831E-3</v>
      </c>
      <c r="N813">
        <v>0.15399957011086757</v>
      </c>
      <c r="O813">
        <v>2.1003178415782611E-2</v>
      </c>
      <c r="P813">
        <v>2.931964447048693E-2</v>
      </c>
      <c r="Q813">
        <v>5.5963794891414793E-3</v>
      </c>
      <c r="R813">
        <v>1.581115750758783E-3</v>
      </c>
      <c r="S813">
        <v>0.26443053306542835</v>
      </c>
      <c r="T813">
        <v>1.3985297161918011</v>
      </c>
      <c r="U813">
        <v>0.21151137651870258</v>
      </c>
      <c r="V813">
        <v>0.24561246717928562</v>
      </c>
      <c r="W813">
        <v>0.10009377811259049</v>
      </c>
      <c r="X813">
        <v>1.7310043243019987E-2</v>
      </c>
      <c r="Y813">
        <v>4.303275858898249E-3</v>
      </c>
    </row>
    <row r="814" spans="1:25">
      <c r="A814" s="1010"/>
      <c r="B814" s="1351">
        <v>564</v>
      </c>
      <c r="C814" s="1014">
        <v>1.0398394973969793</v>
      </c>
      <c r="D814" s="1014">
        <v>1.0213572319407853</v>
      </c>
      <c r="E814" s="1014">
        <v>0.98784421250352117</v>
      </c>
      <c r="F814" s="1014">
        <v>0.98162866120917802</v>
      </c>
      <c r="G814" s="1014">
        <v>0.95747757204992467</v>
      </c>
      <c r="H814" s="1014">
        <v>1.0366385162590295</v>
      </c>
      <c r="I814" s="1014">
        <v>0.98582407349121992</v>
      </c>
      <c r="K814">
        <v>2.3477257589610128</v>
      </c>
      <c r="L814">
        <v>0</v>
      </c>
      <c r="M814">
        <v>1.6707433753871163E-3</v>
      </c>
      <c r="N814">
        <v>0.14663608270551479</v>
      </c>
      <c r="O814">
        <v>2.0080248083277769E-2</v>
      </c>
      <c r="P814">
        <v>2.7468490580962561E-2</v>
      </c>
      <c r="Q814">
        <v>5.1905670524837796E-3</v>
      </c>
      <c r="R814">
        <v>1.6494694013350177E-3</v>
      </c>
      <c r="S814">
        <v>0.24545855958574425</v>
      </c>
      <c r="T814">
        <v>1.3461820023145541</v>
      </c>
      <c r="U814">
        <v>0.20381210189288018</v>
      </c>
      <c r="V814">
        <v>0.23592082820114499</v>
      </c>
      <c r="W814">
        <v>9.7031793794409071E-2</v>
      </c>
      <c r="X814">
        <v>1.5477046761100614E-2</v>
      </c>
      <c r="Y814">
        <v>4.4893119629919051E-3</v>
      </c>
    </row>
    <row r="815" spans="1:25">
      <c r="A815" s="1010"/>
      <c r="B815" s="1351">
        <v>565</v>
      </c>
      <c r="C815" s="1014">
        <v>0.98701259919308981</v>
      </c>
      <c r="D815" s="1014">
        <v>1.0073876042072354</v>
      </c>
      <c r="E815" s="1014">
        <v>0.96624137514484931</v>
      </c>
      <c r="F815" s="1014">
        <v>0.99780561639755982</v>
      </c>
      <c r="G815" s="1014">
        <v>0.99645951722674342</v>
      </c>
      <c r="H815" s="1014">
        <v>0.98338763478989732</v>
      </c>
      <c r="I815" s="1014">
        <v>0.99822459421230558</v>
      </c>
      <c r="K815">
        <v>2.4018961100225158</v>
      </c>
      <c r="L815">
        <v>0</v>
      </c>
      <c r="M815">
        <v>1.7512868682135619E-3</v>
      </c>
      <c r="N815">
        <v>0.14387723086560578</v>
      </c>
      <c r="O815">
        <v>2.1204727642690453E-2</v>
      </c>
      <c r="P815">
        <v>2.7764702350149585E-2</v>
      </c>
      <c r="Q815">
        <v>5.3619998487663941E-3</v>
      </c>
      <c r="R815">
        <v>1.7277797838221752E-3</v>
      </c>
      <c r="S815">
        <v>0.25889382093872571</v>
      </c>
      <c r="T815">
        <v>1.36790270257713</v>
      </c>
      <c r="U815">
        <v>0.21464599770072371</v>
      </c>
      <c r="V815">
        <v>0.24586956227140319</v>
      </c>
      <c r="W815">
        <v>9.6459216952498067E-2</v>
      </c>
      <c r="X815">
        <v>1.5237208950099333E-2</v>
      </c>
      <c r="Y815">
        <v>4.7024470091112979E-3</v>
      </c>
    </row>
    <row r="816" spans="1:25">
      <c r="A816" s="1010"/>
      <c r="B816" s="1351">
        <v>566</v>
      </c>
      <c r="C816" s="1014">
        <v>0.98844526702219704</v>
      </c>
      <c r="D816" s="1014">
        <v>1.0236851115009351</v>
      </c>
      <c r="E816" s="1014">
        <v>0.98815525446240626</v>
      </c>
      <c r="F816" s="1014">
        <v>1.001203972392896</v>
      </c>
      <c r="G816" s="1014">
        <v>1.0011748119933208</v>
      </c>
      <c r="H816" s="1014">
        <v>1.0072363120747465</v>
      </c>
      <c r="I816" s="1014">
        <v>0.96139082068899384</v>
      </c>
      <c r="K816">
        <v>2.4072965574321596</v>
      </c>
      <c r="L816">
        <v>0</v>
      </c>
      <c r="M816">
        <v>1.7058084721712058E-3</v>
      </c>
      <c r="N816">
        <v>0.14979810129916088</v>
      </c>
      <c r="O816">
        <v>2.1113950788828065E-2</v>
      </c>
      <c r="P816">
        <v>2.8174108535884375E-2</v>
      </c>
      <c r="Q816">
        <v>5.4594881338013348E-3</v>
      </c>
      <c r="R816">
        <v>1.6834539644118057E-3</v>
      </c>
      <c r="S816">
        <v>0.24912109915916233</v>
      </c>
      <c r="T816">
        <v>1.3730338334626362</v>
      </c>
      <c r="U816">
        <v>0.21441038957934544</v>
      </c>
      <c r="V816">
        <v>0.24650374333645053</v>
      </c>
      <c r="W816">
        <v>9.910566203733015E-2</v>
      </c>
      <c r="X816">
        <v>1.6016728866638942E-2</v>
      </c>
      <c r="Y816">
        <v>4.5818067406787136E-3</v>
      </c>
    </row>
    <row r="817" spans="1:25">
      <c r="A817" s="1010"/>
      <c r="B817" s="1351">
        <v>567</v>
      </c>
      <c r="C817" s="1014">
        <v>1.0109150141557002</v>
      </c>
      <c r="D817" s="1014">
        <v>1.010295471287816</v>
      </c>
      <c r="E817" s="1014">
        <v>1.0337207192152877</v>
      </c>
      <c r="F817" s="1014">
        <v>1.0068935692206895</v>
      </c>
      <c r="G817" s="1014">
        <v>1.0166515802711495</v>
      </c>
      <c r="H817" s="1014">
        <v>0.9751428587439831</v>
      </c>
      <c r="I817" s="1014">
        <v>1.010612971198942</v>
      </c>
      <c r="K817">
        <v>2.4157462118456161</v>
      </c>
      <c r="L817">
        <v>0</v>
      </c>
      <c r="M817">
        <v>1.4731483417428155E-3</v>
      </c>
      <c r="N817">
        <v>0.14837852911633406</v>
      </c>
      <c r="O817">
        <v>2.0734429473253654E-2</v>
      </c>
      <c r="P817">
        <v>2.9299064172055102E-2</v>
      </c>
      <c r="Q817">
        <v>5.6110835560691918E-3</v>
      </c>
      <c r="R817">
        <v>1.4532074555450316E-3</v>
      </c>
      <c r="S817">
        <v>0.2553855823683539</v>
      </c>
      <c r="T817">
        <v>1.3818308629657863</v>
      </c>
      <c r="U817">
        <v>0.20979898717604864</v>
      </c>
      <c r="V817">
        <v>0.24757931285452589</v>
      </c>
      <c r="W817">
        <v>9.556570136269095E-2</v>
      </c>
      <c r="X817">
        <v>1.7627448042411304E-2</v>
      </c>
      <c r="Y817">
        <v>3.9551516442846027E-3</v>
      </c>
    </row>
    <row r="818" spans="1:25">
      <c r="A818" s="1010"/>
      <c r="B818" s="1351">
        <v>568</v>
      </c>
      <c r="C818" s="1014">
        <v>0.99138466819084592</v>
      </c>
      <c r="D818" s="1014">
        <v>1.0068614163107468</v>
      </c>
      <c r="E818" s="1014">
        <v>0.99880733263809118</v>
      </c>
      <c r="F818" s="1014">
        <v>1.0243738925541488</v>
      </c>
      <c r="G818" s="1014">
        <v>0.99293185382074667</v>
      </c>
      <c r="H818" s="1014">
        <v>1.0085310528243387</v>
      </c>
      <c r="I818" s="1014">
        <v>1.0334234140548555</v>
      </c>
      <c r="K818">
        <v>2.4613119390096507</v>
      </c>
      <c r="L818">
        <v>0</v>
      </c>
      <c r="M818">
        <v>1.671843400493773E-3</v>
      </c>
      <c r="N818">
        <v>0.15162202682940296</v>
      </c>
      <c r="O818">
        <v>2.1135347238157159E-2</v>
      </c>
      <c r="P818">
        <v>2.908267527438484E-2</v>
      </c>
      <c r="Q818">
        <v>5.5240644822164998E-3</v>
      </c>
      <c r="R818">
        <v>1.6499621298000857E-3</v>
      </c>
      <c r="S818">
        <v>0.2694112086419288</v>
      </c>
      <c r="T818">
        <v>1.4050443504895329</v>
      </c>
      <c r="U818">
        <v>0.21381136435615827</v>
      </c>
      <c r="V818">
        <v>0.24487052189814659</v>
      </c>
      <c r="W818">
        <v>9.9676028679793235E-2</v>
      </c>
      <c r="X818">
        <v>1.666557938317546E-2</v>
      </c>
      <c r="Y818">
        <v>4.4906530074459239E-3</v>
      </c>
    </row>
    <row r="819" spans="1:25">
      <c r="A819" s="1010"/>
      <c r="B819" s="1351">
        <v>569</v>
      </c>
      <c r="C819" s="1014">
        <v>0.98137804496063519</v>
      </c>
      <c r="D819" s="1014">
        <v>1.0006455094516038</v>
      </c>
      <c r="E819" s="1014">
        <v>1.0023157458700842</v>
      </c>
      <c r="F819" s="1014">
        <v>1.028481747890617</v>
      </c>
      <c r="G819" s="1014">
        <v>0.97578550895681959</v>
      </c>
      <c r="H819" s="1014">
        <v>1.0339615760901761</v>
      </c>
      <c r="I819" s="1014">
        <v>1.0124088850755195</v>
      </c>
      <c r="K819">
        <v>2.4781645794346661</v>
      </c>
      <c r="L819">
        <v>0</v>
      </c>
      <c r="M819">
        <v>1.7212636432196195E-3</v>
      </c>
      <c r="N819">
        <v>0.157818866574189</v>
      </c>
      <c r="O819">
        <v>2.13823343828747E-2</v>
      </c>
      <c r="P819">
        <v>2.9239538631589689E-2</v>
      </c>
      <c r="Q819">
        <v>5.6083559481713589E-3</v>
      </c>
      <c r="R819">
        <v>1.6992896384654512E-3</v>
      </c>
      <c r="S819">
        <v>0.26971122759619176</v>
      </c>
      <c r="T819">
        <v>1.4107567884509911</v>
      </c>
      <c r="U819">
        <v>0.21600371357963427</v>
      </c>
      <c r="V819">
        <v>0.24257194797431658</v>
      </c>
      <c r="W819">
        <v>0.10353380017990363</v>
      </c>
      <c r="X819">
        <v>1.6935073896332069E-2</v>
      </c>
      <c r="Y819">
        <v>4.6249062252241863E-3</v>
      </c>
    </row>
    <row r="820" spans="1:25">
      <c r="A820" s="1010"/>
      <c r="B820" s="1351">
        <v>570</v>
      </c>
      <c r="C820" s="1014">
        <v>1.023256834846368</v>
      </c>
      <c r="D820" s="1014">
        <v>0.99660697788825825</v>
      </c>
      <c r="E820" s="1014">
        <v>0.99942748102983192</v>
      </c>
      <c r="F820" s="1014">
        <v>0.99320051532906506</v>
      </c>
      <c r="G820" s="1014">
        <v>0.97508908791341142</v>
      </c>
      <c r="H820" s="1014">
        <v>1.0255419224757785</v>
      </c>
      <c r="I820" s="1014">
        <v>1.0020042594644394</v>
      </c>
      <c r="K820">
        <v>2.3880804561174904</v>
      </c>
      <c r="L820">
        <v>0</v>
      </c>
      <c r="M820">
        <v>1.6486814938469305E-3</v>
      </c>
      <c r="N820">
        <v>0.14983481518633265</v>
      </c>
      <c r="O820">
        <v>2.0523598903397031E-2</v>
      </c>
      <c r="P820">
        <v>2.816834064410904E-2</v>
      </c>
      <c r="Q820">
        <v>5.3675206614725839E-3</v>
      </c>
      <c r="R820">
        <v>1.6274612894312777E-3</v>
      </c>
      <c r="S820">
        <v>0.25580507751897763</v>
      </c>
      <c r="T820">
        <v>1.3622998662136803</v>
      </c>
      <c r="U820">
        <v>0.20715368889603569</v>
      </c>
      <c r="V820">
        <v>0.23986094872191646</v>
      </c>
      <c r="W820">
        <v>9.8464794811965475E-2</v>
      </c>
      <c r="X820">
        <v>1.6193611626656924E-2</v>
      </c>
      <c r="Y820">
        <v>4.4294131373620628E-3</v>
      </c>
    </row>
    <row r="821" spans="1:25">
      <c r="A821" s="1010"/>
      <c r="B821" s="1351">
        <v>571</v>
      </c>
      <c r="C821" s="1014">
        <v>1.0116881359305414</v>
      </c>
      <c r="D821" s="1014">
        <v>0.98944479581416134</v>
      </c>
      <c r="E821" s="1014">
        <v>0.99386417111105652</v>
      </c>
      <c r="F821" s="1014">
        <v>1.0304916505638551</v>
      </c>
      <c r="G821" s="1014">
        <v>0.96227211613169261</v>
      </c>
      <c r="H821" s="1014">
        <v>1.018694999510823</v>
      </c>
      <c r="I821" s="1014">
        <v>1.0083642408901003</v>
      </c>
      <c r="K821">
        <v>2.4465800620987435</v>
      </c>
      <c r="L821">
        <v>0</v>
      </c>
      <c r="M821">
        <v>1.6782775342579707E-3</v>
      </c>
      <c r="N821">
        <v>0.14996858376075756</v>
      </c>
      <c r="O821">
        <v>2.0787595399729204E-2</v>
      </c>
      <c r="P821">
        <v>2.8822762290073949E-2</v>
      </c>
      <c r="Q821">
        <v>5.4061901516544546E-3</v>
      </c>
      <c r="R821">
        <v>1.6565312117199573E-3</v>
      </c>
      <c r="S821">
        <v>0.26068420620169985</v>
      </c>
      <c r="T821">
        <v>1.4133254554392529</v>
      </c>
      <c r="U821">
        <v>0.2095037134965837</v>
      </c>
      <c r="V821">
        <v>0.23838845931971783</v>
      </c>
      <c r="W821">
        <v>9.8879975618411234E-2</v>
      </c>
      <c r="X821">
        <v>1.6326334860463376E-2</v>
      </c>
      <c r="Y821">
        <v>4.5085318829345411E-3</v>
      </c>
    </row>
    <row r="822" spans="1:25">
      <c r="A822" s="1010"/>
      <c r="B822" s="1351">
        <v>572</v>
      </c>
      <c r="C822" s="1014">
        <v>1.0023867346844293</v>
      </c>
      <c r="D822" s="1014">
        <v>1.0041382320690111</v>
      </c>
      <c r="E822" s="1014">
        <v>1.0138278279771922</v>
      </c>
      <c r="F822" s="1014">
        <v>0.99586817950094342</v>
      </c>
      <c r="G822" s="1014">
        <v>1.0148016731470408</v>
      </c>
      <c r="H822" s="1014">
        <v>0.98522410899489721</v>
      </c>
      <c r="I822" s="1014">
        <v>0.98544558774240154</v>
      </c>
      <c r="K822">
        <v>2.3999081945136678</v>
      </c>
      <c r="L822">
        <v>0</v>
      </c>
      <c r="M822">
        <v>1.5666156200748386E-3</v>
      </c>
      <c r="N822">
        <v>0.14862507791692839</v>
      </c>
      <c r="O822">
        <v>2.0925772597114981E-2</v>
      </c>
      <c r="P822">
        <v>2.8651415345542365E-2</v>
      </c>
      <c r="Q822">
        <v>5.5522002041870546E-3</v>
      </c>
      <c r="R822">
        <v>1.545626528611071E-3</v>
      </c>
      <c r="S822">
        <v>0.2526003877334142</v>
      </c>
      <c r="T822">
        <v>1.3662694818311389</v>
      </c>
      <c r="U822">
        <v>0.21151587003349073</v>
      </c>
      <c r="V822">
        <v>0.24786005179972598</v>
      </c>
      <c r="W822">
        <v>9.6841759108085471E-2</v>
      </c>
      <c r="X822">
        <v>1.6880481140273844E-2</v>
      </c>
      <c r="Y822">
        <v>4.2066858952311149E-3</v>
      </c>
    </row>
    <row r="823" spans="1:25">
      <c r="A823" s="1010"/>
      <c r="B823" s="1351">
        <v>573</v>
      </c>
      <c r="C823" s="1014">
        <v>0.97289430328582438</v>
      </c>
      <c r="D823" s="1014">
        <v>0.9618459885062699</v>
      </c>
      <c r="E823" s="1014">
        <v>0.97596087679731647</v>
      </c>
      <c r="F823" s="1014">
        <v>0.99971775456790324</v>
      </c>
      <c r="G823" s="1014">
        <v>1.0341222543773467</v>
      </c>
      <c r="H823" s="1014">
        <v>1.0030908232719433</v>
      </c>
      <c r="I823" s="1014">
        <v>1.014305732554023</v>
      </c>
      <c r="K823">
        <v>2.4461666480855984</v>
      </c>
      <c r="L823">
        <v>0</v>
      </c>
      <c r="M823">
        <v>1.7944607898708303E-3</v>
      </c>
      <c r="N823">
        <v>0.15186750491483869</v>
      </c>
      <c r="O823">
        <v>2.1739159954679226E-2</v>
      </c>
      <c r="P823">
        <v>2.836633264871409E-2</v>
      </c>
      <c r="Q823">
        <v>5.5519881411874262E-3</v>
      </c>
      <c r="R823">
        <v>1.7708473131886747E-3</v>
      </c>
      <c r="S823">
        <v>0.27502713039634324</v>
      </c>
      <c r="T823">
        <v>1.3707329649373445</v>
      </c>
      <c r="U823">
        <v>0.21779485275411539</v>
      </c>
      <c r="V823">
        <v>0.25318706174513772</v>
      </c>
      <c r="W823">
        <v>0.10121610930876794</v>
      </c>
      <c r="X823">
        <v>1.5887494134310665E-2</v>
      </c>
      <c r="Y823">
        <v>4.8196626268396693E-3</v>
      </c>
    </row>
    <row r="824" spans="1:25">
      <c r="A824" s="1010"/>
      <c r="B824" s="1351">
        <v>574</v>
      </c>
      <c r="C824" s="1014">
        <v>0.97222691321345445</v>
      </c>
      <c r="D824" s="1014">
        <v>1.0280060444329706</v>
      </c>
      <c r="E824" s="1014">
        <v>0.99498966510459741</v>
      </c>
      <c r="F824" s="1014">
        <v>0.98314948284112436</v>
      </c>
      <c r="G824" s="1014">
        <v>0.97701692159121789</v>
      </c>
      <c r="H824" s="1014">
        <v>0.98388495674623866</v>
      </c>
      <c r="I824" s="1014">
        <v>1.0221663131623764</v>
      </c>
      <c r="K824">
        <v>2.4006845731693067</v>
      </c>
      <c r="L824">
        <v>0</v>
      </c>
      <c r="M824">
        <v>1.6686951779886026E-3</v>
      </c>
      <c r="N824">
        <v>0.14955093201566008</v>
      </c>
      <c r="O824">
        <v>2.1450914849329327E-2</v>
      </c>
      <c r="P824">
        <v>2.8230439889665136E-2</v>
      </c>
      <c r="Q824">
        <v>5.5850327878230206E-3</v>
      </c>
      <c r="R824">
        <v>1.6463080228443421E-3</v>
      </c>
      <c r="S824">
        <v>0.26670767008867036</v>
      </c>
      <c r="T824">
        <v>1.3484192948336498</v>
      </c>
      <c r="U824">
        <v>0.2180111065798358</v>
      </c>
      <c r="V824">
        <v>0.24340594465853774</v>
      </c>
      <c r="W824">
        <v>9.8538373440053617E-2</v>
      </c>
      <c r="X824">
        <v>1.6326543448337744E-2</v>
      </c>
      <c r="Y824">
        <v>4.4807077328884249E-3</v>
      </c>
    </row>
    <row r="825" spans="1:25">
      <c r="A825" s="1010"/>
      <c r="B825" s="1351">
        <v>575</v>
      </c>
      <c r="C825" s="1014">
        <v>0.97878427277166913</v>
      </c>
      <c r="D825" s="1014">
        <v>1.0422389888623289</v>
      </c>
      <c r="E825" s="1014">
        <v>0.99755237236863092</v>
      </c>
      <c r="F825" s="1014">
        <v>1.0100789789027604</v>
      </c>
      <c r="G825" s="1014">
        <v>1.0020962983392985</v>
      </c>
      <c r="H825" s="1014">
        <v>0.98539069810340874</v>
      </c>
      <c r="I825" s="1014">
        <v>0.97033918850095413</v>
      </c>
      <c r="K825">
        <v>2.4219011776478316</v>
      </c>
      <c r="L825">
        <v>0</v>
      </c>
      <c r="M825">
        <v>1.6462687804804481E-3</v>
      </c>
      <c r="N825">
        <v>0.1486912189527676</v>
      </c>
      <c r="O825">
        <v>2.1244567534896248E-2</v>
      </c>
      <c r="P825">
        <v>2.8592296670896671E-2</v>
      </c>
      <c r="Q825">
        <v>5.5456039382695893E-3</v>
      </c>
      <c r="R825">
        <v>1.624216246371148E-3</v>
      </c>
      <c r="S825">
        <v>0.24991893850657793</v>
      </c>
      <c r="T825">
        <v>1.3854098577173632</v>
      </c>
      <c r="U825">
        <v>0.21655948699079614</v>
      </c>
      <c r="V825">
        <v>0.24725027909223796</v>
      </c>
      <c r="W825">
        <v>9.7822362593913526E-2</v>
      </c>
      <c r="X825">
        <v>1.6468036984336697E-2</v>
      </c>
      <c r="Y825">
        <v>4.420581199880546E-3</v>
      </c>
    </row>
    <row r="826" spans="1:25">
      <c r="A826" s="1010"/>
      <c r="B826" s="1351">
        <v>576</v>
      </c>
      <c r="C826" s="1014">
        <v>0.98682268096137959</v>
      </c>
      <c r="D826" s="1014">
        <v>0.96506420200432885</v>
      </c>
      <c r="E826" s="1014">
        <v>1.0007404881728814</v>
      </c>
      <c r="F826" s="1014">
        <v>1.0407656297320103</v>
      </c>
      <c r="G826" s="1014">
        <v>1.0474992493183006</v>
      </c>
      <c r="H826" s="1014">
        <v>1.0277657485491809</v>
      </c>
      <c r="I826" s="1014">
        <v>0.97315745024556843</v>
      </c>
      <c r="K826">
        <v>2.4970530253288197</v>
      </c>
      <c r="L826">
        <v>0</v>
      </c>
      <c r="M826">
        <v>1.7207313197266517E-3</v>
      </c>
      <c r="N826">
        <v>0.15700882799037585</v>
      </c>
      <c r="O826">
        <v>2.1433346349346759E-2</v>
      </c>
      <c r="P826">
        <v>2.9475572920112172E-2</v>
      </c>
      <c r="Q826">
        <v>5.6128488445928324E-3</v>
      </c>
      <c r="R826">
        <v>1.6986316826494512E-3</v>
      </c>
      <c r="S826">
        <v>0.26199632890572455</v>
      </c>
      <c r="T826">
        <v>1.4275709804265027</v>
      </c>
      <c r="U826">
        <v>0.2148064899000858</v>
      </c>
      <c r="V826">
        <v>0.25447296718852708</v>
      </c>
      <c r="W826">
        <v>0.10309875560730976</v>
      </c>
      <c r="X826">
        <v>1.6975891346932982E-2</v>
      </c>
      <c r="Y826">
        <v>4.6231154863881126E-3</v>
      </c>
    </row>
    <row r="827" spans="1:25">
      <c r="A827" s="1010"/>
      <c r="B827" s="1351">
        <v>577</v>
      </c>
      <c r="C827" s="1014">
        <v>1.0206517424995212</v>
      </c>
      <c r="D827" s="1014">
        <v>1.0158837068676143</v>
      </c>
      <c r="E827" s="1014">
        <v>1.01314929527346</v>
      </c>
      <c r="F827" s="1014">
        <v>1.0360141773237463</v>
      </c>
      <c r="G827" s="1014">
        <v>1.0400597741203885</v>
      </c>
      <c r="H827" s="1014">
        <v>0.99837999490398954</v>
      </c>
      <c r="I827" s="1014">
        <v>1.0115601754362396</v>
      </c>
      <c r="K827">
        <v>2.4544973372193479</v>
      </c>
      <c r="L827">
        <v>0</v>
      </c>
      <c r="M827">
        <v>1.5573364353125005E-3</v>
      </c>
      <c r="N827">
        <v>0.14746887747112439</v>
      </c>
      <c r="O827">
        <v>2.0498344499542905E-2</v>
      </c>
      <c r="P827">
        <v>2.9410803892360435E-2</v>
      </c>
      <c r="Q827">
        <v>5.4351106971558373E-3</v>
      </c>
      <c r="R827">
        <v>1.5367466038081535E-3</v>
      </c>
      <c r="S827">
        <v>0.25427543069128822</v>
      </c>
      <c r="T827">
        <v>1.4213320604708468</v>
      </c>
      <c r="U827">
        <v>0.20772842416970774</v>
      </c>
      <c r="V827">
        <v>0.25106012758396989</v>
      </c>
      <c r="W827">
        <v>9.6126745637250557E-2</v>
      </c>
      <c r="X827">
        <v>1.6999484270421829E-2</v>
      </c>
      <c r="Y827">
        <v>4.1825176671839966E-3</v>
      </c>
    </row>
    <row r="828" spans="1:25">
      <c r="A828" s="1010"/>
      <c r="B828" s="1351">
        <v>578</v>
      </c>
      <c r="C828" s="1014">
        <v>0.99731675989460977</v>
      </c>
      <c r="D828" s="1014">
        <v>1.0115362491157494</v>
      </c>
      <c r="E828" s="1014">
        <v>1.0247110870371854</v>
      </c>
      <c r="F828" s="1014">
        <v>1.026698056559423</v>
      </c>
      <c r="G828" s="1014">
        <v>0.99297364640639341</v>
      </c>
      <c r="H828" s="1014">
        <v>0.99309246810593277</v>
      </c>
      <c r="I828" s="1014">
        <v>0.96908286857941384</v>
      </c>
      <c r="K828">
        <v>2.4432507900037792</v>
      </c>
      <c r="L828">
        <v>0</v>
      </c>
      <c r="M828">
        <v>1.5491187576208993E-3</v>
      </c>
      <c r="N828">
        <v>0.1518870657140664</v>
      </c>
      <c r="O828">
        <v>2.1005458897448433E-2</v>
      </c>
      <c r="P828">
        <v>2.9396246826783563E-2</v>
      </c>
      <c r="Q828">
        <v>5.6339962208004531E-3</v>
      </c>
      <c r="R828">
        <v>1.5285285254824383E-3</v>
      </c>
      <c r="S828">
        <v>0.24948716506104743</v>
      </c>
      <c r="T828">
        <v>1.4088087513027492</v>
      </c>
      <c r="U828">
        <v>0.21262854676903736</v>
      </c>
      <c r="V828">
        <v>0.24441256842201428</v>
      </c>
      <c r="W828">
        <v>9.8338706282397076E-2</v>
      </c>
      <c r="X828">
        <v>1.7512723972498798E-2</v>
      </c>
      <c r="Y828">
        <v>4.1601507670701917E-3</v>
      </c>
    </row>
    <row r="829" spans="1:25">
      <c r="A829" s="1010"/>
      <c r="B829" s="1351">
        <v>579</v>
      </c>
      <c r="C829" s="1014">
        <v>0.99946134848672341</v>
      </c>
      <c r="D829" s="1014">
        <v>0.9763764574855095</v>
      </c>
      <c r="E829" s="1014">
        <v>0.99124978253469676</v>
      </c>
      <c r="F829" s="1014">
        <v>0.9895144283572086</v>
      </c>
      <c r="G829" s="1014">
        <v>1.0061280530996435</v>
      </c>
      <c r="H829" s="1014">
        <v>0.97532078290572477</v>
      </c>
      <c r="I829" s="1014">
        <v>1.0166235509780073</v>
      </c>
      <c r="K829">
        <v>2.3963129762673883</v>
      </c>
      <c r="L829">
        <v>0</v>
      </c>
      <c r="M829">
        <v>1.6401008062460003E-3</v>
      </c>
      <c r="N829">
        <v>0.14531860635134508</v>
      </c>
      <c r="O829">
        <v>2.1101793749125564E-2</v>
      </c>
      <c r="P829">
        <v>2.8195333021753824E-2</v>
      </c>
      <c r="Q829">
        <v>5.4734407905981733E-3</v>
      </c>
      <c r="R829">
        <v>1.617904061804209E-3</v>
      </c>
      <c r="S829">
        <v>0.26401980200489017</v>
      </c>
      <c r="T829">
        <v>1.3570690831678254</v>
      </c>
      <c r="U829">
        <v>0.21205772051993674</v>
      </c>
      <c r="V829">
        <v>0.24664298736657478</v>
      </c>
      <c r="W829">
        <v>9.5963944983379013E-2</v>
      </c>
      <c r="X829">
        <v>1.6089059542102012E-2</v>
      </c>
      <c r="Y829">
        <v>4.4034015143004212E-3</v>
      </c>
    </row>
    <row r="830" spans="1:25">
      <c r="A830" s="1010"/>
      <c r="B830" s="1351">
        <v>580</v>
      </c>
      <c r="C830" s="1014">
        <v>0.97812325649599929</v>
      </c>
      <c r="D830" s="1014">
        <v>1.0432309305270653</v>
      </c>
      <c r="E830" s="1014">
        <v>0.99427415795643426</v>
      </c>
      <c r="F830" s="1014">
        <v>1.0089685986575532</v>
      </c>
      <c r="G830" s="1014">
        <v>1.0183930253149593</v>
      </c>
      <c r="H830" s="1014">
        <v>0.98979303176588618</v>
      </c>
      <c r="I830" s="1014">
        <v>0.96857199089588775</v>
      </c>
      <c r="K830">
        <v>2.4237511736937791</v>
      </c>
      <c r="L830">
        <v>0</v>
      </c>
      <c r="M830">
        <v>1.6656759541681706E-3</v>
      </c>
      <c r="N830">
        <v>0.14896995747351843</v>
      </c>
      <c r="O830">
        <v>2.1252273639338619E-2</v>
      </c>
      <c r="P830">
        <v>2.8540127624814164E-2</v>
      </c>
      <c r="Q830">
        <v>5.5293238487311392E-3</v>
      </c>
      <c r="R830">
        <v>1.6434626919825412E-3</v>
      </c>
      <c r="S830">
        <v>0.24985590977636127</v>
      </c>
      <c r="T830">
        <v>1.383815397234601</v>
      </c>
      <c r="U830">
        <v>0.21669438906504021</v>
      </c>
      <c r="V830">
        <v>0.25008857063076662</v>
      </c>
      <c r="W830">
        <v>9.8197499966197019E-2</v>
      </c>
      <c r="X830">
        <v>1.6356974016349463E-2</v>
      </c>
      <c r="Y830">
        <v>4.472963680245667E-3</v>
      </c>
    </row>
    <row r="831" spans="1:25">
      <c r="A831" s="1010"/>
      <c r="B831" s="1351">
        <v>581</v>
      </c>
      <c r="C831" s="1014">
        <v>0.99706583410277994</v>
      </c>
      <c r="D831" s="1014">
        <v>0.96069894076188322</v>
      </c>
      <c r="E831" s="1014">
        <v>1.030958547364947</v>
      </c>
      <c r="F831" s="1014">
        <v>1.0084448425211685</v>
      </c>
      <c r="G831" s="1014">
        <v>1.0062424276404478</v>
      </c>
      <c r="H831" s="1014">
        <v>0.99902598917310292</v>
      </c>
      <c r="I831" s="1014">
        <v>1.0064554314038645</v>
      </c>
      <c r="K831">
        <v>2.444058504193241</v>
      </c>
      <c r="L831">
        <v>0</v>
      </c>
      <c r="M831">
        <v>1.556165695902061E-3</v>
      </c>
      <c r="N831">
        <v>0.15549170020674408</v>
      </c>
      <c r="O831">
        <v>2.1254664761399856E-2</v>
      </c>
      <c r="P831">
        <v>2.9453208001336269E-2</v>
      </c>
      <c r="Q831">
        <v>5.7362014245613321E-3</v>
      </c>
      <c r="R831">
        <v>1.53560464683104E-3</v>
      </c>
      <c r="S831">
        <v>0.26655497247044146</v>
      </c>
      <c r="T831">
        <v>1.3838991611297904</v>
      </c>
      <c r="U831">
        <v>0.21270356600159077</v>
      </c>
      <c r="V831">
        <v>0.24667078385953473</v>
      </c>
      <c r="W831">
        <v>0.10030746658409856</v>
      </c>
      <c r="X831">
        <v>1.7827931166076109E-2</v>
      </c>
      <c r="Y831">
        <v>4.1794096367383108E-3</v>
      </c>
    </row>
    <row r="832" spans="1:25">
      <c r="A832" s="1010"/>
      <c r="B832" s="1351">
        <v>582</v>
      </c>
      <c r="C832" s="1014">
        <v>1.0116856883273722</v>
      </c>
      <c r="D832" s="1014">
        <v>1.0269596592053274</v>
      </c>
      <c r="E832" s="1014">
        <v>1.0146290572679779</v>
      </c>
      <c r="F832" s="1014">
        <v>1.0307156475189421</v>
      </c>
      <c r="G832" s="1014">
        <v>1.0127856785605998</v>
      </c>
      <c r="H832" s="1014">
        <v>0.99871252799266974</v>
      </c>
      <c r="I832" s="1014">
        <v>1.0190189096054885</v>
      </c>
      <c r="K832">
        <v>2.4498941282199822</v>
      </c>
      <c r="L832">
        <v>0</v>
      </c>
      <c r="M832">
        <v>1.5631011234286099E-3</v>
      </c>
      <c r="N832">
        <v>0.14867794697191897</v>
      </c>
      <c r="O832">
        <v>2.0631701974915956E-2</v>
      </c>
      <c r="P832">
        <v>2.9350241566493476E-2</v>
      </c>
      <c r="Q832">
        <v>5.4785509564102093E-3</v>
      </c>
      <c r="R832">
        <v>1.5424419569258956E-3</v>
      </c>
      <c r="S832">
        <v>0.25706844820684943</v>
      </c>
      <c r="T832">
        <v>1.4140959621607605</v>
      </c>
      <c r="U832">
        <v>0.20957442566161361</v>
      </c>
      <c r="V832">
        <v>0.24694076717361937</v>
      </c>
      <c r="W832">
        <v>9.6830599965255088E-2</v>
      </c>
      <c r="X832">
        <v>1.7068124207752375E-2</v>
      </c>
      <c r="Y832">
        <v>4.1980185408978399E-3</v>
      </c>
    </row>
    <row r="833" spans="1:25">
      <c r="A833" s="1010"/>
      <c r="B833" s="1351">
        <v>583</v>
      </c>
      <c r="C833" s="1014">
        <v>0.97775796320472275</v>
      </c>
      <c r="D833" s="1014">
        <v>1.0126772946294678</v>
      </c>
      <c r="E833" s="1014">
        <v>1.018653494118253</v>
      </c>
      <c r="F833" s="1014">
        <v>0.96174900720787504</v>
      </c>
      <c r="G833" s="1014">
        <v>1.0130154756097172</v>
      </c>
      <c r="H833" s="1014">
        <v>1.026237392164435</v>
      </c>
      <c r="I833" s="1014">
        <v>0.9808120415103575</v>
      </c>
      <c r="K833">
        <v>2.385374499291701</v>
      </c>
      <c r="L833">
        <v>0</v>
      </c>
      <c r="M833">
        <v>1.6531491881522236E-3</v>
      </c>
      <c r="N833">
        <v>0.1592214303500632</v>
      </c>
      <c r="O833">
        <v>2.1416218816585179E-2</v>
      </c>
      <c r="P833">
        <v>2.830308211931163E-2</v>
      </c>
      <c r="Q833">
        <v>5.7097122004439067E-3</v>
      </c>
      <c r="R833">
        <v>1.6318858996423019E-3</v>
      </c>
      <c r="S833">
        <v>0.26018544920508269</v>
      </c>
      <c r="T833">
        <v>1.319560790678479</v>
      </c>
      <c r="U833">
        <v>0.21686066146706023</v>
      </c>
      <c r="V833">
        <v>0.2491061986887938</v>
      </c>
      <c r="W833">
        <v>0.10345281976089535</v>
      </c>
      <c r="X833">
        <v>1.7137943825709653E-2</v>
      </c>
      <c r="Y833">
        <v>4.4414554677841044E-3</v>
      </c>
    </row>
    <row r="834" spans="1:25">
      <c r="A834" s="1010"/>
      <c r="B834" s="1351">
        <v>584</v>
      </c>
      <c r="C834" s="1014">
        <v>1.0132112203714756</v>
      </c>
      <c r="D834" s="1014">
        <v>0.9796596397380104</v>
      </c>
      <c r="E834" s="1014">
        <v>0.99854855919171615</v>
      </c>
      <c r="F834" s="1014">
        <v>0.96520314719465061</v>
      </c>
      <c r="G834" s="1014">
        <v>1.0040553889926598</v>
      </c>
      <c r="H834" s="1014">
        <v>0.99042120858863592</v>
      </c>
      <c r="I834" s="1014">
        <v>0.98938593725658674</v>
      </c>
      <c r="K834">
        <v>2.3500049129459448</v>
      </c>
      <c r="L834">
        <v>0</v>
      </c>
      <c r="M834">
        <v>1.6170308912755716E-3</v>
      </c>
      <c r="N834">
        <v>0.14650084365540281</v>
      </c>
      <c r="O834">
        <v>2.0804861432007812E-2</v>
      </c>
      <c r="P834">
        <v>2.7709934104795352E-2</v>
      </c>
      <c r="Q834">
        <v>5.4362714091244456E-3</v>
      </c>
      <c r="R834">
        <v>1.5954800313865496E-3</v>
      </c>
      <c r="S834">
        <v>0.25434739685650881</v>
      </c>
      <c r="T834">
        <v>1.3238795977050544</v>
      </c>
      <c r="U834">
        <v>0.20920457638170081</v>
      </c>
      <c r="V834">
        <v>0.24541536235243261</v>
      </c>
      <c r="W834">
        <v>9.6324201782707619E-2</v>
      </c>
      <c r="X834">
        <v>1.6061047430512017E-2</v>
      </c>
      <c r="Y834">
        <v>4.3423706955831943E-3</v>
      </c>
    </row>
    <row r="835" spans="1:25">
      <c r="A835" s="1010"/>
      <c r="B835" s="1351">
        <v>585</v>
      </c>
      <c r="C835" s="1014">
        <v>0.98739859527122209</v>
      </c>
      <c r="D835" s="1014">
        <v>0.99849202860492392</v>
      </c>
      <c r="E835" s="1014">
        <v>0.97426619103527723</v>
      </c>
      <c r="F835" s="1014">
        <v>0.99295903167220989</v>
      </c>
      <c r="G835" s="1014">
        <v>1.0065727666267175</v>
      </c>
      <c r="H835" s="1014">
        <v>0.98978366830096998</v>
      </c>
      <c r="I835" s="1014">
        <v>0.97253056758957734</v>
      </c>
      <c r="K835">
        <v>2.3957218532168953</v>
      </c>
      <c r="L835">
        <v>0</v>
      </c>
      <c r="M835">
        <v>1.7364218591271268E-3</v>
      </c>
      <c r="N835">
        <v>0.14617752312687404</v>
      </c>
      <c r="O835">
        <v>2.1243208842709405E-2</v>
      </c>
      <c r="P835">
        <v>2.7803408364091696E-2</v>
      </c>
      <c r="Q835">
        <v>5.4159642746780126E-3</v>
      </c>
      <c r="R835">
        <v>1.7132649186569543E-3</v>
      </c>
      <c r="S835">
        <v>0.25385610124634356</v>
      </c>
      <c r="T835">
        <v>1.3614297378485574</v>
      </c>
      <c r="U835">
        <v>0.21458973409934465</v>
      </c>
      <c r="V835">
        <v>0.24754377004575423</v>
      </c>
      <c r="W835">
        <v>9.752400213255917E-2</v>
      </c>
      <c r="X835">
        <v>1.5498617845495265E-2</v>
      </c>
      <c r="Y835">
        <v>4.6629423309555822E-3</v>
      </c>
    </row>
    <row r="836" spans="1:25">
      <c r="A836" s="1010"/>
      <c r="B836" s="1351">
        <v>586</v>
      </c>
      <c r="C836" s="1014">
        <v>0.99298618290055674</v>
      </c>
      <c r="D836" s="1014">
        <v>0.99532991351978761</v>
      </c>
      <c r="E836" s="1014">
        <v>1.0152014573195125</v>
      </c>
      <c r="F836" s="1014">
        <v>0.98536889626929625</v>
      </c>
      <c r="G836" s="1014">
        <v>0.96040280889064733</v>
      </c>
      <c r="H836" s="1014">
        <v>0.98421217758308566</v>
      </c>
      <c r="I836" s="1014">
        <v>1.0152612503850378</v>
      </c>
      <c r="K836">
        <v>2.3931397942016792</v>
      </c>
      <c r="L836">
        <v>0</v>
      </c>
      <c r="M836">
        <v>1.5783738248920846E-3</v>
      </c>
      <c r="N836">
        <v>0.15036053596664439</v>
      </c>
      <c r="O836">
        <v>2.1165782297018779E-2</v>
      </c>
      <c r="P836">
        <v>2.8544189701644795E-2</v>
      </c>
      <c r="Q836">
        <v>5.6235790199215922E-3</v>
      </c>
      <c r="R836">
        <v>1.5572054579913903E-3</v>
      </c>
      <c r="S836">
        <v>0.26379515194849357</v>
      </c>
      <c r="T836">
        <v>1.3518944740194192</v>
      </c>
      <c r="U836">
        <v>0.21352301957021519</v>
      </c>
      <c r="V836">
        <v>0.23915870517194862</v>
      </c>
      <c r="W836">
        <v>9.789351235698085E-2</v>
      </c>
      <c r="X836">
        <v>1.6963812592279869E-2</v>
      </c>
      <c r="Y836">
        <v>4.2381999240112996E-3</v>
      </c>
    </row>
    <row r="837" spans="1:25">
      <c r="A837" s="1010"/>
      <c r="B837" s="1351">
        <v>587</v>
      </c>
      <c r="C837" s="1014">
        <v>0.97431190509967491</v>
      </c>
      <c r="D837" s="1014">
        <v>0.95819790665307814</v>
      </c>
      <c r="E837" s="1014">
        <v>1.0223738566184641</v>
      </c>
      <c r="F837" s="1014">
        <v>0.97059593859775872</v>
      </c>
      <c r="G837" s="1014">
        <v>0.98194389394738835</v>
      </c>
      <c r="H837" s="1014">
        <v>0.99970515965572782</v>
      </c>
      <c r="I837" s="1014">
        <v>0.96282577131184488</v>
      </c>
      <c r="K837">
        <v>2.3930703892822565</v>
      </c>
      <c r="L837">
        <v>0</v>
      </c>
      <c r="M837">
        <v>1.6232706345100819E-3</v>
      </c>
      <c r="N837">
        <v>0.15805357634051523</v>
      </c>
      <c r="O837">
        <v>2.1757593628424703E-2</v>
      </c>
      <c r="P837">
        <v>2.8505239470543897E-2</v>
      </c>
      <c r="Q837">
        <v>5.8222131536459333E-3</v>
      </c>
      <c r="R837">
        <v>1.6018375233188265E-3</v>
      </c>
      <c r="S837">
        <v>0.26128614510740183</v>
      </c>
      <c r="T837">
        <v>1.3317775731493366</v>
      </c>
      <c r="U837">
        <v>0.21764077234782686</v>
      </c>
      <c r="V837">
        <v>0.2440159651527592</v>
      </c>
      <c r="W837">
        <v>0.10247082446472802</v>
      </c>
      <c r="X837">
        <v>1.7402245885388818E-2</v>
      </c>
      <c r="Y837">
        <v>4.3596736928761979E-3</v>
      </c>
    </row>
    <row r="838" spans="1:25">
      <c r="A838" s="1010"/>
      <c r="B838" s="1351">
        <v>588</v>
      </c>
      <c r="C838" s="1014">
        <v>0.99919194964204427</v>
      </c>
      <c r="D838" s="1014">
        <v>1.0144765520783869</v>
      </c>
      <c r="E838" s="1014">
        <v>0.99096522507329476</v>
      </c>
      <c r="F838" s="1014">
        <v>0.99196696983871879</v>
      </c>
      <c r="G838" s="1014">
        <v>1.0232402470661563</v>
      </c>
      <c r="H838" s="1014">
        <v>1.0006628480872879</v>
      </c>
      <c r="I838" s="1014">
        <v>0.9840018507769992</v>
      </c>
      <c r="K838">
        <v>2.3955198756657907</v>
      </c>
      <c r="L838">
        <v>0</v>
      </c>
      <c r="M838">
        <v>1.670038449573315E-3</v>
      </c>
      <c r="N838">
        <v>0.14789531270926334</v>
      </c>
      <c r="O838">
        <v>2.0930283460694164E-2</v>
      </c>
      <c r="P838">
        <v>2.8123980422263432E-2</v>
      </c>
      <c r="Q838">
        <v>5.4273936875068691E-3</v>
      </c>
      <c r="R838">
        <v>1.6480089357536057E-3</v>
      </c>
      <c r="S838">
        <v>0.2528484793822911</v>
      </c>
      <c r="T838">
        <v>1.3604265259947286</v>
      </c>
      <c r="U838">
        <v>0.21211392272572702</v>
      </c>
      <c r="V838">
        <v>0.24958386476483932</v>
      </c>
      <c r="W838">
        <v>9.7682158342500325E-2</v>
      </c>
      <c r="X838">
        <v>1.6024646632671422E-2</v>
      </c>
      <c r="Y838">
        <v>4.4853370571216501E-3</v>
      </c>
    </row>
    <row r="839" spans="1:25">
      <c r="A839" s="1010"/>
      <c r="B839" s="1351">
        <v>589</v>
      </c>
      <c r="C839" s="1014">
        <v>1.0296998553002652</v>
      </c>
      <c r="D839" s="1014">
        <v>1.0015044488699389</v>
      </c>
      <c r="E839" s="1014">
        <v>0.99611376509417093</v>
      </c>
      <c r="F839" s="1014">
        <v>0.98079037129392677</v>
      </c>
      <c r="G839" s="1014">
        <v>1.0002181642696599</v>
      </c>
      <c r="H839" s="1014">
        <v>1.0371453199444072</v>
      </c>
      <c r="I839" s="1014">
        <v>0.98912576840466049</v>
      </c>
      <c r="K839">
        <v>2.3687206029095629</v>
      </c>
      <c r="L839">
        <v>0</v>
      </c>
      <c r="M839">
        <v>1.6665285080256964E-3</v>
      </c>
      <c r="N839">
        <v>0.14996967137784742</v>
      </c>
      <c r="O839">
        <v>2.0371061018809065E-2</v>
      </c>
      <c r="P839">
        <v>2.7839663433631014E-2</v>
      </c>
      <c r="Q839">
        <v>5.3098895439542861E-3</v>
      </c>
      <c r="R839">
        <v>1.6453185722412242E-3</v>
      </c>
      <c r="S839">
        <v>0.25124614976703397</v>
      </c>
      <c r="T839">
        <v>1.3452075257304259</v>
      </c>
      <c r="U839">
        <v>0.20584649385819917</v>
      </c>
      <c r="V839">
        <v>0.24378280608449801</v>
      </c>
      <c r="W839">
        <v>9.8748050426656075E-2</v>
      </c>
      <c r="X839">
        <v>1.5942486829772524E-2</v>
      </c>
      <c r="Y839">
        <v>4.4780147745190416E-3</v>
      </c>
    </row>
    <row r="840" spans="1:25">
      <c r="A840" s="1010"/>
      <c r="B840" s="1351">
        <v>590</v>
      </c>
      <c r="C840" s="1014">
        <v>0.9984781439043674</v>
      </c>
      <c r="D840" s="1014">
        <v>1.008985287969955</v>
      </c>
      <c r="E840" s="1014">
        <v>0.97194484748393617</v>
      </c>
      <c r="F840" s="1014">
        <v>1.0154567703839117</v>
      </c>
      <c r="G840" s="1014">
        <v>0.9795327870211521</v>
      </c>
      <c r="H840" s="1014">
        <v>1.0001618005530264</v>
      </c>
      <c r="I840" s="1014">
        <v>0.98604504367249868</v>
      </c>
      <c r="K840">
        <v>2.4177462470879765</v>
      </c>
      <c r="L840">
        <v>0</v>
      </c>
      <c r="M840">
        <v>1.7394928228564295E-3</v>
      </c>
      <c r="N840">
        <v>0.14543101814113041</v>
      </c>
      <c r="O840">
        <v>2.0957691288291325E-2</v>
      </c>
      <c r="P840">
        <v>2.8065273575038036E-2</v>
      </c>
      <c r="Q840">
        <v>5.3305312124822977E-3</v>
      </c>
      <c r="R840">
        <v>1.7165356398548149E-3</v>
      </c>
      <c r="S840">
        <v>0.25404813869984555</v>
      </c>
      <c r="T840">
        <v>1.3922253183320656</v>
      </c>
      <c r="U840">
        <v>0.21220064054925167</v>
      </c>
      <c r="V840">
        <v>0.24223017982086986</v>
      </c>
      <c r="W840">
        <v>9.7162804495037405E-2</v>
      </c>
      <c r="X840">
        <v>1.5445764001101142E-2</v>
      </c>
      <c r="Y840">
        <v>4.6718441558632048E-3</v>
      </c>
    </row>
    <row r="841" spans="1:25">
      <c r="A841" s="1010"/>
      <c r="B841" s="1351">
        <v>591</v>
      </c>
      <c r="C841" s="1014">
        <v>0.95903105984639303</v>
      </c>
      <c r="D841" s="1014">
        <v>1.0042400010006767</v>
      </c>
      <c r="E841" s="1014">
        <v>1.0067190602791631</v>
      </c>
      <c r="F841" s="1014">
        <v>1.0003120927324458</v>
      </c>
      <c r="G841" s="1014">
        <v>1.0059868037280812</v>
      </c>
      <c r="H841" s="1014">
        <v>1.0036233098503637</v>
      </c>
      <c r="I841" s="1014">
        <v>1.0192529328888795</v>
      </c>
      <c r="K841">
        <v>2.4555355604463145</v>
      </c>
      <c r="L841">
        <v>0</v>
      </c>
      <c r="M841">
        <v>1.6927984804309274E-3</v>
      </c>
      <c r="N841">
        <v>0.15722537802100522</v>
      </c>
      <c r="O841">
        <v>2.1866370174261029E-2</v>
      </c>
      <c r="P841">
        <v>2.9034644112906544E-2</v>
      </c>
      <c r="Q841">
        <v>5.7606911469744648E-3</v>
      </c>
      <c r="R841">
        <v>1.6705346062329367E-3</v>
      </c>
      <c r="S841">
        <v>0.27466440992122948</v>
      </c>
      <c r="T841">
        <v>1.3722121429156564</v>
      </c>
      <c r="U841">
        <v>0.22105265737394431</v>
      </c>
      <c r="V841">
        <v>0.24919500116040513</v>
      </c>
      <c r="W841">
        <v>0.10287582690378387</v>
      </c>
      <c r="X841">
        <v>1.7124058083765447E-2</v>
      </c>
      <c r="Y841">
        <v>4.5466445065811103E-3</v>
      </c>
    </row>
    <row r="842" spans="1:25">
      <c r="A842" s="1010"/>
      <c r="B842" s="1351">
        <v>592</v>
      </c>
      <c r="C842" s="1014">
        <v>0.99358250572209628</v>
      </c>
      <c r="D842" s="1014">
        <v>0.99734403207403066</v>
      </c>
      <c r="E842" s="1014">
        <v>0.99481505614359989</v>
      </c>
      <c r="F842" s="1014">
        <v>0.99917672059231188</v>
      </c>
      <c r="G842" s="1014">
        <v>0.99549924162812098</v>
      </c>
      <c r="H842" s="1014">
        <v>1.0101147461020801</v>
      </c>
      <c r="I842" s="1014">
        <v>0.96152903082056151</v>
      </c>
      <c r="K842">
        <v>2.406945222101696</v>
      </c>
      <c r="L842">
        <v>0</v>
      </c>
      <c r="M842">
        <v>1.6881748519401161E-3</v>
      </c>
      <c r="N842">
        <v>0.15127030307690675</v>
      </c>
      <c r="O842">
        <v>2.1130037783722043E-2</v>
      </c>
      <c r="P842">
        <v>2.8277871084285915E-2</v>
      </c>
      <c r="Q842">
        <v>5.500519919950422E-3</v>
      </c>
      <c r="R842">
        <v>1.6661144747537916E-3</v>
      </c>
      <c r="S842">
        <v>0.25140270487539063</v>
      </c>
      <c r="T842">
        <v>1.3703973673820016</v>
      </c>
      <c r="U842">
        <v>0.21332467872695449</v>
      </c>
      <c r="V842">
        <v>0.2451839987413641</v>
      </c>
      <c r="W842">
        <v>9.9681644533391039E-2</v>
      </c>
      <c r="X842">
        <v>1.6263541989122599E-2</v>
      </c>
      <c r="Y842">
        <v>4.5346143657908275E-3</v>
      </c>
    </row>
    <row r="843" spans="1:25">
      <c r="A843" s="1010"/>
      <c r="B843" s="1351">
        <v>593</v>
      </c>
      <c r="C843" s="1014">
        <v>1.0021547371215422</v>
      </c>
      <c r="D843" s="1014">
        <v>1.0090156060551625</v>
      </c>
      <c r="E843" s="1014">
        <v>1.002055894435715</v>
      </c>
      <c r="F843" s="1014">
        <v>0.97191748379522003</v>
      </c>
      <c r="G843" s="1014">
        <v>0.98156557275746414</v>
      </c>
      <c r="H843" s="1014">
        <v>1.0093462828311783</v>
      </c>
      <c r="I843" s="1014">
        <v>0.99983303731593354</v>
      </c>
      <c r="K843">
        <v>2.3688764512436942</v>
      </c>
      <c r="L843">
        <v>0</v>
      </c>
      <c r="M843">
        <v>1.6433233558276654E-3</v>
      </c>
      <c r="N843">
        <v>0.15050699189867794</v>
      </c>
      <c r="O843">
        <v>2.0900526281476185E-2</v>
      </c>
      <c r="P843">
        <v>2.7943141955554286E-2</v>
      </c>
      <c r="Q843">
        <v>5.4805529122154131E-3</v>
      </c>
      <c r="R843">
        <v>1.6218327302267824E-3</v>
      </c>
      <c r="S843">
        <v>0.25767370952222302</v>
      </c>
      <c r="T843">
        <v>1.3331627620372477</v>
      </c>
      <c r="U843">
        <v>0.21152463362047727</v>
      </c>
      <c r="V843">
        <v>0.24224171459770499</v>
      </c>
      <c r="W843">
        <v>9.8752220145522998E-2</v>
      </c>
      <c r="X843">
        <v>1.629759484353235E-2</v>
      </c>
      <c r="Y843">
        <v>4.4140940546614675E-3</v>
      </c>
    </row>
    <row r="844" spans="1:25">
      <c r="A844" s="1010"/>
      <c r="B844" s="1351">
        <v>594</v>
      </c>
      <c r="C844" s="1014">
        <v>1.0173477954134846</v>
      </c>
      <c r="D844" s="1014">
        <v>0.9873470126263193</v>
      </c>
      <c r="E844" s="1014">
        <v>1.0238919037915477</v>
      </c>
      <c r="F844" s="1014">
        <v>0.9857960744810399</v>
      </c>
      <c r="G844" s="1014">
        <v>0.96024608844856241</v>
      </c>
      <c r="H844" s="1014">
        <v>1.0293510596994895</v>
      </c>
      <c r="I844" s="1014">
        <v>1.0059361656348629</v>
      </c>
      <c r="K844">
        <v>2.3905643399062679</v>
      </c>
      <c r="L844">
        <v>0</v>
      </c>
      <c r="M844">
        <v>1.5851686644990691E-3</v>
      </c>
      <c r="N844">
        <v>0.15511173244302501</v>
      </c>
      <c r="O844">
        <v>2.0701276128052535E-2</v>
      </c>
      <c r="P844">
        <v>2.8592602813247533E-2</v>
      </c>
      <c r="Q844">
        <v>5.5479003062333691E-3</v>
      </c>
      <c r="R844">
        <v>1.564841435439557E-3</v>
      </c>
      <c r="S844">
        <v>0.26003038614439394</v>
      </c>
      <c r="T844">
        <v>1.3526665511638307</v>
      </c>
      <c r="U844">
        <v>0.20843924151284582</v>
      </c>
      <c r="V844">
        <v>0.2375979097277626</v>
      </c>
      <c r="W844">
        <v>0.10047448455473665</v>
      </c>
      <c r="X844">
        <v>1.7163599803775346E-2</v>
      </c>
      <c r="Y844">
        <v>4.2589825374259194E-3</v>
      </c>
    </row>
    <row r="845" spans="1:25">
      <c r="A845" s="1010"/>
      <c r="B845" s="1351">
        <v>595</v>
      </c>
      <c r="C845" s="1014">
        <v>0.96816910265633638</v>
      </c>
      <c r="D845" s="1014">
        <v>1.0014198563535679</v>
      </c>
      <c r="E845" s="1014">
        <v>1.0281875141618522</v>
      </c>
      <c r="F845" s="1014">
        <v>1.0178379772985111</v>
      </c>
      <c r="G845" s="1014">
        <v>0.97483853783535224</v>
      </c>
      <c r="H845" s="1014">
        <v>0.96373858421778946</v>
      </c>
      <c r="I845" s="1014">
        <v>0.97269296007870276</v>
      </c>
      <c r="K845">
        <v>2.4458932932123756</v>
      </c>
      <c r="L845">
        <v>0</v>
      </c>
      <c r="M845">
        <v>1.5408207307487166E-3</v>
      </c>
      <c r="N845">
        <v>0.15260281114667326</v>
      </c>
      <c r="O845">
        <v>2.1688140944743389E-2</v>
      </c>
      <c r="P845">
        <v>2.9476336945215245E-2</v>
      </c>
      <c r="Q845">
        <v>5.8371700099672259E-3</v>
      </c>
      <c r="R845">
        <v>1.51971700741871E-3</v>
      </c>
      <c r="S845">
        <v>0.25677536931855177</v>
      </c>
      <c r="T845">
        <v>1.3967281032669834</v>
      </c>
      <c r="U845">
        <v>0.21904225571854405</v>
      </c>
      <c r="V845">
        <v>0.24319038385238281</v>
      </c>
      <c r="W845">
        <v>9.8602377752189246E-2</v>
      </c>
      <c r="X845">
        <v>1.783527926083623E-2</v>
      </c>
      <c r="Y845">
        <v>4.136168719616873E-3</v>
      </c>
    </row>
    <row r="846" spans="1:25">
      <c r="A846" s="1010"/>
      <c r="B846" s="1351">
        <v>596</v>
      </c>
      <c r="C846" s="1014">
        <v>0.97469403311689262</v>
      </c>
      <c r="D846" s="1014">
        <v>1.0022727547728816</v>
      </c>
      <c r="E846" s="1014">
        <v>0.99718515387683793</v>
      </c>
      <c r="F846" s="1014">
        <v>1.029111749340573</v>
      </c>
      <c r="G846" s="1014">
        <v>0.96285074544252491</v>
      </c>
      <c r="H846" s="1014">
        <v>0.99406107049947479</v>
      </c>
      <c r="I846" s="1014">
        <v>0.97863370147049977</v>
      </c>
      <c r="K846">
        <v>2.4577819751214114</v>
      </c>
      <c r="L846">
        <v>0</v>
      </c>
      <c r="M846">
        <v>1.6834127353964686E-3</v>
      </c>
      <c r="N846">
        <v>0.15189542594813549</v>
      </c>
      <c r="O846">
        <v>2.1517778555652161E-2</v>
      </c>
      <c r="P846">
        <v>2.8986117695202027E-2</v>
      </c>
      <c r="Q846">
        <v>5.6148459810411912E-3</v>
      </c>
      <c r="R846">
        <v>1.6610593265990758E-3</v>
      </c>
      <c r="S846">
        <v>0.25884065182255017</v>
      </c>
      <c r="T846">
        <v>1.4115067638251571</v>
      </c>
      <c r="U846">
        <v>0.21746697739470242</v>
      </c>
      <c r="V846">
        <v>0.24081655289420398</v>
      </c>
      <c r="W846">
        <v>9.9952234121504932E-2</v>
      </c>
      <c r="X846">
        <v>1.6686124373114564E-2</v>
      </c>
      <c r="Y846">
        <v>4.5208559189428323E-3</v>
      </c>
    </row>
    <row r="847" spans="1:25">
      <c r="A847" s="1010"/>
      <c r="B847" s="1351">
        <v>597</v>
      </c>
      <c r="C847" s="1014">
        <v>0.99209129051602185</v>
      </c>
      <c r="D847" s="1014">
        <v>1.0236599888348552</v>
      </c>
      <c r="E847" s="1014">
        <v>0.97451462662136534</v>
      </c>
      <c r="F847" s="1014">
        <v>1.0005918228705879</v>
      </c>
      <c r="G847" s="1014">
        <v>1.035968262049958</v>
      </c>
      <c r="H847" s="1014">
        <v>1.0021539430628708</v>
      </c>
      <c r="I847" s="1014">
        <v>0.96381641076085978</v>
      </c>
      <c r="K847">
        <v>2.40483219821926</v>
      </c>
      <c r="L847">
        <v>0</v>
      </c>
      <c r="M847">
        <v>1.7393577598466758E-3</v>
      </c>
      <c r="N847">
        <v>0.14655927613720549</v>
      </c>
      <c r="O847">
        <v>2.1027417594678254E-2</v>
      </c>
      <c r="P847">
        <v>2.792421802193696E-2</v>
      </c>
      <c r="Q847">
        <v>5.3623063098338728E-3</v>
      </c>
      <c r="R847">
        <v>1.7164479914968318E-3</v>
      </c>
      <c r="S847">
        <v>0.24831023241758418</v>
      </c>
      <c r="T847">
        <v>1.3719002797069848</v>
      </c>
      <c r="U847">
        <v>0.21357555471542303</v>
      </c>
      <c r="V847">
        <v>0.252267600773949</v>
      </c>
      <c r="W847">
        <v>9.7763960817887838E-2</v>
      </c>
      <c r="X847">
        <v>1.5492655886198602E-2</v>
      </c>
      <c r="Y847">
        <v>4.6716056059260477E-3</v>
      </c>
    </row>
    <row r="848" spans="1:25">
      <c r="A848" s="1010"/>
      <c r="B848" s="1351">
        <v>598</v>
      </c>
      <c r="C848" s="1014">
        <v>1.0284384180097428</v>
      </c>
      <c r="D848" s="1014">
        <v>1.0045904870447342</v>
      </c>
      <c r="E848" s="1014">
        <v>0.97615235730005845</v>
      </c>
      <c r="F848" s="1014">
        <v>1.0111059962240505</v>
      </c>
      <c r="G848" s="1014">
        <v>1.0078213252822039</v>
      </c>
      <c r="H848" s="1014">
        <v>1.0134588012838781</v>
      </c>
      <c r="I848" s="1014">
        <v>0.99164592875957525</v>
      </c>
      <c r="K848">
        <v>2.400446693377599</v>
      </c>
      <c r="L848">
        <v>0</v>
      </c>
      <c r="M848">
        <v>1.698091006607533E-3</v>
      </c>
      <c r="N848">
        <v>0.14381453158349031</v>
      </c>
      <c r="O848">
        <v>2.0369406418091415E-2</v>
      </c>
      <c r="P848">
        <v>2.7976168224676953E-2</v>
      </c>
      <c r="Q848">
        <v>5.2031800396946061E-3</v>
      </c>
      <c r="R848">
        <v>1.6759742681775824E-3</v>
      </c>
      <c r="S848">
        <v>0.24971184889263781</v>
      </c>
      <c r="T848">
        <v>1.3863517769707212</v>
      </c>
      <c r="U848">
        <v>0.20603277727946306</v>
      </c>
      <c r="V848">
        <v>0.24522953165657441</v>
      </c>
      <c r="W848">
        <v>9.5837876400670069E-2</v>
      </c>
      <c r="X848">
        <v>1.5380263176797698E-2</v>
      </c>
      <c r="Y848">
        <v>4.5614494732103593E-3</v>
      </c>
    </row>
    <row r="849" spans="1:25">
      <c r="A849" s="1010"/>
      <c r="B849" s="1351">
        <v>599</v>
      </c>
      <c r="C849" s="1014">
        <v>1.0438110214308061</v>
      </c>
      <c r="D849" s="1014">
        <v>1.010411180387508</v>
      </c>
      <c r="E849" s="1014">
        <v>1.0050017391190709</v>
      </c>
      <c r="F849" s="1014">
        <v>1.0130297461607893</v>
      </c>
      <c r="G849" s="1014">
        <v>0.99719417686286849</v>
      </c>
      <c r="H849" s="1014">
        <v>0.98431650539362214</v>
      </c>
      <c r="I849" s="1014">
        <v>1.0229905912097488</v>
      </c>
      <c r="K849">
        <v>2.3940353901767706</v>
      </c>
      <c r="L849">
        <v>0</v>
      </c>
      <c r="M849">
        <v>1.5287737346062064E-3</v>
      </c>
      <c r="N849">
        <v>0.14121952082569195</v>
      </c>
      <c r="O849">
        <v>2.0062199673445229E-2</v>
      </c>
      <c r="P849">
        <v>2.8571551987386489E-2</v>
      </c>
      <c r="Q849">
        <v>5.2762963955179619E-3</v>
      </c>
      <c r="R849">
        <v>1.5082727526474476E-3</v>
      </c>
      <c r="S849">
        <v>0.25088730225462086</v>
      </c>
      <c r="T849">
        <v>1.3896203458729266</v>
      </c>
      <c r="U849">
        <v>0.20309278631440414</v>
      </c>
      <c r="V849">
        <v>0.24241514083171409</v>
      </c>
      <c r="W849">
        <v>9.2496788975919689E-2</v>
      </c>
      <c r="X849">
        <v>1.6308936796374671E-2</v>
      </c>
      <c r="Y849">
        <v>4.1050212307270698E-3</v>
      </c>
    </row>
    <row r="850" spans="1:25">
      <c r="A850" s="1010"/>
      <c r="B850" s="1351">
        <v>600</v>
      </c>
      <c r="C850" s="1014">
        <v>0.99605791527229215</v>
      </c>
      <c r="D850" s="1014">
        <v>1.0226817960689898</v>
      </c>
      <c r="E850" s="1014">
        <v>0.98951881294275112</v>
      </c>
      <c r="F850" s="1014">
        <v>0.99541892727775938</v>
      </c>
      <c r="G850" s="1014">
        <v>1.0254829873401172</v>
      </c>
      <c r="H850" s="1014">
        <v>1.0100630621469282</v>
      </c>
      <c r="I850" s="1014">
        <v>0.99028349901896673</v>
      </c>
      <c r="K850">
        <v>2.4062309937233048</v>
      </c>
      <c r="L850">
        <v>0</v>
      </c>
      <c r="M850">
        <v>1.693101034905135E-3</v>
      </c>
      <c r="N850">
        <v>0.1493020068126015</v>
      </c>
      <c r="O850">
        <v>2.0958004596495629E-2</v>
      </c>
      <c r="P850">
        <v>2.8203375794052767E-2</v>
      </c>
      <c r="Q850">
        <v>5.4266436058920059E-3</v>
      </c>
      <c r="R850">
        <v>1.6709751522762716E-3</v>
      </c>
      <c r="S850">
        <v>0.25501969801058577</v>
      </c>
      <c r="T850">
        <v>1.3651296119625043</v>
      </c>
      <c r="U850">
        <v>0.21277636995155394</v>
      </c>
      <c r="V850">
        <v>0.2501688130445196</v>
      </c>
      <c r="W850">
        <v>9.8696720374620808E-2</v>
      </c>
      <c r="X850">
        <v>1.6024031925418732E-2</v>
      </c>
      <c r="Y850">
        <v>4.5478435276851041E-3</v>
      </c>
    </row>
    <row r="851" spans="1:25">
      <c r="A851" s="1010"/>
      <c r="B851" s="1351">
        <v>601</v>
      </c>
      <c r="C851" s="1014">
        <v>1.0060799357160966</v>
      </c>
      <c r="D851" s="1014">
        <v>1.0163531470168223</v>
      </c>
      <c r="E851" s="1014">
        <v>0.9825251782330543</v>
      </c>
      <c r="F851" s="1014">
        <v>1.0052098252711443</v>
      </c>
      <c r="G851" s="1014">
        <v>1.0021156817439139</v>
      </c>
      <c r="H851" s="1014">
        <v>1.0051706796570954</v>
      </c>
      <c r="I851" s="1014">
        <v>0.99203527422243964</v>
      </c>
      <c r="K851">
        <v>2.4057875995062994</v>
      </c>
      <c r="L851">
        <v>0</v>
      </c>
      <c r="M851">
        <v>1.6947509606012382E-3</v>
      </c>
      <c r="N851">
        <v>0.14631030275440807</v>
      </c>
      <c r="O851">
        <v>2.0773001185606096E-2</v>
      </c>
      <c r="P851">
        <v>2.8119102013482337E-2</v>
      </c>
      <c r="Q851">
        <v>5.3407694231147346E-3</v>
      </c>
      <c r="R851">
        <v>1.6724957199282264E-3</v>
      </c>
      <c r="S851">
        <v>0.25324341724783977</v>
      </c>
      <c r="T851">
        <v>1.378405355425002</v>
      </c>
      <c r="U851">
        <v>0.21063309920511056</v>
      </c>
      <c r="V851">
        <v>0.24557882550598492</v>
      </c>
      <c r="W851">
        <v>9.7126390865164725E-2</v>
      </c>
      <c r="X851">
        <v>1.5727609109677288E-2</v>
      </c>
      <c r="Y851">
        <v>4.5519820115787332E-3</v>
      </c>
    </row>
    <row r="852" spans="1:25">
      <c r="A852" s="1010"/>
      <c r="B852" s="1351">
        <v>602</v>
      </c>
      <c r="C852" s="1014">
        <v>1.0248655295057056</v>
      </c>
      <c r="D852" s="1014">
        <v>1.0152824488048398</v>
      </c>
      <c r="E852" s="1014">
        <v>0.96414858142247228</v>
      </c>
      <c r="F852" s="1014">
        <v>0.97810441089697908</v>
      </c>
      <c r="G852" s="1014">
        <v>1.0386211092810949</v>
      </c>
      <c r="H852" s="1014">
        <v>0.99001692394510821</v>
      </c>
      <c r="I852" s="1014">
        <v>1.032351270838997</v>
      </c>
      <c r="K852">
        <v>2.3601804773691657</v>
      </c>
      <c r="L852">
        <v>0</v>
      </c>
      <c r="M852">
        <v>1.7023937585961808E-3</v>
      </c>
      <c r="N852">
        <v>0.13898930237709728</v>
      </c>
      <c r="O852">
        <v>2.0385155871023426E-2</v>
      </c>
      <c r="P852">
        <v>2.7300304347439897E-2</v>
      </c>
      <c r="Q852">
        <v>5.1437124965124448E-3</v>
      </c>
      <c r="R852">
        <v>1.6796959662740329E-3</v>
      </c>
      <c r="S852">
        <v>0.25739796961303585</v>
      </c>
      <c r="T852">
        <v>1.3408501538704101</v>
      </c>
      <c r="U852">
        <v>0.20671120757530248</v>
      </c>
      <c r="V852">
        <v>0.25075112204973282</v>
      </c>
      <c r="W852">
        <v>9.3301436978134589E-2</v>
      </c>
      <c r="X852">
        <v>1.4801231274229918E-2</v>
      </c>
      <c r="Y852">
        <v>4.5715787085714487E-3</v>
      </c>
    </row>
    <row r="853" spans="1:25">
      <c r="A853" s="1010"/>
      <c r="B853" s="1351">
        <v>603</v>
      </c>
      <c r="C853" s="1014">
        <v>1.0000871513493081</v>
      </c>
      <c r="D853" s="1014">
        <v>1.0412971349099296</v>
      </c>
      <c r="E853" s="1014">
        <v>1.0014828185027087</v>
      </c>
      <c r="F853" s="1014">
        <v>1.0316479976682977</v>
      </c>
      <c r="G853" s="1014">
        <v>0.97893943579112341</v>
      </c>
      <c r="H853" s="1014">
        <v>0.98797793049850957</v>
      </c>
      <c r="I853" s="1014">
        <v>0.99574649349334465</v>
      </c>
      <c r="K853">
        <v>2.4390334812919607</v>
      </c>
      <c r="L853">
        <v>0</v>
      </c>
      <c r="M853">
        <v>1.6026346492769769E-3</v>
      </c>
      <c r="N853">
        <v>0.14648456259292222</v>
      </c>
      <c r="O853">
        <v>2.079875749668279E-2</v>
      </c>
      <c r="P853">
        <v>2.8965681776942181E-2</v>
      </c>
      <c r="Q853">
        <v>5.4507293289249598E-3</v>
      </c>
      <c r="R853">
        <v>1.5812228332588317E-3</v>
      </c>
      <c r="S853">
        <v>0.25136106616950765</v>
      </c>
      <c r="T853">
        <v>1.4150813054691245</v>
      </c>
      <c r="U853">
        <v>0.21195998155280524</v>
      </c>
      <c r="V853">
        <v>0.24192398430108292</v>
      </c>
      <c r="W853">
        <v>9.6145678228012468E-2</v>
      </c>
      <c r="X853">
        <v>1.6579578889810084E-2</v>
      </c>
      <c r="Y853">
        <v>4.3035673021636443E-3</v>
      </c>
    </row>
    <row r="854" spans="1:25">
      <c r="A854" s="1010"/>
      <c r="B854" s="1351">
        <v>604</v>
      </c>
      <c r="C854" s="1014">
        <v>0.98706333003387359</v>
      </c>
      <c r="D854" s="1014">
        <v>1.0119955587973046</v>
      </c>
      <c r="E854" s="1014">
        <v>0.97560782131987234</v>
      </c>
      <c r="F854" s="1014">
        <v>0.98886643929271845</v>
      </c>
      <c r="G854" s="1014">
        <v>1.0034045857869098</v>
      </c>
      <c r="H854" s="1014">
        <v>0.99343607612027918</v>
      </c>
      <c r="I854" s="1014">
        <v>1.0326871464136618</v>
      </c>
      <c r="K854">
        <v>2.4046649047607218</v>
      </c>
      <c r="L854">
        <v>0</v>
      </c>
      <c r="M854">
        <v>1.7334648909489974E-3</v>
      </c>
      <c r="N854">
        <v>0.14652967327305066</v>
      </c>
      <c r="O854">
        <v>2.1188611183048156E-2</v>
      </c>
      <c r="P854">
        <v>2.794296102869721E-2</v>
      </c>
      <c r="Q854">
        <v>5.4094368207826321E-3</v>
      </c>
      <c r="R854">
        <v>1.7104323770827999E-3</v>
      </c>
      <c r="S854">
        <v>0.26817639335172988</v>
      </c>
      <c r="T854">
        <v>1.3558469969216742</v>
      </c>
      <c r="U854">
        <v>0.21466724877487503</v>
      </c>
      <c r="V854">
        <v>0.2470188591120846</v>
      </c>
      <c r="W854">
        <v>9.7679461552376293E-2</v>
      </c>
      <c r="X854">
        <v>1.5573062169729548E-2</v>
      </c>
      <c r="Y854">
        <v>4.6552330865378116E-3</v>
      </c>
    </row>
    <row r="855" spans="1:25">
      <c r="A855" s="1010"/>
      <c r="B855" s="1351">
        <v>605</v>
      </c>
      <c r="C855" s="1014">
        <v>1.031583755210761</v>
      </c>
      <c r="D855" s="1014">
        <v>0.98071273410047954</v>
      </c>
      <c r="E855" s="1014">
        <v>1.0061713034362334</v>
      </c>
      <c r="F855" s="1014">
        <v>1.0337843756602343</v>
      </c>
      <c r="G855" s="1014">
        <v>0.9830374155785363</v>
      </c>
      <c r="H855" s="1014">
        <v>1.0272594958533563</v>
      </c>
      <c r="I855" s="1014">
        <v>0.9666393397882399</v>
      </c>
      <c r="K855">
        <v>2.4357827548794204</v>
      </c>
      <c r="L855">
        <v>0</v>
      </c>
      <c r="M855">
        <v>1.621070347658787E-3</v>
      </c>
      <c r="N855">
        <v>0.15036059465289447</v>
      </c>
      <c r="O855">
        <v>2.0434423946965811E-2</v>
      </c>
      <c r="P855">
        <v>2.8942600825101462E-2</v>
      </c>
      <c r="Q855">
        <v>5.3804924442534055E-3</v>
      </c>
      <c r="R855">
        <v>1.6002404126120864E-3</v>
      </c>
      <c r="S855">
        <v>0.24695019908895155</v>
      </c>
      <c r="T855">
        <v>1.4181166226541735</v>
      </c>
      <c r="U855">
        <v>0.20550390501600879</v>
      </c>
      <c r="V855">
        <v>0.24070237004522035</v>
      </c>
      <c r="W855">
        <v>9.841592900491343E-2</v>
      </c>
      <c r="X855">
        <v>1.6641120251965645E-2</v>
      </c>
      <c r="Y855">
        <v>4.3553268840198578E-3</v>
      </c>
    </row>
    <row r="856" spans="1:25">
      <c r="A856" s="1010"/>
      <c r="B856" s="1351">
        <v>606</v>
      </c>
      <c r="C856" s="1014">
        <v>1.0314115936802364</v>
      </c>
      <c r="D856" s="1014">
        <v>1.0109008949097329</v>
      </c>
      <c r="E856" s="1014">
        <v>1.0306145212047753</v>
      </c>
      <c r="F856" s="1014">
        <v>1.0233812958610362</v>
      </c>
      <c r="G856" s="1014">
        <v>0.97182223629817033</v>
      </c>
      <c r="H856" s="1014">
        <v>1.0106244790129881</v>
      </c>
      <c r="I856" s="1014">
        <v>0.99422040251545996</v>
      </c>
      <c r="K856">
        <v>2.4216667731146901</v>
      </c>
      <c r="L856">
        <v>0</v>
      </c>
      <c r="M856">
        <v>1.5059320714354116E-3</v>
      </c>
      <c r="N856">
        <v>0.15033950329549062</v>
      </c>
      <c r="O856">
        <v>2.0317705629235572E-2</v>
      </c>
      <c r="P856">
        <v>2.9277694279621382E-2</v>
      </c>
      <c r="Q856">
        <v>5.4814712624710943E-3</v>
      </c>
      <c r="R856">
        <v>1.4862630937564545E-3</v>
      </c>
      <c r="S856">
        <v>0.24905734620075773</v>
      </c>
      <c r="T856">
        <v>1.4043889484546226</v>
      </c>
      <c r="U856">
        <v>0.20561944265264898</v>
      </c>
      <c r="V856">
        <v>0.23871415799592183</v>
      </c>
      <c r="W856">
        <v>9.7003149483029447E-2</v>
      </c>
      <c r="X856">
        <v>1.7441904643862659E-2</v>
      </c>
      <c r="Y856">
        <v>4.045118194707889E-3</v>
      </c>
    </row>
    <row r="857" spans="1:25">
      <c r="A857" s="1010"/>
      <c r="B857" s="1351">
        <v>607</v>
      </c>
      <c r="C857" s="1014">
        <v>1.0073519073105615</v>
      </c>
      <c r="D857" s="1014">
        <v>1.0142278391315209</v>
      </c>
      <c r="E857" s="1014">
        <v>0.96413377850822946</v>
      </c>
      <c r="F857" s="1014">
        <v>0.98705345955616175</v>
      </c>
      <c r="G857" s="1014">
        <v>0.98447178445831951</v>
      </c>
      <c r="H857" s="1014">
        <v>1.0040792025728216</v>
      </c>
      <c r="I857" s="1014">
        <v>1.0179659072474547</v>
      </c>
      <c r="K857">
        <v>2.3783671533428379</v>
      </c>
      <c r="L857">
        <v>0</v>
      </c>
      <c r="M857">
        <v>1.7570478999363126E-3</v>
      </c>
      <c r="N857">
        <v>0.14347217004008356</v>
      </c>
      <c r="O857">
        <v>2.0744300965506345E-2</v>
      </c>
      <c r="P857">
        <v>2.7430553572842898E-2</v>
      </c>
      <c r="Q857">
        <v>5.2342548236637611E-3</v>
      </c>
      <c r="R857">
        <v>1.7339495025895176E-3</v>
      </c>
      <c r="S857">
        <v>0.25956171135603018</v>
      </c>
      <c r="T857">
        <v>1.3531177874364793</v>
      </c>
      <c r="U857">
        <v>0.21030499805146349</v>
      </c>
      <c r="V857">
        <v>0.24255245367276171</v>
      </c>
      <c r="W857">
        <v>9.6311590667282593E-2</v>
      </c>
      <c r="X857">
        <v>1.4941192204321515E-2</v>
      </c>
      <c r="Y857">
        <v>4.7192389497487568E-3</v>
      </c>
    </row>
    <row r="858" spans="1:25">
      <c r="A858" s="1010"/>
      <c r="B858" s="1351">
        <v>608</v>
      </c>
      <c r="C858" s="1014">
        <v>1.0028514157471522</v>
      </c>
      <c r="D858" s="1014">
        <v>0.95171624737246363</v>
      </c>
      <c r="E858" s="1014">
        <v>1.0141256233172447</v>
      </c>
      <c r="F858" s="1014">
        <v>1.0240164505793539</v>
      </c>
      <c r="G858" s="1014">
        <v>0.97426725636478984</v>
      </c>
      <c r="H858" s="1014">
        <v>1.0146262050637991</v>
      </c>
      <c r="I858" s="1014">
        <v>1.0371407320415977</v>
      </c>
      <c r="K858">
        <v>2.4665191874553885</v>
      </c>
      <c r="L858">
        <v>0</v>
      </c>
      <c r="M858">
        <v>1.630745883407855E-3</v>
      </c>
      <c r="N858">
        <v>0.15490917366310239</v>
      </c>
      <c r="O858">
        <v>2.1164462411229799E-2</v>
      </c>
      <c r="P858">
        <v>2.9410948640603476E-2</v>
      </c>
      <c r="Q858">
        <v>5.6171996323944734E-3</v>
      </c>
      <c r="R858">
        <v>1.6095307173979172E-3</v>
      </c>
      <c r="S858">
        <v>0.2756415323498933</v>
      </c>
      <c r="T858">
        <v>1.4048937806677166</v>
      </c>
      <c r="U858">
        <v>0.21141887929886408</v>
      </c>
      <c r="V858">
        <v>0.24091075066675918</v>
      </c>
      <c r="W858">
        <v>0.1009187091495397</v>
      </c>
      <c r="X858">
        <v>1.7274354110194588E-2</v>
      </c>
      <c r="Y858">
        <v>4.380612031098738E-3</v>
      </c>
    </row>
    <row r="859" spans="1:25">
      <c r="A859" s="1010"/>
      <c r="B859" s="1351">
        <v>609</v>
      </c>
      <c r="C859" s="1014">
        <v>0.99015142541413659</v>
      </c>
      <c r="D859" s="1014">
        <v>1.0267490383197062</v>
      </c>
      <c r="E859" s="1014">
        <v>1.0051816909218727</v>
      </c>
      <c r="F859" s="1014">
        <v>1.0031488307417882</v>
      </c>
      <c r="G859" s="1014">
        <v>1.0051017000485307</v>
      </c>
      <c r="H859" s="1014">
        <v>0.97548685292627324</v>
      </c>
      <c r="I859" s="1014">
        <v>0.99122728619954803</v>
      </c>
      <c r="K859">
        <v>2.4101241973889742</v>
      </c>
      <c r="L859">
        <v>0</v>
      </c>
      <c r="M859">
        <v>1.5909456086529276E-3</v>
      </c>
      <c r="N859">
        <v>0.1470244095143993</v>
      </c>
      <c r="O859">
        <v>2.1075055514120703E-2</v>
      </c>
      <c r="P859">
        <v>2.8638902099642854E-2</v>
      </c>
      <c r="Q859">
        <v>5.5436741963005316E-3</v>
      </c>
      <c r="R859">
        <v>1.5694177848603714E-3</v>
      </c>
      <c r="S859">
        <v>0.25347873763791662</v>
      </c>
      <c r="T859">
        <v>1.3760701397254704</v>
      </c>
      <c r="U859">
        <v>0.21409968101021482</v>
      </c>
      <c r="V859">
        <v>0.24700435034510368</v>
      </c>
      <c r="W859">
        <v>9.6288651312371021E-2</v>
      </c>
      <c r="X859">
        <v>1.665068600527177E-2</v>
      </c>
      <c r="Y859">
        <v>4.2714378519561934E-3</v>
      </c>
    </row>
    <row r="860" spans="1:25">
      <c r="A860" s="1010"/>
      <c r="B860" s="1351">
        <v>610</v>
      </c>
      <c r="C860" s="1014">
        <v>1.0116089386273508</v>
      </c>
      <c r="D860" s="1014">
        <v>0.97433166578840802</v>
      </c>
      <c r="E860" s="1014">
        <v>1.025037237825146</v>
      </c>
      <c r="F860" s="1014">
        <v>1.0014941666199633</v>
      </c>
      <c r="G860" s="1014">
        <v>0.9795503513013557</v>
      </c>
      <c r="H860" s="1014">
        <v>0.98686062519483286</v>
      </c>
      <c r="I860" s="1014">
        <v>0.98809859280479972</v>
      </c>
      <c r="K860">
        <v>2.4041212879605873</v>
      </c>
      <c r="L860">
        <v>0</v>
      </c>
      <c r="M860">
        <v>1.5291736016121986E-3</v>
      </c>
      <c r="N860">
        <v>0.15006627002397416</v>
      </c>
      <c r="O860">
        <v>2.0880339003886066E-2</v>
      </c>
      <c r="P860">
        <v>2.8913876366700147E-2</v>
      </c>
      <c r="Q860">
        <v>5.6022484081799063E-3</v>
      </c>
      <c r="R860">
        <v>1.5087201226160747E-3</v>
      </c>
      <c r="S860">
        <v>0.2550363051346819</v>
      </c>
      <c r="T860">
        <v>1.3742317186873103</v>
      </c>
      <c r="U860">
        <v>0.20962560164850108</v>
      </c>
      <c r="V860">
        <v>0.24123648632045824</v>
      </c>
      <c r="W860">
        <v>9.7141372029720424E-2</v>
      </c>
      <c r="X860">
        <v>1.730128499186041E-2</v>
      </c>
      <c r="Y860">
        <v>4.1062388243061996E-3</v>
      </c>
    </row>
    <row r="861" spans="1:25">
      <c r="A861" s="1010"/>
      <c r="B861" s="1351">
        <v>611</v>
      </c>
      <c r="C861" s="1014">
        <v>0.99929140599984589</v>
      </c>
      <c r="D861" s="1014">
        <v>0.97704408336431903</v>
      </c>
      <c r="E861" s="1014">
        <v>0.97591714771950788</v>
      </c>
      <c r="F861" s="1014">
        <v>0.99458404215400553</v>
      </c>
      <c r="G861" s="1014">
        <v>1.0177447351361288</v>
      </c>
      <c r="H861" s="1014">
        <v>0.96703232655158067</v>
      </c>
      <c r="I861" s="1014">
        <v>0.97010395296325513</v>
      </c>
      <c r="K861">
        <v>2.3863869417912249</v>
      </c>
      <c r="L861">
        <v>0</v>
      </c>
      <c r="M861">
        <v>1.6786090636586159E-3</v>
      </c>
      <c r="N861">
        <v>0.14197339836586767</v>
      </c>
      <c r="O861">
        <v>2.1092000388037203E-2</v>
      </c>
      <c r="P861">
        <v>2.7812877458694298E-2</v>
      </c>
      <c r="Q861">
        <v>5.3864693875908106E-3</v>
      </c>
      <c r="R861">
        <v>1.6556964416818436E-3</v>
      </c>
      <c r="S861">
        <v>0.25108491974000036</v>
      </c>
      <c r="T861">
        <v>1.3636930934181977</v>
      </c>
      <c r="U861">
        <v>0.2120414739504369</v>
      </c>
      <c r="V861">
        <v>0.24869506970288457</v>
      </c>
      <c r="W861">
        <v>9.462442725572387E-2</v>
      </c>
      <c r="X861">
        <v>1.5499864831693784E-2</v>
      </c>
      <c r="Y861">
        <v>4.5062599140726651E-3</v>
      </c>
    </row>
    <row r="862" spans="1:25">
      <c r="A862" s="1010"/>
      <c r="B862" s="1351">
        <v>612</v>
      </c>
      <c r="C862" s="1014">
        <v>0.97790782483481231</v>
      </c>
      <c r="D862" s="1014">
        <v>0.99379883188617801</v>
      </c>
      <c r="E862" s="1014">
        <v>1.0086836310808531</v>
      </c>
      <c r="F862" s="1014">
        <v>1.0058852297418315</v>
      </c>
      <c r="G862" s="1014">
        <v>0.99182592113633983</v>
      </c>
      <c r="H862" s="1014">
        <v>1.0042641137468478</v>
      </c>
      <c r="I862" s="1014">
        <v>1.018199099138914</v>
      </c>
      <c r="K862">
        <v>2.4466449478480095</v>
      </c>
      <c r="L862">
        <v>0</v>
      </c>
      <c r="M862">
        <v>1.6582266715482344E-3</v>
      </c>
      <c r="N862">
        <v>0.1549320356277242</v>
      </c>
      <c r="O862">
        <v>2.1494979915847132E-2</v>
      </c>
      <c r="P862">
        <v>2.9017179863296348E-2</v>
      </c>
      <c r="Q862">
        <v>5.673994579904122E-3</v>
      </c>
      <c r="R862">
        <v>1.6364314057011331E-3</v>
      </c>
      <c r="S862">
        <v>0.27056923868833604</v>
      </c>
      <c r="T862">
        <v>1.3799000892602109</v>
      </c>
      <c r="U862">
        <v>0.21679250567907693</v>
      </c>
      <c r="V862">
        <v>0.24551433651968099</v>
      </c>
      <c r="W862">
        <v>0.1012576614737075</v>
      </c>
      <c r="X862">
        <v>1.7060894669219208E-2</v>
      </c>
      <c r="Y862">
        <v>4.4538268368505742E-3</v>
      </c>
    </row>
    <row r="863" spans="1:25">
      <c r="A863" s="1010"/>
      <c r="B863" s="1351">
        <v>613</v>
      </c>
      <c r="C863" s="1014">
        <v>0.98752067430946766</v>
      </c>
      <c r="D863" s="1014">
        <v>0.98432824373206418</v>
      </c>
      <c r="E863" s="1014">
        <v>1.0200032279378077</v>
      </c>
      <c r="F863" s="1014">
        <v>0.98283419468957123</v>
      </c>
      <c r="G863" s="1014">
        <v>0.97125450103528232</v>
      </c>
      <c r="H863" s="1014">
        <v>1.0410190892611146</v>
      </c>
      <c r="I863" s="1014">
        <v>0.96679095433191953</v>
      </c>
      <c r="K863">
        <v>2.4065006230060364</v>
      </c>
      <c r="L863">
        <v>0</v>
      </c>
      <c r="M863">
        <v>1.6661012728390733E-3</v>
      </c>
      <c r="N863">
        <v>0.16115347834807145</v>
      </c>
      <c r="O863">
        <v>2.1338279036761054E-2</v>
      </c>
      <c r="P863">
        <v>2.8575811973863115E-2</v>
      </c>
      <c r="Q863">
        <v>5.6965744456137371E-3</v>
      </c>
      <c r="R863">
        <v>1.6449756792186088E-3</v>
      </c>
      <c r="S863">
        <v>0.25879821239370282</v>
      </c>
      <c r="T863">
        <v>1.3485193706342997</v>
      </c>
      <c r="U863">
        <v>0.21472144483372788</v>
      </c>
      <c r="V863">
        <v>0.24134274493798089</v>
      </c>
      <c r="W863">
        <v>0.10462545664651388</v>
      </c>
      <c r="X863">
        <v>1.7273293816373873E-2</v>
      </c>
      <c r="Y863">
        <v>4.4770815327461362E-3</v>
      </c>
    </row>
    <row r="864" spans="1:25">
      <c r="A864" s="1010"/>
      <c r="B864" s="1351">
        <v>614</v>
      </c>
      <c r="C864" s="1014">
        <v>0.99094896448478198</v>
      </c>
      <c r="D864" s="1014">
        <v>0.98807960751400625</v>
      </c>
      <c r="E864" s="1014">
        <v>1.0222851283619236</v>
      </c>
      <c r="F864" s="1014">
        <v>0.9558259941214049</v>
      </c>
      <c r="G864" s="1014">
        <v>0.97316724344964989</v>
      </c>
      <c r="H864" s="1014">
        <v>0.99160128166487804</v>
      </c>
      <c r="I864" s="1014">
        <v>1.0304720932060014</v>
      </c>
      <c r="K864">
        <v>2.3657786501133122</v>
      </c>
      <c r="L864">
        <v>0</v>
      </c>
      <c r="M864">
        <v>1.5727110051719918E-3</v>
      </c>
      <c r="N864">
        <v>0.15307300157580261</v>
      </c>
      <c r="O864">
        <v>2.1248206682626548E-2</v>
      </c>
      <c r="P864">
        <v>2.8256787474154423E-2</v>
      </c>
      <c r="Q864">
        <v>5.6854031092173794E-3</v>
      </c>
      <c r="R864">
        <v>1.5517757593486513E-3</v>
      </c>
      <c r="S864">
        <v>0.27000325986318729</v>
      </c>
      <c r="T864">
        <v>1.3115095417666314</v>
      </c>
      <c r="U864">
        <v>0.21398649053412644</v>
      </c>
      <c r="V864">
        <v>0.24144286061999071</v>
      </c>
      <c r="W864">
        <v>9.9246912446311994E-2</v>
      </c>
      <c r="X864">
        <v>1.7123699212879318E-2</v>
      </c>
      <c r="Y864">
        <v>4.2234220742054405E-3</v>
      </c>
    </row>
    <row r="865" spans="1:25">
      <c r="A865" s="1010"/>
      <c r="B865" s="1351">
        <v>615</v>
      </c>
      <c r="C865" s="1014">
        <v>0.97146901926996676</v>
      </c>
      <c r="D865" s="1014">
        <v>1.0166089840366974</v>
      </c>
      <c r="E865" s="1014">
        <v>1.0075625029715249</v>
      </c>
      <c r="F865" s="1014">
        <v>1.019998709065334</v>
      </c>
      <c r="G865" s="1014">
        <v>1.0088126366227197</v>
      </c>
      <c r="H865" s="1014">
        <v>1.0196570933383837</v>
      </c>
      <c r="I865" s="1014">
        <v>0.955754652065545</v>
      </c>
      <c r="K865">
        <v>2.4586414557677396</v>
      </c>
      <c r="L865">
        <v>0</v>
      </c>
      <c r="M865">
        <v>1.690293445672502E-3</v>
      </c>
      <c r="N865">
        <v>0.15742604987800737</v>
      </c>
      <c r="O865">
        <v>2.1528927449937046E-2</v>
      </c>
      <c r="P865">
        <v>2.9097065165364727E-2</v>
      </c>
      <c r="Q865">
        <v>5.6765836064409641E-3</v>
      </c>
      <c r="R865">
        <v>1.6684120922382266E-3</v>
      </c>
      <c r="S865">
        <v>0.25405083631334435</v>
      </c>
      <c r="T865">
        <v>1.3992365621683529</v>
      </c>
      <c r="U865">
        <v>0.21822543628131699</v>
      </c>
      <c r="V865">
        <v>0.24884141154007217</v>
      </c>
      <c r="W865">
        <v>0.10295579646072489</v>
      </c>
      <c r="X865">
        <v>1.7083800534434951E-2</v>
      </c>
      <c r="Y865">
        <v>4.5408677231740602E-3</v>
      </c>
    </row>
    <row r="866" spans="1:25">
      <c r="A866" s="1010"/>
      <c r="B866" s="1351">
        <v>616</v>
      </c>
      <c r="C866" s="1014">
        <v>1.0001743136867711</v>
      </c>
      <c r="D866" s="1014">
        <v>0.99707064354775232</v>
      </c>
      <c r="E866" s="1014">
        <v>1.01601110974501</v>
      </c>
      <c r="F866" s="1014">
        <v>1.0185549245560011</v>
      </c>
      <c r="G866" s="1014">
        <v>1.0120493942140341</v>
      </c>
      <c r="H866" s="1014">
        <v>0.99084771686197992</v>
      </c>
      <c r="I866" s="1014">
        <v>0.97541250270211999</v>
      </c>
      <c r="K866">
        <v>2.4341754800805711</v>
      </c>
      <c r="L866">
        <v>0</v>
      </c>
      <c r="M866">
        <v>1.5743361687927913E-3</v>
      </c>
      <c r="N866">
        <v>0.15035647268211774</v>
      </c>
      <c r="O866">
        <v>2.1006128742330366E-2</v>
      </c>
      <c r="P866">
        <v>2.9120894568685163E-2</v>
      </c>
      <c r="Q866">
        <v>5.5856653870698103E-3</v>
      </c>
      <c r="R866">
        <v>1.5533633512593084E-3</v>
      </c>
      <c r="S866">
        <v>0.25195641392523244</v>
      </c>
      <c r="T866">
        <v>1.3974425302037197</v>
      </c>
      <c r="U866">
        <v>0.2119912294063177</v>
      </c>
      <c r="V866">
        <v>0.24752011580577765</v>
      </c>
      <c r="W866">
        <v>9.7844347544456534E-2</v>
      </c>
      <c r="X866">
        <v>1.7144911656359899E-2</v>
      </c>
      <c r="Y866">
        <v>4.2277429760367155E-3</v>
      </c>
    </row>
    <row r="867" spans="1:25">
      <c r="A867" s="1010"/>
      <c r="B867" s="1351">
        <v>617</v>
      </c>
      <c r="C867" s="1014">
        <v>1.0153139104230002</v>
      </c>
      <c r="D867" s="1014">
        <v>0.96327468140303951</v>
      </c>
      <c r="E867" s="1014">
        <v>0.98122016158764569</v>
      </c>
      <c r="F867" s="1014">
        <v>0.99658606657561577</v>
      </c>
      <c r="G867" s="1014">
        <v>0.98609095151446635</v>
      </c>
      <c r="H867" s="1014">
        <v>1.0002247429543512</v>
      </c>
      <c r="I867" s="1014">
        <v>0.98500472977467612</v>
      </c>
      <c r="K867">
        <v>2.3899470116213171</v>
      </c>
      <c r="L867">
        <v>0</v>
      </c>
      <c r="M867">
        <v>1.6954808982085168E-3</v>
      </c>
      <c r="N867">
        <v>0.14578698448108293</v>
      </c>
      <c r="O867">
        <v>2.0827555634565703E-2</v>
      </c>
      <c r="P867">
        <v>2.7892495894575198E-2</v>
      </c>
      <c r="Q867">
        <v>5.3477048593350346E-3</v>
      </c>
      <c r="R867">
        <v>1.6731059764160177E-3</v>
      </c>
      <c r="S867">
        <v>0.25553575883115071</v>
      </c>
      <c r="T867">
        <v>1.3665519046669552</v>
      </c>
      <c r="U867">
        <v>0.20871307370591705</v>
      </c>
      <c r="V867">
        <v>0.24228174619764459</v>
      </c>
      <c r="W867">
        <v>9.6855170799700865E-2</v>
      </c>
      <c r="X867">
        <v>1.5623348543614765E-2</v>
      </c>
      <c r="Y867">
        <v>4.5536429285675042E-3</v>
      </c>
    </row>
    <row r="868" spans="1:25">
      <c r="A868" s="1010"/>
      <c r="B868" s="1351">
        <v>618</v>
      </c>
      <c r="C868" s="1014">
        <v>1.0216250541857224</v>
      </c>
      <c r="D868" s="1014">
        <v>0.98266287369833127</v>
      </c>
      <c r="E868" s="1014">
        <v>1.0353927631066042</v>
      </c>
      <c r="F868" s="1014">
        <v>0.97725481667084102</v>
      </c>
      <c r="G868" s="1014">
        <v>1.0308655674749585</v>
      </c>
      <c r="H868" s="1014">
        <v>1.017736312533533</v>
      </c>
      <c r="I868" s="1014">
        <v>1.0189734269715227</v>
      </c>
      <c r="K868">
        <v>2.3908357011059356</v>
      </c>
      <c r="L868">
        <v>0</v>
      </c>
      <c r="M868">
        <v>1.5253590718369249E-3</v>
      </c>
      <c r="N868">
        <v>0.15450208154146994</v>
      </c>
      <c r="O868">
        <v>2.0643717590797521E-2</v>
      </c>
      <c r="P868">
        <v>2.8852447659783623E-2</v>
      </c>
      <c r="Q868">
        <v>5.5957552764953882E-3</v>
      </c>
      <c r="R868">
        <v>1.5055755759325899E-3</v>
      </c>
      <c r="S868">
        <v>0.26202779182780023</v>
      </c>
      <c r="T868">
        <v>1.3411910953198383</v>
      </c>
      <c r="U868">
        <v>0.20760521705806087</v>
      </c>
      <c r="V868">
        <v>0.24935094575278169</v>
      </c>
      <c r="W868">
        <v>9.9413487756428151E-2</v>
      </c>
      <c r="X868">
        <v>1.7575264413550708E-2</v>
      </c>
      <c r="Y868">
        <v>4.0976804048332904E-3</v>
      </c>
    </row>
    <row r="869" spans="1:25">
      <c r="A869" s="1010"/>
      <c r="B869" s="1351">
        <v>619</v>
      </c>
      <c r="C869" s="1014">
        <v>0.98735682891009957</v>
      </c>
      <c r="D869" s="1014">
        <v>1.0252614992163376</v>
      </c>
      <c r="E869" s="1014">
        <v>0.98395860789682188</v>
      </c>
      <c r="F869" s="1014">
        <v>0.98610668326887529</v>
      </c>
      <c r="G869" s="1014">
        <v>0.98177554389371924</v>
      </c>
      <c r="H869" s="1014">
        <v>1.0124049922394616</v>
      </c>
      <c r="I869" s="1014">
        <v>0.99744520897239031</v>
      </c>
      <c r="K869">
        <v>2.3936345815734485</v>
      </c>
      <c r="L869">
        <v>0</v>
      </c>
      <c r="M869">
        <v>1.730840230319474E-3</v>
      </c>
      <c r="N869">
        <v>0.15008953460759383</v>
      </c>
      <c r="O869">
        <v>2.1127272903978377E-2</v>
      </c>
      <c r="P869">
        <v>2.7896777125290102E-2</v>
      </c>
      <c r="Q869">
        <v>5.4397585546571729E-3</v>
      </c>
      <c r="R869">
        <v>1.7082734853226403E-3</v>
      </c>
      <c r="S869">
        <v>0.25895809082941856</v>
      </c>
      <c r="T869">
        <v>1.3522404222861848</v>
      </c>
      <c r="U869">
        <v>0.21463225387066576</v>
      </c>
      <c r="V869">
        <v>0.24327420730442872</v>
      </c>
      <c r="W869">
        <v>9.9549210211290387E-2</v>
      </c>
      <c r="X869">
        <v>1.5800263330092226E-2</v>
      </c>
      <c r="Y869">
        <v>4.6493572948451351E-3</v>
      </c>
    </row>
    <row r="870" spans="1:25">
      <c r="A870" s="1010"/>
      <c r="B870" s="1351">
        <v>620</v>
      </c>
      <c r="C870" s="1014">
        <v>1.0431645122904265</v>
      </c>
      <c r="D870" s="1014">
        <v>0.98434111054659434</v>
      </c>
      <c r="E870" s="1014">
        <v>0.99130776303990098</v>
      </c>
      <c r="F870" s="1014">
        <v>0.99326748494725248</v>
      </c>
      <c r="G870" s="1014">
        <v>1.0142787899482866</v>
      </c>
      <c r="H870" s="1014">
        <v>1.0046773141843659</v>
      </c>
      <c r="I870" s="1014">
        <v>0.99786564767835528</v>
      </c>
      <c r="K870">
        <v>2.3717109831611571</v>
      </c>
      <c r="L870">
        <v>0</v>
      </c>
      <c r="M870">
        <v>1.6156023125818548E-3</v>
      </c>
      <c r="N870">
        <v>0.14323044402052554</v>
      </c>
      <c r="O870">
        <v>2.0181671708596412E-2</v>
      </c>
      <c r="P870">
        <v>2.793474640519954E-2</v>
      </c>
      <c r="Q870">
        <v>5.2350836011645814E-3</v>
      </c>
      <c r="R870">
        <v>1.594376022814522E-3</v>
      </c>
      <c r="S870">
        <v>0.24967033591071214</v>
      </c>
      <c r="T870">
        <v>1.3622174541744847</v>
      </c>
      <c r="U870">
        <v>0.20317379543483038</v>
      </c>
      <c r="V870">
        <v>0.2454200096079007</v>
      </c>
      <c r="W870">
        <v>9.4581704783909995E-2</v>
      </c>
      <c r="X870">
        <v>1.5747597855414994E-2</v>
      </c>
      <c r="Y870">
        <v>4.3393659481864629E-3</v>
      </c>
    </row>
    <row r="871" spans="1:25">
      <c r="A871" s="1010"/>
      <c r="B871" s="1351">
        <v>621</v>
      </c>
      <c r="C871" s="1014">
        <v>0.95979328520505369</v>
      </c>
      <c r="D871" s="1014">
        <v>1.0077708485228944</v>
      </c>
      <c r="E871" s="1014">
        <v>1.0436207945767972</v>
      </c>
      <c r="F871" s="1014">
        <v>0.99203002657727135</v>
      </c>
      <c r="G871" s="1014">
        <v>0.97357294185405818</v>
      </c>
      <c r="H871" s="1014">
        <v>0.99240998291392668</v>
      </c>
      <c r="I871" s="1014">
        <v>1.0134484146408727</v>
      </c>
      <c r="K871">
        <v>2.4413768959341002</v>
      </c>
      <c r="L871">
        <v>0</v>
      </c>
      <c r="M871">
        <v>1.547656480049402E-3</v>
      </c>
      <c r="N871">
        <v>0.1606408144723725</v>
      </c>
      <c r="O871">
        <v>2.1857710818851416E-2</v>
      </c>
      <c r="P871">
        <v>2.9554806109817984E-2</v>
      </c>
      <c r="Q871">
        <v>5.9729669374005449E-3</v>
      </c>
      <c r="R871">
        <v>1.5270715372497322E-3</v>
      </c>
      <c r="S871">
        <v>0.27171734307862599</v>
      </c>
      <c r="T871">
        <v>1.3616465734226759</v>
      </c>
      <c r="U871">
        <v>0.2210090288698717</v>
      </c>
      <c r="V871">
        <v>0.24348638770559194</v>
      </c>
      <c r="W871">
        <v>0.10287456309649096</v>
      </c>
      <c r="X871">
        <v>1.8481101039805027E-2</v>
      </c>
      <c r="Y871">
        <v>4.1561853253968082E-3</v>
      </c>
    </row>
    <row r="872" spans="1:25">
      <c r="A872" s="1010"/>
      <c r="B872" s="1351">
        <v>622</v>
      </c>
      <c r="C872" s="1014">
        <v>1.0144767061748969</v>
      </c>
      <c r="D872" s="1014">
        <v>1.0080946795634502</v>
      </c>
      <c r="E872" s="1014">
        <v>1.0179244155365623</v>
      </c>
      <c r="F872" s="1014">
        <v>0.99771682214043278</v>
      </c>
      <c r="G872" s="1014">
        <v>1.0359207195395217</v>
      </c>
      <c r="H872" s="1014">
        <v>0.98549251931639814</v>
      </c>
      <c r="I872" s="1014">
        <v>1.0158943116360142</v>
      </c>
      <c r="K872">
        <v>2.404646702660806</v>
      </c>
      <c r="L872">
        <v>0</v>
      </c>
      <c r="M872">
        <v>1.5339062353926052E-3</v>
      </c>
      <c r="N872">
        <v>0.14733262357651536</v>
      </c>
      <c r="O872">
        <v>2.066119263238804E-2</v>
      </c>
      <c r="P872">
        <v>2.8837576531332947E-2</v>
      </c>
      <c r="Q872">
        <v>5.5044221284309639E-3</v>
      </c>
      <c r="R872">
        <v>1.513360972664444E-3</v>
      </c>
      <c r="S872">
        <v>0.25685132559099233</v>
      </c>
      <c r="T872">
        <v>1.3688943823718798</v>
      </c>
      <c r="U872">
        <v>0.20900897795656168</v>
      </c>
      <c r="V872">
        <v>0.25070802129084729</v>
      </c>
      <c r="W872">
        <v>9.5769061504581907E-2</v>
      </c>
      <c r="X872">
        <v>1.6980794651721344E-2</v>
      </c>
      <c r="Y872">
        <v>4.1188696882820536E-3</v>
      </c>
    </row>
    <row r="873" spans="1:25">
      <c r="A873" s="1010"/>
      <c r="B873" s="1351">
        <v>623</v>
      </c>
      <c r="C873" s="1014">
        <v>0.99665191140149878</v>
      </c>
      <c r="D873" s="1014">
        <v>1.03489750926985</v>
      </c>
      <c r="E873" s="1014">
        <v>1.0431659979934238</v>
      </c>
      <c r="F873" s="1014">
        <v>1.0158131952653882</v>
      </c>
      <c r="G873" s="1014">
        <v>1.0034478109100353</v>
      </c>
      <c r="H873" s="1014">
        <v>1.0047901486236124</v>
      </c>
      <c r="I873" s="1014">
        <v>0.9931496071079845</v>
      </c>
      <c r="K873">
        <v>2.441306030155086</v>
      </c>
      <c r="L873">
        <v>0</v>
      </c>
      <c r="M873">
        <v>1.5016460844446066E-3</v>
      </c>
      <c r="N873">
        <v>0.1556776256189486</v>
      </c>
      <c r="O873">
        <v>2.0926412412852285E-2</v>
      </c>
      <c r="P873">
        <v>2.9679245142138738E-2</v>
      </c>
      <c r="Q873">
        <v>5.7159228715070853E-3</v>
      </c>
      <c r="R873">
        <v>1.4819192028433929E-3</v>
      </c>
      <c r="S873">
        <v>0.25409181977149214</v>
      </c>
      <c r="T873">
        <v>1.3942809439498871</v>
      </c>
      <c r="U873">
        <v>0.21283400438753827</v>
      </c>
      <c r="V873">
        <v>0.24617774020216668</v>
      </c>
      <c r="W873">
        <v>9.972217947125156E-2</v>
      </c>
      <c r="X873">
        <v>1.8186567653296848E-2</v>
      </c>
      <c r="Y873">
        <v>4.0332955556057889E-3</v>
      </c>
    </row>
    <row r="874" spans="1:25">
      <c r="A874" s="1010"/>
      <c r="B874" s="1351">
        <v>624</v>
      </c>
      <c r="C874" s="1014">
        <v>0.99341393796301936</v>
      </c>
      <c r="D874" s="1014">
        <v>0.98925233439006555</v>
      </c>
      <c r="E874" s="1014">
        <v>0.9796466454558499</v>
      </c>
      <c r="F874" s="1014">
        <v>0.99924693830005773</v>
      </c>
      <c r="G874" s="1014">
        <v>0.96931595395013204</v>
      </c>
      <c r="H874" s="1014">
        <v>1.0008660766866038</v>
      </c>
      <c r="I874" s="1014">
        <v>1.0003313013783535</v>
      </c>
      <c r="K874">
        <v>2.4073805113140594</v>
      </c>
      <c r="L874">
        <v>0</v>
      </c>
      <c r="M874">
        <v>1.7294658742167926E-3</v>
      </c>
      <c r="N874">
        <v>0.14800418394440998</v>
      </c>
      <c r="O874">
        <v>2.1161395634056966E-2</v>
      </c>
      <c r="P874">
        <v>2.8032757406687824E-2</v>
      </c>
      <c r="Q874">
        <v>5.4247412293444066E-3</v>
      </c>
      <c r="R874">
        <v>1.7066570842630077E-3</v>
      </c>
      <c r="S874">
        <v>0.26174229808030708</v>
      </c>
      <c r="T874">
        <v>1.3701667106403355</v>
      </c>
      <c r="U874">
        <v>0.2133087902042807</v>
      </c>
      <c r="V874">
        <v>0.24077537535261723</v>
      </c>
      <c r="W874">
        <v>9.8421627846741938E-2</v>
      </c>
      <c r="X874">
        <v>1.5720481781223667E-2</v>
      </c>
      <c r="Y874">
        <v>4.6449579840072827E-3</v>
      </c>
    </row>
    <row r="875" spans="1:25">
      <c r="A875" s="1010"/>
      <c r="B875" s="1351">
        <v>625</v>
      </c>
      <c r="C875" s="1014">
        <v>0.98546905915116534</v>
      </c>
      <c r="D875" s="1014">
        <v>1.0007799601463787</v>
      </c>
      <c r="E875" s="1014">
        <v>0.99549859744422364</v>
      </c>
      <c r="F875" s="1014">
        <v>1.0339708118026993</v>
      </c>
      <c r="G875" s="1014">
        <v>0.99379269681884552</v>
      </c>
      <c r="H875" s="1014">
        <v>0.97484303711379816</v>
      </c>
      <c r="I875" s="1014">
        <v>1.0209314561463658</v>
      </c>
      <c r="K875">
        <v>2.4651723564171912</v>
      </c>
      <c r="L875">
        <v>0</v>
      </c>
      <c r="M875">
        <v>1.6390735726641136E-3</v>
      </c>
      <c r="N875">
        <v>0.14710376308798259</v>
      </c>
      <c r="O875">
        <v>2.128835018301228E-2</v>
      </c>
      <c r="P875">
        <v>2.916119756830321E-2</v>
      </c>
      <c r="Q875">
        <v>5.5455505811760567E-3</v>
      </c>
      <c r="R875">
        <v>1.6168798593166737E-3</v>
      </c>
      <c r="S875">
        <v>0.26556785032210822</v>
      </c>
      <c r="T875">
        <v>1.4181336571528356</v>
      </c>
      <c r="U875">
        <v>0.21508336722877616</v>
      </c>
      <c r="V875">
        <v>0.24540706443472177</v>
      </c>
      <c r="W875">
        <v>9.6896521691059917E-2</v>
      </c>
      <c r="X875">
        <v>1.6606613907802176E-2</v>
      </c>
      <c r="Y875">
        <v>4.40061397275761E-3</v>
      </c>
    </row>
    <row r="876" spans="1:25">
      <c r="A876" s="1010"/>
      <c r="B876" s="1351">
        <v>626</v>
      </c>
      <c r="C876" s="1014">
        <v>0.96441480695314896</v>
      </c>
      <c r="D876" s="1014">
        <v>0.97195486767042916</v>
      </c>
      <c r="E876" s="1014">
        <v>0.97988865312914153</v>
      </c>
      <c r="F876" s="1014">
        <v>0.97605408347581279</v>
      </c>
      <c r="G876" s="1014">
        <v>1.013372831959698</v>
      </c>
      <c r="H876" s="1014">
        <v>1.0148411447288612</v>
      </c>
      <c r="I876" s="1014">
        <v>0.97117964209486174</v>
      </c>
      <c r="K876">
        <v>2.4081460780407946</v>
      </c>
      <c r="L876">
        <v>0</v>
      </c>
      <c r="M876">
        <v>1.8124605746587281E-3</v>
      </c>
      <c r="N876">
        <v>0.15524888667692327</v>
      </c>
      <c r="O876">
        <v>2.1882625006957385E-2</v>
      </c>
      <c r="P876">
        <v>2.7871023024593568E-2</v>
      </c>
      <c r="Q876">
        <v>5.6110091569118127E-3</v>
      </c>
      <c r="R876">
        <v>1.788886387871628E-3</v>
      </c>
      <c r="S876">
        <v>0.2652955058940315</v>
      </c>
      <c r="T876">
        <v>1.338369771700203</v>
      </c>
      <c r="U876">
        <v>0.21972365863674892</v>
      </c>
      <c r="V876">
        <v>0.25019039834579304</v>
      </c>
      <c r="W876">
        <v>0.1032242106298536</v>
      </c>
      <c r="X876">
        <v>1.5883804114016131E-2</v>
      </c>
      <c r="Y876">
        <v>4.8687590415472963E-3</v>
      </c>
    </row>
    <row r="877" spans="1:25">
      <c r="A877" s="1010"/>
      <c r="B877" s="1351">
        <v>627</v>
      </c>
      <c r="C877" s="1014">
        <v>1.0161948737454936</v>
      </c>
      <c r="D877" s="1014">
        <v>1.0340948702802975</v>
      </c>
      <c r="E877" s="1014">
        <v>1.0064312560749407</v>
      </c>
      <c r="F877" s="1014">
        <v>1.000781086086002</v>
      </c>
      <c r="G877" s="1014">
        <v>0.99298227068300482</v>
      </c>
      <c r="H877" s="1014">
        <v>1.0072951098651781</v>
      </c>
      <c r="I877" s="1014">
        <v>0.96523739210365522</v>
      </c>
      <c r="K877">
        <v>2.3866868788430406</v>
      </c>
      <c r="L877">
        <v>0</v>
      </c>
      <c r="M877">
        <v>1.5940701278951426E-3</v>
      </c>
      <c r="N877">
        <v>0.14793415782799232</v>
      </c>
      <c r="O877">
        <v>2.0503565123860593E-2</v>
      </c>
      <c r="P877">
        <v>2.8341050250702434E-2</v>
      </c>
      <c r="Q877">
        <v>5.4001036339061011E-3</v>
      </c>
      <c r="R877">
        <v>1.5731811631843843E-3</v>
      </c>
      <c r="S877">
        <v>0.24221342265777585</v>
      </c>
      <c r="T877">
        <v>1.372849262743427</v>
      </c>
      <c r="U877">
        <v>0.20861685585433509</v>
      </c>
      <c r="V877">
        <v>0.24331548070181433</v>
      </c>
      <c r="W877">
        <v>9.681286200246568E-2</v>
      </c>
      <c r="X877">
        <v>1.6439326484312081E-2</v>
      </c>
      <c r="Y877">
        <v>4.2816805271568264E-3</v>
      </c>
    </row>
    <row r="878" spans="1:25">
      <c r="A878" s="1010"/>
      <c r="B878" s="1351">
        <v>628</v>
      </c>
      <c r="C878" s="1014">
        <v>1.0031771739114284</v>
      </c>
      <c r="D878" s="1014">
        <v>1.0085789319743668</v>
      </c>
      <c r="E878" s="1014">
        <v>0.97779490346707443</v>
      </c>
      <c r="F878" s="1014">
        <v>0.95580002159637223</v>
      </c>
      <c r="G878" s="1014">
        <v>0.96056240872057852</v>
      </c>
      <c r="H878" s="1014">
        <v>1.0141516435992548</v>
      </c>
      <c r="I878" s="1014">
        <v>0.96359484796993411</v>
      </c>
      <c r="K878">
        <v>2.3277382105606517</v>
      </c>
      <c r="L878">
        <v>0</v>
      </c>
      <c r="M878">
        <v>1.7346245610588478E-3</v>
      </c>
      <c r="N878">
        <v>0.14764204340518974</v>
      </c>
      <c r="O878">
        <v>2.0865218314552538E-2</v>
      </c>
      <c r="P878">
        <v>2.6957308033737561E-2</v>
      </c>
      <c r="Q878">
        <v>5.338751197921E-3</v>
      </c>
      <c r="R878">
        <v>1.7120474270409427E-3</v>
      </c>
      <c r="S878">
        <v>0.24833655395262322</v>
      </c>
      <c r="T878">
        <v>1.3105542169327746</v>
      </c>
      <c r="U878">
        <v>0.21122651390393729</v>
      </c>
      <c r="V878">
        <v>0.23867503440385388</v>
      </c>
      <c r="W878">
        <v>9.8290758549764781E-2</v>
      </c>
      <c r="X878">
        <v>1.5214760280191406E-2</v>
      </c>
      <c r="Y878">
        <v>4.6596287201228015E-3</v>
      </c>
    </row>
    <row r="879" spans="1:25">
      <c r="A879" s="1010"/>
      <c r="B879" s="1351">
        <v>629</v>
      </c>
      <c r="C879" s="1014">
        <v>1.0246157039153339</v>
      </c>
      <c r="D879" s="1014">
        <v>0.98004580400506502</v>
      </c>
      <c r="E879" s="1014">
        <v>1.0008958665438257</v>
      </c>
      <c r="F879" s="1014">
        <v>1.0363335003573499</v>
      </c>
      <c r="G879" s="1014">
        <v>0.9912581720683199</v>
      </c>
      <c r="H879" s="1014">
        <v>0.97321266166008236</v>
      </c>
      <c r="I879" s="1014">
        <v>0.9824669171888023</v>
      </c>
      <c r="K879">
        <v>2.4310412521901252</v>
      </c>
      <c r="L879">
        <v>0</v>
      </c>
      <c r="M879">
        <v>1.5634822673640237E-3</v>
      </c>
      <c r="N879">
        <v>0.14262346630295811</v>
      </c>
      <c r="O879">
        <v>2.0573036388295753E-2</v>
      </c>
      <c r="P879">
        <v>2.8938053373617739E-2</v>
      </c>
      <c r="Q879">
        <v>5.388396653890991E-3</v>
      </c>
      <c r="R879">
        <v>1.5422766252389576E-3</v>
      </c>
      <c r="S879">
        <v>0.24831646084535727</v>
      </c>
      <c r="T879">
        <v>1.4214951129516884</v>
      </c>
      <c r="U879">
        <v>0.2068838557019316</v>
      </c>
      <c r="V879">
        <v>0.24253610411205062</v>
      </c>
      <c r="W879">
        <v>9.3644065146988281E-2</v>
      </c>
      <c r="X879">
        <v>1.6466337792921771E-2</v>
      </c>
      <c r="Y879">
        <v>4.1975685625475715E-3</v>
      </c>
    </row>
    <row r="880" spans="1:25">
      <c r="A880" s="1010"/>
      <c r="B880" s="1351">
        <v>630</v>
      </c>
      <c r="C880" s="1014">
        <v>1.0189089493313817</v>
      </c>
      <c r="D880" s="1014">
        <v>1.0047448092576616</v>
      </c>
      <c r="E880" s="1014">
        <v>1.0060235851455228</v>
      </c>
      <c r="F880" s="1014">
        <v>1.027750635219191</v>
      </c>
      <c r="G880" s="1014">
        <v>1.0302991044899785</v>
      </c>
      <c r="H880" s="1014">
        <v>1.0052954805815446</v>
      </c>
      <c r="I880" s="1014">
        <v>0.97535024328369557</v>
      </c>
      <c r="K880">
        <v>2.4358884707072908</v>
      </c>
      <c r="L880">
        <v>0</v>
      </c>
      <c r="M880">
        <v>1.5981026571232737E-3</v>
      </c>
      <c r="N880">
        <v>0.14812200565851938</v>
      </c>
      <c r="O880">
        <v>2.0578627983571855E-2</v>
      </c>
      <c r="P880">
        <v>2.8988795547155145E-2</v>
      </c>
      <c r="Q880">
        <v>5.4176603498251449E-3</v>
      </c>
      <c r="R880">
        <v>1.5771191941999262E-3</v>
      </c>
      <c r="S880">
        <v>0.24745627881868351</v>
      </c>
      <c r="T880">
        <v>1.4098364179586087</v>
      </c>
      <c r="U880">
        <v>0.208059792557201</v>
      </c>
      <c r="V880">
        <v>0.24952492175917482</v>
      </c>
      <c r="W880">
        <v>9.6959170630852465E-2</v>
      </c>
      <c r="X880">
        <v>1.6673384357212658E-2</v>
      </c>
      <c r="Y880">
        <v>4.2923985494095563E-3</v>
      </c>
    </row>
    <row r="881" spans="1:25">
      <c r="A881" s="1010"/>
      <c r="B881" s="1351">
        <v>631</v>
      </c>
      <c r="C881" s="1014">
        <v>0.97465714649097124</v>
      </c>
      <c r="D881" s="1014">
        <v>0.97845435923338087</v>
      </c>
      <c r="E881" s="1014">
        <v>0.98768598485632109</v>
      </c>
      <c r="F881" s="1014">
        <v>0.98581830854379759</v>
      </c>
      <c r="G881" s="1014">
        <v>0.96546129978945783</v>
      </c>
      <c r="H881" s="1014">
        <v>0.99320370304451944</v>
      </c>
      <c r="I881" s="1014">
        <v>1.0058187329712669</v>
      </c>
      <c r="K881">
        <v>2.4071157528183122</v>
      </c>
      <c r="L881">
        <v>0</v>
      </c>
      <c r="M881">
        <v>1.7245572029510228E-3</v>
      </c>
      <c r="N881">
        <v>0.1512014251819879</v>
      </c>
      <c r="O881">
        <v>2.162626415989867E-2</v>
      </c>
      <c r="P881">
        <v>2.8119803622078384E-2</v>
      </c>
      <c r="Q881">
        <v>5.5893034902709665E-3</v>
      </c>
      <c r="R881">
        <v>1.7016376842911285E-3</v>
      </c>
      <c r="S881">
        <v>0.26912008675627019</v>
      </c>
      <c r="T881">
        <v>1.3519242189584413</v>
      </c>
      <c r="U881">
        <v>0.21744193284036237</v>
      </c>
      <c r="V881">
        <v>0.24129729480987042</v>
      </c>
      <c r="W881">
        <v>0.10006226594281006</v>
      </c>
      <c r="X881">
        <v>1.6124779743051831E-2</v>
      </c>
      <c r="Y881">
        <v>4.6312968319285816E-3</v>
      </c>
    </row>
    <row r="882" spans="1:25">
      <c r="A882" s="1010"/>
      <c r="B882" s="1351">
        <v>632</v>
      </c>
      <c r="C882" s="1014">
        <v>1.0163622700647836</v>
      </c>
      <c r="D882" s="1014">
        <v>0.97625630895046667</v>
      </c>
      <c r="E882" s="1014">
        <v>1.0184312490561749</v>
      </c>
      <c r="F882" s="1014">
        <v>0.99877356365786363</v>
      </c>
      <c r="G882" s="1014">
        <v>0.98341741192504795</v>
      </c>
      <c r="H882" s="1014">
        <v>0.99662293806020408</v>
      </c>
      <c r="I882" s="1014">
        <v>1.0284479603365828</v>
      </c>
      <c r="K882">
        <v>2.4089682902051623</v>
      </c>
      <c r="L882">
        <v>0</v>
      </c>
      <c r="M882">
        <v>1.5576801602790488E-3</v>
      </c>
      <c r="N882">
        <v>0.14986781235788654</v>
      </c>
      <c r="O882">
        <v>2.0769313966046789E-2</v>
      </c>
      <c r="P882">
        <v>2.8846729860906372E-2</v>
      </c>
      <c r="Q882">
        <v>5.5360186236580421E-3</v>
      </c>
      <c r="R882">
        <v>1.5370494762197541E-3</v>
      </c>
      <c r="S882">
        <v>0.26473602701052185</v>
      </c>
      <c r="T882">
        <v>1.3703552479629717</v>
      </c>
      <c r="U882">
        <v>0.20862293205841467</v>
      </c>
      <c r="V882">
        <v>0.24163056535895217</v>
      </c>
      <c r="W882">
        <v>9.7388059706985511E-2</v>
      </c>
      <c r="X882">
        <v>1.7052871996830626E-2</v>
      </c>
      <c r="Y882">
        <v>4.1833419860465111E-3</v>
      </c>
    </row>
    <row r="883" spans="1:25">
      <c r="A883" s="1010"/>
      <c r="B883" s="1351">
        <v>633</v>
      </c>
      <c r="C883" s="1014">
        <v>0.96329498594829255</v>
      </c>
      <c r="D883" s="1014">
        <v>0.99337135674183452</v>
      </c>
      <c r="E883" s="1014">
        <v>1.0231129667329983</v>
      </c>
      <c r="F883" s="1014">
        <v>1.0137671243070461</v>
      </c>
      <c r="G883" s="1014">
        <v>1.0285939113300409</v>
      </c>
      <c r="H883" s="1014">
        <v>1.0057364714830972</v>
      </c>
      <c r="I883" s="1014">
        <v>0.98767291880915309</v>
      </c>
      <c r="K883">
        <v>2.4732350129326264</v>
      </c>
      <c r="L883">
        <v>0</v>
      </c>
      <c r="M883">
        <v>1.6361734657834575E-3</v>
      </c>
      <c r="N883">
        <v>0.15967824621889057</v>
      </c>
      <c r="O883">
        <v>2.1833096707958459E-2</v>
      </c>
      <c r="P883">
        <v>2.9574090821398454E-2</v>
      </c>
      <c r="Q883">
        <v>5.8467053651076991E-3</v>
      </c>
      <c r="R883">
        <v>1.6146995441291821E-3</v>
      </c>
      <c r="S883">
        <v>0.26674684305156637</v>
      </c>
      <c r="T883">
        <v>1.3910300530398618</v>
      </c>
      <c r="U883">
        <v>0.22013249712893737</v>
      </c>
      <c r="V883">
        <v>0.25270748381003888</v>
      </c>
      <c r="W883">
        <v>0.10347948646320547</v>
      </c>
      <c r="X883">
        <v>1.7833304373759178E-2</v>
      </c>
      <c r="Y883">
        <v>4.3946798735579658E-3</v>
      </c>
    </row>
    <row r="884" spans="1:25">
      <c r="A884" s="1010"/>
      <c r="B884" s="1351">
        <v>634</v>
      </c>
      <c r="C884" s="1014">
        <v>1.0150833179213286</v>
      </c>
      <c r="D884" s="1014">
        <v>0.99417649156459231</v>
      </c>
      <c r="E884" s="1014">
        <v>0.99382027677067097</v>
      </c>
      <c r="F884" s="1014">
        <v>0.97530586062374003</v>
      </c>
      <c r="G884" s="1014">
        <v>1.0197229283457356</v>
      </c>
      <c r="H884" s="1014">
        <v>1.0085498760591669</v>
      </c>
      <c r="I884" s="1014">
        <v>0.98533052560284407</v>
      </c>
      <c r="K884">
        <v>2.3663549087892388</v>
      </c>
      <c r="L884">
        <v>0</v>
      </c>
      <c r="M884">
        <v>1.6544194823785684E-3</v>
      </c>
      <c r="N884">
        <v>0.1477975284855837</v>
      </c>
      <c r="O884">
        <v>2.0696304088828579E-2</v>
      </c>
      <c r="P884">
        <v>2.7802552704422306E-2</v>
      </c>
      <c r="Q884">
        <v>5.382209906347594E-3</v>
      </c>
      <c r="R884">
        <v>1.6327666619740929E-3</v>
      </c>
      <c r="S884">
        <v>0.25243346404929606</v>
      </c>
      <c r="T884">
        <v>1.3376368900691997</v>
      </c>
      <c r="U884">
        <v>0.20880283198495511</v>
      </c>
      <c r="V884">
        <v>0.24799499383608153</v>
      </c>
      <c r="W884">
        <v>9.7451071232415171E-2</v>
      </c>
      <c r="X884">
        <v>1.5934862640003489E-2</v>
      </c>
      <c r="Y884">
        <v>4.4438526125080173E-3</v>
      </c>
    </row>
    <row r="885" spans="1:25">
      <c r="A885" s="1010"/>
      <c r="B885" s="1351">
        <v>635</v>
      </c>
      <c r="C885" s="1014">
        <v>0.97579273299649372</v>
      </c>
      <c r="D885" s="1014">
        <v>1.0208099439908558</v>
      </c>
      <c r="E885" s="1014">
        <v>1.0056596329603071</v>
      </c>
      <c r="F885" s="1014">
        <v>1.0363614702642732</v>
      </c>
      <c r="G885" s="1014">
        <v>1.0310690142110484</v>
      </c>
      <c r="H885" s="1014">
        <v>0.96017603935321028</v>
      </c>
      <c r="I885" s="1014">
        <v>1.0223008485110818</v>
      </c>
      <c r="K885">
        <v>2.4772062697115018</v>
      </c>
      <c r="L885">
        <v>0</v>
      </c>
      <c r="M885">
        <v>1.5894693743923845E-3</v>
      </c>
      <c r="N885">
        <v>0.14706798059389661</v>
      </c>
      <c r="O885">
        <v>2.1412807092276536E-2</v>
      </c>
      <c r="P885">
        <v>2.9543769983595206E-2</v>
      </c>
      <c r="Q885">
        <v>5.6352163449438887E-3</v>
      </c>
      <c r="R885">
        <v>1.5676185655035199E-3</v>
      </c>
      <c r="S885">
        <v>0.26468787279894768</v>
      </c>
      <c r="T885">
        <v>1.4216403267567894</v>
      </c>
      <c r="U885">
        <v>0.21725181204993627</v>
      </c>
      <c r="V885">
        <v>0.25236374015140822</v>
      </c>
      <c r="W885">
        <v>9.6289947233228243E-2</v>
      </c>
      <c r="X885">
        <v>1.7068106545389147E-2</v>
      </c>
      <c r="Y885">
        <v>4.2665409699793469E-3</v>
      </c>
    </row>
    <row r="886" spans="1:25">
      <c r="A886" s="1010"/>
      <c r="B886" s="1351">
        <v>636</v>
      </c>
      <c r="C886" s="1014">
        <v>0.97256995348357278</v>
      </c>
      <c r="D886" s="1014">
        <v>0.96627847122973742</v>
      </c>
      <c r="E886" s="1014">
        <v>1.0167255367967589</v>
      </c>
      <c r="F886" s="1014">
        <v>1.0143346572445995</v>
      </c>
      <c r="G886" s="1014">
        <v>0.96527325943944386</v>
      </c>
      <c r="H886" s="1014">
        <v>0.99341255228294079</v>
      </c>
      <c r="I886" s="1014">
        <v>0.98776440545096711</v>
      </c>
      <c r="K886">
        <v>2.4542312457760875</v>
      </c>
      <c r="L886">
        <v>0</v>
      </c>
      <c r="M886">
        <v>1.632025848671434E-3</v>
      </c>
      <c r="N886">
        <v>0.15620793798442439</v>
      </c>
      <c r="O886">
        <v>2.1752436079864271E-2</v>
      </c>
      <c r="P886">
        <v>2.9258845264184104E-2</v>
      </c>
      <c r="Q886">
        <v>5.7882311488171682E-3</v>
      </c>
      <c r="R886">
        <v>1.6103406398723474E-3</v>
      </c>
      <c r="S886">
        <v>0.26679997645541281</v>
      </c>
      <c r="T886">
        <v>1.3916681089015641</v>
      </c>
      <c r="U886">
        <v>0.21801067350610753</v>
      </c>
      <c r="V886">
        <v>0.241304356034759</v>
      </c>
      <c r="W886">
        <v>0.10160958267917884</v>
      </c>
      <c r="X886">
        <v>1.7469966557489291E-2</v>
      </c>
      <c r="Y886">
        <v>4.382816373083266E-3</v>
      </c>
    </row>
    <row r="887" spans="1:25">
      <c r="A887" s="1010"/>
      <c r="B887" s="1351">
        <v>637</v>
      </c>
      <c r="C887" s="1014">
        <v>1.021309796670725</v>
      </c>
      <c r="D887" s="1014">
        <v>0.98927500202976482</v>
      </c>
      <c r="E887" s="1014">
        <v>0.98724900910617253</v>
      </c>
      <c r="F887" s="1014">
        <v>0.97251889031812289</v>
      </c>
      <c r="G887" s="1014">
        <v>0.98955020530811844</v>
      </c>
      <c r="H887" s="1014">
        <v>1.0393703861693073</v>
      </c>
      <c r="I887" s="1014">
        <v>1.0270484502416086</v>
      </c>
      <c r="K887">
        <v>2.3727046689190217</v>
      </c>
      <c r="L887">
        <v>0</v>
      </c>
      <c r="M887">
        <v>1.7196736905572046E-3</v>
      </c>
      <c r="N887">
        <v>0.15066424230551767</v>
      </c>
      <c r="O887">
        <v>2.0588232465162708E-2</v>
      </c>
      <c r="P887">
        <v>2.7686688754011552E-2</v>
      </c>
      <c r="Q887">
        <v>5.3186714376868794E-3</v>
      </c>
      <c r="R887">
        <v>1.6978342290059967E-3</v>
      </c>
      <c r="S887">
        <v>0.26475285553376082</v>
      </c>
      <c r="T887">
        <v>1.3336765934170955</v>
      </c>
      <c r="U887">
        <v>0.2075078920963051</v>
      </c>
      <c r="V887">
        <v>0.24249035612907235</v>
      </c>
      <c r="W887">
        <v>9.9732924926138278E-2</v>
      </c>
      <c r="X887">
        <v>1.5687106235366954E-2</v>
      </c>
      <c r="Y887">
        <v>4.6209450804511505E-3</v>
      </c>
    </row>
    <row r="888" spans="1:25">
      <c r="A888" s="1010"/>
      <c r="B888" s="1351">
        <v>638</v>
      </c>
      <c r="C888" s="1014">
        <v>0.99215263602138681</v>
      </c>
      <c r="D888" s="1014">
        <v>1.0074547409159791</v>
      </c>
      <c r="E888" s="1014">
        <v>0.99617403655257375</v>
      </c>
      <c r="F888" s="1014">
        <v>0.99819915931294934</v>
      </c>
      <c r="G888" s="1014">
        <v>0.98248359368960092</v>
      </c>
      <c r="H888" s="1014">
        <v>0.99695788267014906</v>
      </c>
      <c r="I888" s="1014">
        <v>1.0046217679715232</v>
      </c>
      <c r="K888">
        <v>2.409833742152645</v>
      </c>
      <c r="L888">
        <v>0</v>
      </c>
      <c r="M888">
        <v>1.6602055398922742E-3</v>
      </c>
      <c r="N888">
        <v>0.14935023839234937</v>
      </c>
      <c r="O888">
        <v>2.1114492752113991E-2</v>
      </c>
      <c r="P888">
        <v>2.8389226065731469E-2</v>
      </c>
      <c r="Q888">
        <v>5.504005475360783E-3</v>
      </c>
      <c r="R888">
        <v>1.638224346585116E-3</v>
      </c>
      <c r="S888">
        <v>0.26060614364415852</v>
      </c>
      <c r="T888">
        <v>1.3690859288746831</v>
      </c>
      <c r="U888">
        <v>0.21363679653837875</v>
      </c>
      <c r="V888">
        <v>0.24304670511844864</v>
      </c>
      <c r="W888">
        <v>9.8336649199497028E-2</v>
      </c>
      <c r="X888">
        <v>1.6326830654337609E-2</v>
      </c>
      <c r="Y888">
        <v>4.458706630893974E-3</v>
      </c>
    </row>
    <row r="889" spans="1:25">
      <c r="A889" s="1010"/>
      <c r="B889" s="1351">
        <v>639</v>
      </c>
      <c r="C889" s="1014">
        <v>0.98910219330259308</v>
      </c>
      <c r="D889" s="1014">
        <v>1.0102809499918222</v>
      </c>
      <c r="E889" s="1014">
        <v>1.0291463700193173</v>
      </c>
      <c r="F889" s="1014">
        <v>1.0058799445134299</v>
      </c>
      <c r="G889" s="1014">
        <v>0.9746286508574511</v>
      </c>
      <c r="H889" s="1014">
        <v>0.99356802076802819</v>
      </c>
      <c r="I889" s="1014">
        <v>1.0274678282296787</v>
      </c>
      <c r="K889">
        <v>2.4348358973290369</v>
      </c>
      <c r="L889">
        <v>0</v>
      </c>
      <c r="M889">
        <v>1.5487853956017803E-3</v>
      </c>
      <c r="N889">
        <v>0.15389983668625268</v>
      </c>
      <c r="O889">
        <v>2.1188679071483769E-2</v>
      </c>
      <c r="P889">
        <v>2.9326253532767382E-2</v>
      </c>
      <c r="Q889">
        <v>5.7081571097648302E-3</v>
      </c>
      <c r="R889">
        <v>1.5282094473773697E-3</v>
      </c>
      <c r="S889">
        <v>0.26696021329997671</v>
      </c>
      <c r="T889">
        <v>1.3803396702954651</v>
      </c>
      <c r="U889">
        <v>0.21440983285754431</v>
      </c>
      <c r="V889">
        <v>0.24178683986163585</v>
      </c>
      <c r="W889">
        <v>9.9385044113443344E-2</v>
      </c>
      <c r="X889">
        <v>1.7692664107277292E-2</v>
      </c>
      <c r="Y889">
        <v>4.159282341652264E-3</v>
      </c>
    </row>
    <row r="890" spans="1:25">
      <c r="A890" s="1010"/>
      <c r="B890" s="1351">
        <v>640</v>
      </c>
      <c r="C890" s="1014">
        <v>0.97528662362174945</v>
      </c>
      <c r="D890" s="1014">
        <v>1.0120382257771512</v>
      </c>
      <c r="E890" s="1014">
        <v>1.0035993074479395</v>
      </c>
      <c r="F890" s="1014">
        <v>1.0025709939353251</v>
      </c>
      <c r="G890" s="1014">
        <v>0.99966013140031629</v>
      </c>
      <c r="H890" s="1014">
        <v>1.0250173686960047</v>
      </c>
      <c r="I890" s="1014">
        <v>1.0036476210045067</v>
      </c>
      <c r="K890">
        <v>2.4440139157986334</v>
      </c>
      <c r="L890">
        <v>0</v>
      </c>
      <c r="M890">
        <v>1.7082041988317424E-3</v>
      </c>
      <c r="N890">
        <v>0.15721214522034133</v>
      </c>
      <c r="O890">
        <v>2.1463233801368324E-2</v>
      </c>
      <c r="P890">
        <v>2.8820904568872513E-2</v>
      </c>
      <c r="Q890">
        <v>5.6368311224419933E-3</v>
      </c>
      <c r="R890">
        <v>1.6862066252561676E-3</v>
      </c>
      <c r="S890">
        <v>0.26676775641736999</v>
      </c>
      <c r="T890">
        <v>1.3752431492521389</v>
      </c>
      <c r="U890">
        <v>0.21735732505892977</v>
      </c>
      <c r="V890">
        <v>0.24704133575563353</v>
      </c>
      <c r="W890">
        <v>0.1030573064160441</v>
      </c>
      <c r="X890">
        <v>1.6846627182986153E-2</v>
      </c>
      <c r="Y890">
        <v>4.5892985760826628E-3</v>
      </c>
    </row>
    <row r="891" spans="1:25">
      <c r="A891" s="1010"/>
      <c r="B891" s="1351">
        <v>641</v>
      </c>
      <c r="C891" s="1014">
        <v>0.99043540237147276</v>
      </c>
      <c r="D891" s="1014">
        <v>1.0306829948778478</v>
      </c>
      <c r="E891" s="1014">
        <v>0.98174737007249913</v>
      </c>
      <c r="F891" s="1014">
        <v>0.98294962750506287</v>
      </c>
      <c r="G891" s="1014">
        <v>1.0299488600545026</v>
      </c>
      <c r="H891" s="1014">
        <v>1.0104924369068982</v>
      </c>
      <c r="I891" s="1014">
        <v>1.014159690676159</v>
      </c>
      <c r="K891">
        <v>2.3971548527050044</v>
      </c>
      <c r="L891">
        <v>0</v>
      </c>
      <c r="M891">
        <v>1.728090582741074E-3</v>
      </c>
      <c r="N891">
        <v>0.14884836102766363</v>
      </c>
      <c r="O891">
        <v>2.1035711964495687E-2</v>
      </c>
      <c r="P891">
        <v>2.7926035479488718E-2</v>
      </c>
      <c r="Q891">
        <v>5.404043907867113E-3</v>
      </c>
      <c r="R891">
        <v>1.7055170435864868E-3</v>
      </c>
      <c r="S891">
        <v>0.26160958655973293</v>
      </c>
      <c r="T891">
        <v>1.3478643321109887</v>
      </c>
      <c r="U891">
        <v>0.21395750119863291</v>
      </c>
      <c r="V891">
        <v>0.25131653296774786</v>
      </c>
      <c r="W891">
        <v>9.8857591229666114E-2</v>
      </c>
      <c r="X891">
        <v>1.5715874628772011E-2</v>
      </c>
      <c r="Y891">
        <v>4.6418551691000988E-3</v>
      </c>
    </row>
    <row r="892" spans="1:25">
      <c r="A892" s="1010"/>
      <c r="B892" s="1351">
        <v>642</v>
      </c>
      <c r="C892" s="1014">
        <v>1.0051070264946622</v>
      </c>
      <c r="D892" s="1014">
        <v>0.97439601182200719</v>
      </c>
      <c r="E892" s="1014">
        <v>1.0298088514912362</v>
      </c>
      <c r="F892" s="1014">
        <v>1.0269940506401405</v>
      </c>
      <c r="G892" s="1014">
        <v>0.98477121113117949</v>
      </c>
      <c r="H892" s="1014">
        <v>1.0111522574058334</v>
      </c>
      <c r="I892" s="1014">
        <v>0.96669341115841867</v>
      </c>
      <c r="K892">
        <v>2.4499844727371647</v>
      </c>
      <c r="L892">
        <v>0</v>
      </c>
      <c r="M892">
        <v>1.5613311922775814E-3</v>
      </c>
      <c r="N892">
        <v>0.15549305211026401</v>
      </c>
      <c r="O892">
        <v>2.101828789646527E-2</v>
      </c>
      <c r="P892">
        <v>2.951462681002329E-2</v>
      </c>
      <c r="Q892">
        <v>5.6659653239089225E-3</v>
      </c>
      <c r="R892">
        <v>1.540949290761841E-3</v>
      </c>
      <c r="S892">
        <v>0.25315581393129827</v>
      </c>
      <c r="T892">
        <v>1.4093287409844546</v>
      </c>
      <c r="U892">
        <v>0.21099793846925841</v>
      </c>
      <c r="V892">
        <v>0.24251029045879094</v>
      </c>
      <c r="W892">
        <v>0.1003752836987095</v>
      </c>
      <c r="X892">
        <v>1.7750898959849826E-2</v>
      </c>
      <c r="Y892">
        <v>4.1939559956565521E-3</v>
      </c>
    </row>
    <row r="893" spans="1:25">
      <c r="A893" s="1010"/>
      <c r="B893" s="1351">
        <v>643</v>
      </c>
      <c r="C893" s="1014">
        <v>1.0145400081654889</v>
      </c>
      <c r="D893" s="1014">
        <v>0.98942826767825243</v>
      </c>
      <c r="E893" s="1014">
        <v>0.98810894768274482</v>
      </c>
      <c r="F893" s="1014">
        <v>1.0142346137538654</v>
      </c>
      <c r="G893" s="1014">
        <v>0.98963214376473752</v>
      </c>
      <c r="H893" s="1014">
        <v>0.99425935403678445</v>
      </c>
      <c r="I893" s="1014">
        <v>1.0158080275262122</v>
      </c>
      <c r="K893">
        <v>2.4184920747003114</v>
      </c>
      <c r="L893">
        <v>0</v>
      </c>
      <c r="M893">
        <v>1.6530109146092775E-3</v>
      </c>
      <c r="N893">
        <v>0.14511612544569205</v>
      </c>
      <c r="O893">
        <v>2.0725469341843515E-2</v>
      </c>
      <c r="P893">
        <v>2.8435233059748433E-2</v>
      </c>
      <c r="Q893">
        <v>5.3587864090698812E-3</v>
      </c>
      <c r="R893">
        <v>1.6310655776282162E-3</v>
      </c>
      <c r="S893">
        <v>0.25973966947886873</v>
      </c>
      <c r="T893">
        <v>1.3909028166103639</v>
      </c>
      <c r="U893">
        <v>0.20889543545425135</v>
      </c>
      <c r="V893">
        <v>0.24290883219606765</v>
      </c>
      <c r="W893">
        <v>9.6010757918403786E-2</v>
      </c>
      <c r="X893">
        <v>1.5981671301302278E-2</v>
      </c>
      <c r="Y893">
        <v>4.4392228216808436E-3</v>
      </c>
    </row>
    <row r="894" spans="1:25">
      <c r="A894" s="1010"/>
      <c r="B894" s="1351">
        <v>644</v>
      </c>
      <c r="C894" s="1014">
        <v>1.0092226920434793</v>
      </c>
      <c r="D894" s="1014">
        <v>0.96633722198959471</v>
      </c>
      <c r="E894" s="1014">
        <v>0.98536843664378915</v>
      </c>
      <c r="F894" s="1014">
        <v>1.0048916664135401</v>
      </c>
      <c r="G894" s="1014">
        <v>0.96986111610836467</v>
      </c>
      <c r="H894" s="1014">
        <v>1.0135378995738573</v>
      </c>
      <c r="I894" s="1014">
        <v>0.98070142580130959</v>
      </c>
      <c r="K894">
        <v>2.407456708686238</v>
      </c>
      <c r="L894">
        <v>0</v>
      </c>
      <c r="M894">
        <v>1.7124508875377687E-3</v>
      </c>
      <c r="N894">
        <v>0.14913167167808403</v>
      </c>
      <c r="O894">
        <v>2.0941375396473762E-2</v>
      </c>
      <c r="P894">
        <v>2.8135231197960627E-2</v>
      </c>
      <c r="Q894">
        <v>5.3996062690862164E-3</v>
      </c>
      <c r="R894">
        <v>1.6901488598691054E-3</v>
      </c>
      <c r="S894">
        <v>0.25668642723242685</v>
      </c>
      <c r="T894">
        <v>1.3780306684695152</v>
      </c>
      <c r="U894">
        <v>0.20998678542475133</v>
      </c>
      <c r="V894">
        <v>0.2398649243680836</v>
      </c>
      <c r="W894">
        <v>9.8830034716755999E-2</v>
      </c>
      <c r="X894">
        <v>1.5872257921625117E-2</v>
      </c>
      <c r="Y894">
        <v>4.6000280391417896E-3</v>
      </c>
    </row>
    <row r="895" spans="1:25">
      <c r="A895" s="1010"/>
      <c r="B895" s="1351">
        <v>645</v>
      </c>
      <c r="C895" s="1014">
        <v>0.99767809704533505</v>
      </c>
      <c r="D895" s="1014">
        <v>1.0290284706682968</v>
      </c>
      <c r="E895" s="1014">
        <v>0.967835180274357</v>
      </c>
      <c r="F895" s="1014">
        <v>1.0160335746916371</v>
      </c>
      <c r="G895" s="1014">
        <v>1.0298006966391671</v>
      </c>
      <c r="H895" s="1014">
        <v>0.98821438491824742</v>
      </c>
      <c r="I895" s="1014">
        <v>0.98579103506380772</v>
      </c>
      <c r="K895">
        <v>2.4191004209165472</v>
      </c>
      <c r="L895">
        <v>0</v>
      </c>
      <c r="M895">
        <v>1.7272567962208748E-3</v>
      </c>
      <c r="N895">
        <v>0.14259912189506099</v>
      </c>
      <c r="O895">
        <v>2.0881225297880328E-2</v>
      </c>
      <c r="P895">
        <v>2.80588295958836E-2</v>
      </c>
      <c r="Q895">
        <v>5.2888190708150458E-3</v>
      </c>
      <c r="R895">
        <v>1.7041855020247174E-3</v>
      </c>
      <c r="S895">
        <v>0.25067727335106776</v>
      </c>
      <c r="T895">
        <v>1.3929263935567748</v>
      </c>
      <c r="U895">
        <v>0.21235679462948498</v>
      </c>
      <c r="V895">
        <v>0.25088717409856875</v>
      </c>
      <c r="W895">
        <v>9.5509426218873636E-2</v>
      </c>
      <c r="X895">
        <v>1.5300203344418999E-2</v>
      </c>
      <c r="Y895">
        <v>4.6382311519115212E-3</v>
      </c>
    </row>
    <row r="896" spans="1:25">
      <c r="A896" s="1010"/>
      <c r="B896" s="1351">
        <v>646</v>
      </c>
      <c r="C896" s="1014">
        <v>1.0141965523956034</v>
      </c>
      <c r="D896" s="1014">
        <v>1.0307050412441996</v>
      </c>
      <c r="E896" s="1014">
        <v>1.0089205976774758</v>
      </c>
      <c r="F896" s="1014">
        <v>0.9927582813446606</v>
      </c>
      <c r="G896" s="1014">
        <v>0.98096387963598597</v>
      </c>
      <c r="H896" s="1014">
        <v>0.99695686877672707</v>
      </c>
      <c r="I896" s="1014">
        <v>1.005547046052736</v>
      </c>
      <c r="K896">
        <v>2.3830682034517325</v>
      </c>
      <c r="L896">
        <v>0</v>
      </c>
      <c r="M896">
        <v>1.5738032860894606E-3</v>
      </c>
      <c r="N896">
        <v>0.14713503697838462</v>
      </c>
      <c r="O896">
        <v>2.0560429901467368E-2</v>
      </c>
      <c r="P896">
        <v>2.836183802698403E-2</v>
      </c>
      <c r="Q896">
        <v>5.4285895738785525E-3</v>
      </c>
      <c r="R896">
        <v>1.5529660411764091E-3</v>
      </c>
      <c r="S896">
        <v>0.25239143721898227</v>
      </c>
      <c r="T896">
        <v>1.3618972895979617</v>
      </c>
      <c r="U896">
        <v>0.20903630393951317</v>
      </c>
      <c r="V896">
        <v>0.24137578874032395</v>
      </c>
      <c r="W896">
        <v>9.6148392148254547E-2</v>
      </c>
      <c r="X896">
        <v>1.652727294192919E-2</v>
      </c>
      <c r="Y896">
        <v>4.2266616289642952E-3</v>
      </c>
    </row>
    <row r="897" spans="1:25">
      <c r="A897" s="1010"/>
      <c r="B897" s="1351">
        <v>647</v>
      </c>
      <c r="C897" s="1014">
        <v>1.012838157804627</v>
      </c>
      <c r="D897" s="1014">
        <v>0.99767008585797035</v>
      </c>
      <c r="E897" s="1014">
        <v>0.98926181609755248</v>
      </c>
      <c r="F897" s="1014">
        <v>1.0069829976769689</v>
      </c>
      <c r="G897" s="1014">
        <v>1.02809994593336</v>
      </c>
      <c r="H897" s="1014">
        <v>1.0015048982070931</v>
      </c>
      <c r="I897" s="1014">
        <v>0.99025532466157518</v>
      </c>
      <c r="K897">
        <v>2.4109169423875092</v>
      </c>
      <c r="L897">
        <v>0</v>
      </c>
      <c r="M897">
        <v>1.6608443014694888E-3</v>
      </c>
      <c r="N897">
        <v>0.14632720572967323</v>
      </c>
      <c r="O897">
        <v>2.0723195737430915E-2</v>
      </c>
      <c r="P897">
        <v>2.8332020444760013E-2</v>
      </c>
      <c r="Q897">
        <v>5.3644505469133295E-3</v>
      </c>
      <c r="R897">
        <v>1.6389544879694309E-3</v>
      </c>
      <c r="S897">
        <v>0.25318889840249853</v>
      </c>
      <c r="T897">
        <v>1.3809831335176648</v>
      </c>
      <c r="U897">
        <v>0.20925032182570028</v>
      </c>
      <c r="V897">
        <v>0.24957918729177989</v>
      </c>
      <c r="W897">
        <v>9.6745116192038502E-2</v>
      </c>
      <c r="X897">
        <v>1.5984608677496528E-2</v>
      </c>
      <c r="Y897">
        <v>4.4606938350510369E-3</v>
      </c>
    </row>
    <row r="898" spans="1:25">
      <c r="A898" s="1010"/>
      <c r="B898" s="1351">
        <v>648</v>
      </c>
      <c r="C898" s="1014">
        <v>1.0007104469436841</v>
      </c>
      <c r="D898" s="1014">
        <v>1.0109763859569416</v>
      </c>
      <c r="E898" s="1014">
        <v>0.98254113223913719</v>
      </c>
      <c r="F898" s="1014">
        <v>0.99012902431984229</v>
      </c>
      <c r="G898" s="1014">
        <v>1.0228863939672468</v>
      </c>
      <c r="H898" s="1014">
        <v>1.0154143491944774</v>
      </c>
      <c r="I898" s="1014">
        <v>1.0196802435932435</v>
      </c>
      <c r="K898">
        <v>2.4044684918584815</v>
      </c>
      <c r="L898">
        <v>0</v>
      </c>
      <c r="M898">
        <v>1.7231611393713924E-3</v>
      </c>
      <c r="N898">
        <v>0.14879014522874881</v>
      </c>
      <c r="O898">
        <v>2.090885814819465E-2</v>
      </c>
      <c r="P898">
        <v>2.8043542498299885E-2</v>
      </c>
      <c r="Q898">
        <v>5.3757854979887137E-3</v>
      </c>
      <c r="R898">
        <v>1.7007610983329083E-3</v>
      </c>
      <c r="S898">
        <v>0.26327565104073608</v>
      </c>
      <c r="T898">
        <v>1.3577259767774503</v>
      </c>
      <c r="U898">
        <v>0.21176334267030589</v>
      </c>
      <c r="V898">
        <v>0.24946022036358631</v>
      </c>
      <c r="W898">
        <v>9.8771655813314541E-2</v>
      </c>
      <c r="X898">
        <v>1.5746802806976098E-2</v>
      </c>
      <c r="Y898">
        <v>4.6289110539167923E-3</v>
      </c>
    </row>
    <row r="899" spans="1:25">
      <c r="A899" s="1010"/>
      <c r="B899" s="1351">
        <v>649</v>
      </c>
      <c r="C899" s="1014">
        <v>0.99869981950939424</v>
      </c>
      <c r="D899" s="1014">
        <v>1.040486072874248</v>
      </c>
      <c r="E899" s="1014">
        <v>0.9726164740960227</v>
      </c>
      <c r="F899" s="1014">
        <v>0.97549617422745927</v>
      </c>
      <c r="G899" s="1014">
        <v>0.96243091152004756</v>
      </c>
      <c r="H899" s="1014">
        <v>0.9800172472295563</v>
      </c>
      <c r="I899" s="1014">
        <v>0.99479319543292388</v>
      </c>
      <c r="K899">
        <v>2.348699282765196</v>
      </c>
      <c r="L899">
        <v>0</v>
      </c>
      <c r="M899">
        <v>1.6902462442403242E-3</v>
      </c>
      <c r="N899">
        <v>0.14156243103931029</v>
      </c>
      <c r="O899">
        <v>2.0812243823446656E-2</v>
      </c>
      <c r="P899">
        <v>2.7262497100988506E-2</v>
      </c>
      <c r="Q899">
        <v>5.2971674437078771E-3</v>
      </c>
      <c r="R899">
        <v>1.6674804671518747E-3</v>
      </c>
      <c r="S899">
        <v>0.25066935344869107</v>
      </c>
      <c r="T899">
        <v>1.3374520880957645</v>
      </c>
      <c r="U899">
        <v>0.21215582802904676</v>
      </c>
      <c r="V899">
        <v>0.2392911364783501</v>
      </c>
      <c r="W899">
        <v>9.4539609059938814E-2</v>
      </c>
      <c r="X899">
        <v>1.5141361876238921E-2</v>
      </c>
      <c r="Y899">
        <v>4.5383321467991379E-3</v>
      </c>
    </row>
    <row r="900" spans="1:25">
      <c r="A900" s="1010"/>
      <c r="B900" s="1351">
        <v>650</v>
      </c>
      <c r="C900" s="1014">
        <v>0.98346282740577273</v>
      </c>
      <c r="D900" s="1014">
        <v>0.98412200722386223</v>
      </c>
      <c r="E900" s="1014">
        <v>1.0139422287187254</v>
      </c>
      <c r="F900" s="1014">
        <v>0.99347757983992058</v>
      </c>
      <c r="G900" s="1014">
        <v>0.95863097783791451</v>
      </c>
      <c r="H900" s="1014">
        <v>0.99186360317969291</v>
      </c>
      <c r="I900" s="1014">
        <v>0.96937730824429802</v>
      </c>
      <c r="K900">
        <v>2.4045505983670634</v>
      </c>
      <c r="L900">
        <v>0</v>
      </c>
      <c r="M900">
        <v>1.6142740334170334E-3</v>
      </c>
      <c r="N900">
        <v>0.15321325249789733</v>
      </c>
      <c r="O900">
        <v>2.142319495025171E-2</v>
      </c>
      <c r="P900">
        <v>2.8601531733663341E-2</v>
      </c>
      <c r="Q900">
        <v>5.6848291291289096E-3</v>
      </c>
      <c r="R900">
        <v>1.5927912017538529E-3</v>
      </c>
      <c r="S900">
        <v>0.25640053150787395</v>
      </c>
      <c r="T900">
        <v>1.362992192030285</v>
      </c>
      <c r="U900">
        <v>0.21558628173097083</v>
      </c>
      <c r="V900">
        <v>0.239469038266451</v>
      </c>
      <c r="W900">
        <v>9.9824627615660994E-2</v>
      </c>
      <c r="X900">
        <v>1.7041549148847389E-2</v>
      </c>
      <c r="Y900">
        <v>4.3350525876954434E-3</v>
      </c>
    </row>
    <row r="901" spans="1:25">
      <c r="A901" s="1010"/>
      <c r="B901" s="1351">
        <v>651</v>
      </c>
      <c r="C901" s="1014">
        <v>1.0056039313416749</v>
      </c>
      <c r="D901" s="1014">
        <v>1.0040237406822303</v>
      </c>
      <c r="E901" s="1014">
        <v>1.0040446887602985</v>
      </c>
      <c r="F901" s="1014">
        <v>1.0090626149898538</v>
      </c>
      <c r="G901" s="1014">
        <v>0.99581211908259415</v>
      </c>
      <c r="H901" s="1014">
        <v>0.95985142619469821</v>
      </c>
      <c r="I901" s="1014">
        <v>0.98813196636622791</v>
      </c>
      <c r="K901">
        <v>2.4019622033568733</v>
      </c>
      <c r="L901">
        <v>0</v>
      </c>
      <c r="M901">
        <v>1.5526589189647237E-3</v>
      </c>
      <c r="N901">
        <v>0.14296238046305479</v>
      </c>
      <c r="O901">
        <v>2.0852888802004671E-2</v>
      </c>
      <c r="P901">
        <v>2.860187634999109E-2</v>
      </c>
      <c r="Q901">
        <v>5.4789850126245199E-3</v>
      </c>
      <c r="R901">
        <v>1.5313069334450936E-3</v>
      </c>
      <c r="S901">
        <v>0.25029566831754102</v>
      </c>
      <c r="T901">
        <v>1.3841575403796247</v>
      </c>
      <c r="U901">
        <v>0.21080587336021805</v>
      </c>
      <c r="V901">
        <v>0.2444538419151881</v>
      </c>
      <c r="W901">
        <v>9.3691425858015528E-2</v>
      </c>
      <c r="X901">
        <v>1.6515362206487881E-2</v>
      </c>
      <c r="Y901">
        <v>4.1677126776426031E-3</v>
      </c>
    </row>
    <row r="902" spans="1:25">
      <c r="A902" s="1010"/>
      <c r="B902" s="1351">
        <v>652</v>
      </c>
      <c r="C902" s="1014">
        <v>0.96095711374309745</v>
      </c>
      <c r="D902" s="1014">
        <v>0.99666903420393382</v>
      </c>
      <c r="E902" s="1014">
        <v>0.99899107526446285</v>
      </c>
      <c r="F902" s="1014">
        <v>1.0027085259632686</v>
      </c>
      <c r="G902" s="1014">
        <v>1.0131958295304309</v>
      </c>
      <c r="H902" s="1014">
        <v>0.9644298440691178</v>
      </c>
      <c r="I902" s="1014">
        <v>0.9915961153428906</v>
      </c>
      <c r="K902">
        <v>2.4362718083412931</v>
      </c>
      <c r="L902">
        <v>0</v>
      </c>
      <c r="M902">
        <v>1.6524250761220589E-3</v>
      </c>
      <c r="N902">
        <v>0.14985324076063108</v>
      </c>
      <c r="O902">
        <v>2.185356148067678E-2</v>
      </c>
      <c r="P902">
        <v>2.8776828345077204E-2</v>
      </c>
      <c r="Q902">
        <v>5.7128370524411366E-3</v>
      </c>
      <c r="R902">
        <v>1.6298089949479382E-3</v>
      </c>
      <c r="S902">
        <v>0.2641796356041155</v>
      </c>
      <c r="T902">
        <v>1.3753318401148162</v>
      </c>
      <c r="U902">
        <v>0.22058209824663105</v>
      </c>
      <c r="V902">
        <v>0.25032323040951648</v>
      </c>
      <c r="W902">
        <v>9.8502465064935443E-2</v>
      </c>
      <c r="X902">
        <v>1.674288452576448E-2</v>
      </c>
      <c r="Y902">
        <v>4.4358028178574961E-3</v>
      </c>
    </row>
    <row r="903" spans="1:25">
      <c r="A903" s="1010"/>
      <c r="B903" s="1351">
        <v>653</v>
      </c>
      <c r="C903" s="1014">
        <v>0.96591443166507551</v>
      </c>
      <c r="D903" s="1014">
        <v>0.98530561350655499</v>
      </c>
      <c r="E903" s="1014">
        <v>1.0054563675407129</v>
      </c>
      <c r="F903" s="1014">
        <v>0.98667472050608385</v>
      </c>
      <c r="G903" s="1014">
        <v>0.98339930037916767</v>
      </c>
      <c r="H903" s="1014">
        <v>0.99996781271498558</v>
      </c>
      <c r="I903" s="1014">
        <v>0.99899081120092548</v>
      </c>
      <c r="K903">
        <v>2.4230363339274934</v>
      </c>
      <c r="L903">
        <v>0</v>
      </c>
      <c r="M903">
        <v>1.6860551751863577E-3</v>
      </c>
      <c r="N903">
        <v>0.15599546581723595</v>
      </c>
      <c r="O903">
        <v>2.1800778429140587E-2</v>
      </c>
      <c r="P903">
        <v>2.8599457236738644E-2</v>
      </c>
      <c r="Q903">
        <v>5.7361503830858224E-3</v>
      </c>
      <c r="R903">
        <v>1.6637989257538848E-3</v>
      </c>
      <c r="S903">
        <v>0.26951423642930789</v>
      </c>
      <c r="T903">
        <v>1.3534776348641218</v>
      </c>
      <c r="U903">
        <v>0.2194729026396946</v>
      </c>
      <c r="V903">
        <v>0.24487910443603869</v>
      </c>
      <c r="W903">
        <v>0.1021473330843618</v>
      </c>
      <c r="X903">
        <v>1.6907214652463545E-2</v>
      </c>
      <c r="Y903">
        <v>4.5283122047336029E-3</v>
      </c>
    </row>
    <row r="904" spans="1:25">
      <c r="A904" s="1010"/>
      <c r="B904" s="1351">
        <v>654</v>
      </c>
      <c r="C904" s="1014">
        <v>1.0138141179545215</v>
      </c>
      <c r="D904" s="1014">
        <v>1.0249918348234182</v>
      </c>
      <c r="E904" s="1014">
        <v>1.0197614688001981</v>
      </c>
      <c r="F904" s="1014">
        <v>1.0267757391975694</v>
      </c>
      <c r="G904" s="1014">
        <v>1.0406849953178869</v>
      </c>
      <c r="H904" s="1014">
        <v>1.0415388598384472</v>
      </c>
      <c r="I904" s="1014">
        <v>1.015459583725203</v>
      </c>
      <c r="K904">
        <v>2.4629479633396074</v>
      </c>
      <c r="L904">
        <v>0</v>
      </c>
      <c r="M904">
        <v>1.6101146312321479E-3</v>
      </c>
      <c r="N904">
        <v>0.15562562856866119</v>
      </c>
      <c r="O904">
        <v>2.0600426999384597E-2</v>
      </c>
      <c r="P904">
        <v>2.9480123835744151E-2</v>
      </c>
      <c r="Q904">
        <v>5.498272031642432E-3</v>
      </c>
      <c r="R904">
        <v>1.5897091173279858E-3</v>
      </c>
      <c r="S904">
        <v>0.25954990116162557</v>
      </c>
      <c r="T904">
        <v>1.4088049477339388</v>
      </c>
      <c r="U904">
        <v>0.20915178960017916</v>
      </c>
      <c r="V904">
        <v>0.25155459146803005</v>
      </c>
      <c r="W904">
        <v>0.10105091129361614</v>
      </c>
      <c r="X904">
        <v>1.7325111990791887E-2</v>
      </c>
      <c r="Y904">
        <v>4.3266641698970895E-3</v>
      </c>
    </row>
    <row r="905" spans="1:25">
      <c r="A905" s="1010"/>
      <c r="B905" s="1351">
        <v>655</v>
      </c>
      <c r="C905" s="1014">
        <v>0.98632425622719755</v>
      </c>
      <c r="D905" s="1014">
        <v>0.99334016551948301</v>
      </c>
      <c r="E905" s="1014">
        <v>1.0092228016775842</v>
      </c>
      <c r="F905" s="1014">
        <v>0.98724425858091736</v>
      </c>
      <c r="G905" s="1014">
        <v>1.0137771071093373</v>
      </c>
      <c r="H905" s="1014">
        <v>0.97070076575024744</v>
      </c>
      <c r="I905" s="1014">
        <v>1.0306842126755438</v>
      </c>
      <c r="K905">
        <v>2.4088559406141075</v>
      </c>
      <c r="L905">
        <v>0</v>
      </c>
      <c r="M905">
        <v>1.5875128548179037E-3</v>
      </c>
      <c r="N905">
        <v>0.14849831144134981</v>
      </c>
      <c r="O905">
        <v>2.1314088835833925E-2</v>
      </c>
      <c r="P905">
        <v>2.866945577280916E-2</v>
      </c>
      <c r="Q905">
        <v>5.6292800395814253E-3</v>
      </c>
      <c r="R905">
        <v>1.5659255662577197E-3</v>
      </c>
      <c r="S905">
        <v>0.26862857125757256</v>
      </c>
      <c r="T905">
        <v>1.354339442773407</v>
      </c>
      <c r="U905">
        <v>0.21494445857716291</v>
      </c>
      <c r="V905">
        <v>0.24871559473356322</v>
      </c>
      <c r="W905">
        <v>9.7021947917080659E-2</v>
      </c>
      <c r="X905">
        <v>1.6854443370179023E-2</v>
      </c>
      <c r="Y905">
        <v>4.2619331841293306E-3</v>
      </c>
    </row>
    <row r="906" spans="1:25">
      <c r="A906" s="1010"/>
      <c r="B906" s="1351">
        <v>656</v>
      </c>
      <c r="C906" s="1014">
        <v>0.99818015625660661</v>
      </c>
      <c r="D906" s="1014">
        <v>1.0004257777292984</v>
      </c>
      <c r="E906" s="1014">
        <v>1.0074798428096345</v>
      </c>
      <c r="F906" s="1014">
        <v>0.98764919047511868</v>
      </c>
      <c r="G906" s="1014">
        <v>1.031697205068939</v>
      </c>
      <c r="H906" s="1014">
        <v>1.0132639513461232</v>
      </c>
      <c r="I906" s="1014">
        <v>0.98523719268009036</v>
      </c>
      <c r="K906">
        <v>2.4034570837484717</v>
      </c>
      <c r="L906">
        <v>0</v>
      </c>
      <c r="M906">
        <v>1.6408101172265671E-3</v>
      </c>
      <c r="N906">
        <v>0.15276662318049741</v>
      </c>
      <c r="O906">
        <v>2.1026862588971788E-2</v>
      </c>
      <c r="P906">
        <v>2.8468242355819705E-2</v>
      </c>
      <c r="Q906">
        <v>5.5437442404387399E-3</v>
      </c>
      <c r="R906">
        <v>1.6194353225574987E-3</v>
      </c>
      <c r="S906">
        <v>0.25638672337713242</v>
      </c>
      <c r="T906">
        <v>1.3548576502042315</v>
      </c>
      <c r="U906">
        <v>0.21238547606221922</v>
      </c>
      <c r="V906">
        <v>0.25103002152527559</v>
      </c>
      <c r="W906">
        <v>9.9913435724138827E-2</v>
      </c>
      <c r="X906">
        <v>1.6692110183123388E-2</v>
      </c>
      <c r="Y906">
        <v>4.4075691012909046E-3</v>
      </c>
    </row>
    <row r="907" spans="1:25">
      <c r="A907" s="1010"/>
      <c r="B907" s="1351">
        <v>657</v>
      </c>
      <c r="C907" s="1014">
        <v>1.0098473201510854</v>
      </c>
      <c r="D907" s="1014">
        <v>1.0136737694385578</v>
      </c>
      <c r="E907" s="1014">
        <v>0.97899931966226317</v>
      </c>
      <c r="F907" s="1014">
        <v>1.030785249397719</v>
      </c>
      <c r="G907" s="1014">
        <v>1.012504838689249</v>
      </c>
      <c r="H907" s="1014">
        <v>0.99696389382940898</v>
      </c>
      <c r="I907" s="1014">
        <v>0.99839609756648962</v>
      </c>
      <c r="K907">
        <v>2.4387482535797167</v>
      </c>
      <c r="L907">
        <v>0</v>
      </c>
      <c r="M907">
        <v>1.6878785552848022E-3</v>
      </c>
      <c r="N907">
        <v>0.1441550384997963</v>
      </c>
      <c r="O907">
        <v>2.0705223557614647E-2</v>
      </c>
      <c r="P907">
        <v>2.8528130902319589E-2</v>
      </c>
      <c r="Q907">
        <v>5.3043087569029906E-3</v>
      </c>
      <c r="R907">
        <v>1.6655311047983944E-3</v>
      </c>
      <c r="S907">
        <v>0.25353470532165173</v>
      </c>
      <c r="T907">
        <v>1.4133976510264581</v>
      </c>
      <c r="U907">
        <v>0.20983540352956903</v>
      </c>
      <c r="V907">
        <v>0.24713570602395449</v>
      </c>
      <c r="W907">
        <v>9.5899473209290681E-2</v>
      </c>
      <c r="X907">
        <v>1.5741933577563448E-2</v>
      </c>
      <c r="Y907">
        <v>4.5330266250800926E-3</v>
      </c>
    </row>
    <row r="908" spans="1:25">
      <c r="A908" s="1010"/>
      <c r="B908" s="1351">
        <v>658</v>
      </c>
      <c r="C908" s="1014">
        <v>1.0115978631460587</v>
      </c>
      <c r="D908" s="1014">
        <v>1.0176755327889326</v>
      </c>
      <c r="E908" s="1014">
        <v>1.0105634193326085</v>
      </c>
      <c r="F908" s="1014">
        <v>0.99036321605285849</v>
      </c>
      <c r="G908" s="1014">
        <v>1.0047616223632088</v>
      </c>
      <c r="H908" s="1014">
        <v>0.96880403510657775</v>
      </c>
      <c r="I908" s="1014">
        <v>1.0082387666978418</v>
      </c>
      <c r="K908">
        <v>2.3799056032218457</v>
      </c>
      <c r="L908">
        <v>0</v>
      </c>
      <c r="M908">
        <v>1.5323486234618772E-3</v>
      </c>
      <c r="N908">
        <v>0.14391559880153557</v>
      </c>
      <c r="O908">
        <v>2.067209648372776E-2</v>
      </c>
      <c r="P908">
        <v>2.8424876011529359E-2</v>
      </c>
      <c r="Q908">
        <v>5.4670450509104462E-3</v>
      </c>
      <c r="R908">
        <v>1.5114706730398183E-3</v>
      </c>
      <c r="S908">
        <v>0.25296451868783781</v>
      </c>
      <c r="T908">
        <v>1.3586469203530189</v>
      </c>
      <c r="U908">
        <v>0.20957885590569472</v>
      </c>
      <c r="V908">
        <v>0.24559092130199209</v>
      </c>
      <c r="W908">
        <v>9.3953506119189567E-2</v>
      </c>
      <c r="X908">
        <v>1.6598417540991083E-2</v>
      </c>
      <c r="Y908">
        <v>4.1137249158409274E-3</v>
      </c>
    </row>
    <row r="909" spans="1:25">
      <c r="A909" s="1010"/>
      <c r="B909" s="1351">
        <v>659</v>
      </c>
      <c r="C909" s="1014">
        <v>1.0453387374647138</v>
      </c>
      <c r="D909" s="1014">
        <v>0.99752729045377597</v>
      </c>
      <c r="E909" s="1014">
        <v>0.99219120383505388</v>
      </c>
      <c r="F909" s="1014">
        <v>0.98661468508727168</v>
      </c>
      <c r="G909" s="1014">
        <v>1.0305705223620474</v>
      </c>
      <c r="H909" s="1014">
        <v>1.0108345232512417</v>
      </c>
      <c r="I909" s="1014">
        <v>1.0029903791414663</v>
      </c>
      <c r="K909">
        <v>2.3646446918403812</v>
      </c>
      <c r="L909">
        <v>0</v>
      </c>
      <c r="M909">
        <v>1.6144234174055982E-3</v>
      </c>
      <c r="N909">
        <v>0.14352032220843078</v>
      </c>
      <c r="O909">
        <v>2.0081382225400669E-2</v>
      </c>
      <c r="P909">
        <v>2.7854695598979649E-2</v>
      </c>
      <c r="Q909">
        <v>5.213717724363927E-3</v>
      </c>
      <c r="R909">
        <v>1.5933418158542054E-3</v>
      </c>
      <c r="S909">
        <v>0.24927439832207562</v>
      </c>
      <c r="T909">
        <v>1.3531122866164806</v>
      </c>
      <c r="U909">
        <v>0.20275409443011649</v>
      </c>
      <c r="V909">
        <v>0.24807509869200861</v>
      </c>
      <c r="W909">
        <v>9.4723050149422075E-2</v>
      </c>
      <c r="X909">
        <v>1.572017629688505E-2</v>
      </c>
      <c r="Y909">
        <v>4.3365511777667129E-3</v>
      </c>
    </row>
    <row r="910" spans="1:25">
      <c r="A910" s="1010"/>
      <c r="B910" s="1351">
        <v>660</v>
      </c>
      <c r="C910" s="1014">
        <v>0.96613741532476738</v>
      </c>
      <c r="D910" s="1014">
        <v>1.0113879021733678</v>
      </c>
      <c r="E910" s="1014">
        <v>0.97824703526351497</v>
      </c>
      <c r="F910" s="1014">
        <v>1.0058940077551772</v>
      </c>
      <c r="G910" s="1014">
        <v>1.0141399273235574</v>
      </c>
      <c r="H910" s="1014">
        <v>1.001422773558051</v>
      </c>
      <c r="I910" s="1014">
        <v>1.0355406313924618</v>
      </c>
      <c r="K910">
        <v>2.4528480495944729</v>
      </c>
      <c r="L910">
        <v>0</v>
      </c>
      <c r="M910">
        <v>1.7757718553461253E-3</v>
      </c>
      <c r="N910">
        <v>0.15132584999465587</v>
      </c>
      <c r="O910">
        <v>2.165220529246489E-2</v>
      </c>
      <c r="P910">
        <v>2.8518042543351795E-2</v>
      </c>
      <c r="Q910">
        <v>5.5426656704848443E-3</v>
      </c>
      <c r="R910">
        <v>1.7523653852420909E-3</v>
      </c>
      <c r="S910">
        <v>0.27557325142814476</v>
      </c>
      <c r="T910">
        <v>1.3792508504456398</v>
      </c>
      <c r="U910">
        <v>0.21932610613322628</v>
      </c>
      <c r="V910">
        <v>0.25021222129293569</v>
      </c>
      <c r="W910">
        <v>0.10071566149016237</v>
      </c>
      <c r="X910">
        <v>1.5985240861972293E-2</v>
      </c>
      <c r="Y910">
        <v>4.769360911534978E-3</v>
      </c>
    </row>
    <row r="911" spans="1:25">
      <c r="A911" s="1010"/>
      <c r="B911" s="1351">
        <v>661</v>
      </c>
      <c r="C911" s="1014">
        <v>1.0346022426281118</v>
      </c>
      <c r="D911" s="1014">
        <v>1.0308170881109193</v>
      </c>
      <c r="E911" s="1014">
        <v>1.0128667065880137</v>
      </c>
      <c r="F911" s="1014">
        <v>1.023275785923389</v>
      </c>
      <c r="G911" s="1014">
        <v>1.0196030855149145</v>
      </c>
      <c r="H911" s="1014">
        <v>0.99890577089361499</v>
      </c>
      <c r="I911" s="1014">
        <v>1.0168323485043635</v>
      </c>
      <c r="K911">
        <v>2.4208607586266555</v>
      </c>
      <c r="L911">
        <v>0</v>
      </c>
      <c r="M911">
        <v>1.533119718925034E-3</v>
      </c>
      <c r="N911">
        <v>0.14505297228997496</v>
      </c>
      <c r="O911">
        <v>2.0156948720801867E-2</v>
      </c>
      <c r="P911">
        <v>2.9011979623974251E-2</v>
      </c>
      <c r="Q911">
        <v>5.343082969521299E-3</v>
      </c>
      <c r="R911">
        <v>1.5128607300567509E-3</v>
      </c>
      <c r="S911">
        <v>0.25036985992798105</v>
      </c>
      <c r="T911">
        <v>1.4038496933193838</v>
      </c>
      <c r="U911">
        <v>0.20492649394080203</v>
      </c>
      <c r="V911">
        <v>0.24674456782667126</v>
      </c>
      <c r="W911">
        <v>9.4567671402705888E-2</v>
      </c>
      <c r="X911">
        <v>1.674023940089615E-2</v>
      </c>
      <c r="Y911">
        <v>4.1175081928088459E-3</v>
      </c>
    </row>
    <row r="912" spans="1:25">
      <c r="A912" s="1010"/>
      <c r="B912" s="1351">
        <v>662</v>
      </c>
      <c r="C912" s="1014">
        <v>1.0304818375679556</v>
      </c>
      <c r="D912" s="1014">
        <v>0.97361998772077718</v>
      </c>
      <c r="E912" s="1014">
        <v>1.0238062828700856</v>
      </c>
      <c r="F912" s="1014">
        <v>1.027852208942714</v>
      </c>
      <c r="G912" s="1014">
        <v>1.0331213892705802</v>
      </c>
      <c r="H912" s="1014">
        <v>1.0287547381011954</v>
      </c>
      <c r="I912" s="1014">
        <v>0.98878910699433042</v>
      </c>
      <c r="K912">
        <v>2.4494215537859039</v>
      </c>
      <c r="L912">
        <v>0</v>
      </c>
      <c r="M912">
        <v>1.5691628049593258E-3</v>
      </c>
      <c r="N912">
        <v>0.1535047286921058</v>
      </c>
      <c r="O912">
        <v>2.0500418144832291E-2</v>
      </c>
      <c r="P912">
        <v>2.9434253613150586E-2</v>
      </c>
      <c r="Q912">
        <v>5.4936041276498595E-3</v>
      </c>
      <c r="R912">
        <v>1.5490291614267653E-3</v>
      </c>
      <c r="S912">
        <v>0.2540654371161129</v>
      </c>
      <c r="T912">
        <v>1.4103722396834948</v>
      </c>
      <c r="U912">
        <v>0.20578228685549069</v>
      </c>
      <c r="V912">
        <v>0.24925297261822427</v>
      </c>
      <c r="W912">
        <v>9.943850494747801E-2</v>
      </c>
      <c r="X912">
        <v>1.7381294890819347E-2</v>
      </c>
      <c r="Y912">
        <v>4.2159467400778279E-3</v>
      </c>
    </row>
    <row r="913" spans="1:25">
      <c r="A913" s="1010"/>
      <c r="B913" s="1351">
        <v>663</v>
      </c>
      <c r="C913" s="1014">
        <v>0.98940080715926704</v>
      </c>
      <c r="D913" s="1014">
        <v>0.99678258270287434</v>
      </c>
      <c r="E913" s="1014">
        <v>1.0209420002474152</v>
      </c>
      <c r="F913" s="1014">
        <v>1.0078300726769172</v>
      </c>
      <c r="G913" s="1014">
        <v>1.0085396131060522</v>
      </c>
      <c r="H913" s="1014">
        <v>1.0166216994174924</v>
      </c>
      <c r="I913" s="1014">
        <v>0.99355181284886518</v>
      </c>
      <c r="K913">
        <v>2.4427600833482845</v>
      </c>
      <c r="L913">
        <v>0</v>
      </c>
      <c r="M913">
        <v>1.6163162957419067E-3</v>
      </c>
      <c r="N913">
        <v>0.15673308421729035</v>
      </c>
      <c r="O913">
        <v>2.1239532010506133E-2</v>
      </c>
      <c r="P913">
        <v>2.9192358323406754E-2</v>
      </c>
      <c r="Q913">
        <v>5.6755054012739264E-3</v>
      </c>
      <c r="R913">
        <v>1.5953301253541345E-3</v>
      </c>
      <c r="S913">
        <v>0.26171937487410946</v>
      </c>
      <c r="T913">
        <v>1.3828360626540561</v>
      </c>
      <c r="U913">
        <v>0.21431666866062707</v>
      </c>
      <c r="V913">
        <v>0.24758299704314468</v>
      </c>
      <c r="W913">
        <v>0.10169975878931091</v>
      </c>
      <c r="X913">
        <v>1.7443764844164548E-2</v>
      </c>
      <c r="Y913">
        <v>4.3419627007794696E-3</v>
      </c>
    </row>
    <row r="914" spans="1:25">
      <c r="A914" s="1010"/>
      <c r="B914" s="1351">
        <v>664</v>
      </c>
      <c r="C914" s="1014">
        <v>1.0199793896097156</v>
      </c>
      <c r="D914" s="1014">
        <v>1.0305148203318484</v>
      </c>
      <c r="E914" s="1014">
        <v>1.0249220522437053</v>
      </c>
      <c r="F914" s="1014">
        <v>1.0048171489998374</v>
      </c>
      <c r="G914" s="1014">
        <v>1.002184375479058</v>
      </c>
      <c r="H914" s="1014">
        <v>0.98575146284196469</v>
      </c>
      <c r="I914" s="1014">
        <v>0.99754658116036787</v>
      </c>
      <c r="K914">
        <v>2.397338578091555</v>
      </c>
      <c r="L914">
        <v>0</v>
      </c>
      <c r="M914">
        <v>1.4967090732935311E-3</v>
      </c>
      <c r="N914">
        <v>0.14682709445358852</v>
      </c>
      <c r="O914">
        <v>2.045506138459913E-2</v>
      </c>
      <c r="P914">
        <v>2.8902279751993991E-2</v>
      </c>
      <c r="Q914">
        <v>5.487518635722546E-3</v>
      </c>
      <c r="R914">
        <v>1.4766672984133241E-3</v>
      </c>
      <c r="S914">
        <v>0.24818608915499202</v>
      </c>
      <c r="T914">
        <v>1.3787889379732652</v>
      </c>
      <c r="U914">
        <v>0.20790492369685767</v>
      </c>
      <c r="V914">
        <v>0.24459307765237301</v>
      </c>
      <c r="W914">
        <v>9.5050958886949338E-2</v>
      </c>
      <c r="X914">
        <v>1.7143676673054178E-2</v>
      </c>
      <c r="Y914">
        <v>4.0190016030369705E-3</v>
      </c>
    </row>
    <row r="915" spans="1:25">
      <c r="A915" s="1010"/>
      <c r="B915" s="1351">
        <v>665</v>
      </c>
      <c r="C915" s="1014">
        <v>0.96511684450552038</v>
      </c>
      <c r="D915" s="1014">
        <v>0.96593216868353016</v>
      </c>
      <c r="E915" s="1014">
        <v>1.0043206045708213</v>
      </c>
      <c r="F915" s="1014">
        <v>1.0087957148004798</v>
      </c>
      <c r="G915" s="1014">
        <v>1.0095848161688654</v>
      </c>
      <c r="H915" s="1014">
        <v>0.98563850973816658</v>
      </c>
      <c r="I915" s="1014">
        <v>0.96964048699130634</v>
      </c>
      <c r="K915">
        <v>2.4497030472152477</v>
      </c>
      <c r="L915">
        <v>0</v>
      </c>
      <c r="M915">
        <v>1.6744935280977109E-3</v>
      </c>
      <c r="N915">
        <v>0.15436523661283999</v>
      </c>
      <c r="O915">
        <v>2.1913538110669133E-2</v>
      </c>
      <c r="P915">
        <v>2.8968407467720794E-2</v>
      </c>
      <c r="Q915">
        <v>5.7592583349768715E-3</v>
      </c>
      <c r="R915">
        <v>1.6520685499595966E-3</v>
      </c>
      <c r="S915">
        <v>0.26320178030916158</v>
      </c>
      <c r="T915">
        <v>1.3837974515409568</v>
      </c>
      <c r="U915">
        <v>0.21965025267914723</v>
      </c>
      <c r="V915">
        <v>0.2494075980870335</v>
      </c>
      <c r="W915">
        <v>0.10114783592711486</v>
      </c>
      <c r="X915">
        <v>1.7017727135027218E-2</v>
      </c>
      <c r="Y915">
        <v>4.4963859887388932E-3</v>
      </c>
    </row>
    <row r="916" spans="1:25">
      <c r="A916" s="1010"/>
      <c r="B916" s="1351">
        <v>666</v>
      </c>
      <c r="C916" s="1014">
        <v>0.97566438832021929</v>
      </c>
      <c r="D916" s="1014">
        <v>0.98885846679883471</v>
      </c>
      <c r="E916" s="1014">
        <v>1.0395632176651957</v>
      </c>
      <c r="F916" s="1014">
        <v>1.0059895228776812</v>
      </c>
      <c r="G916" s="1014">
        <v>1.0314724526289183</v>
      </c>
      <c r="H916" s="1014">
        <v>1.0389523322126935</v>
      </c>
      <c r="I916" s="1014">
        <v>0.97536969081466907</v>
      </c>
      <c r="K916">
        <v>2.4658753240140325</v>
      </c>
      <c r="L916">
        <v>0</v>
      </c>
      <c r="M916">
        <v>1.6141529577218309E-3</v>
      </c>
      <c r="N916">
        <v>0.16560767892741041</v>
      </c>
      <c r="O916">
        <v>2.1589173350605461E-2</v>
      </c>
      <c r="P916">
        <v>2.9696646225948885E-2</v>
      </c>
      <c r="Q916">
        <v>5.876114087368484E-3</v>
      </c>
      <c r="R916">
        <v>1.593645336738129E-3</v>
      </c>
      <c r="S916">
        <v>0.26365020430308739</v>
      </c>
      <c r="T916">
        <v>1.3807181950950376</v>
      </c>
      <c r="U916">
        <v>0.21739957818785519</v>
      </c>
      <c r="V916">
        <v>0.25231823214520327</v>
      </c>
      <c r="W916">
        <v>0.10630317378840592</v>
      </c>
      <c r="X916">
        <v>1.8399458262537263E-2</v>
      </c>
      <c r="Y916">
        <v>4.3373772615571213E-3</v>
      </c>
    </row>
    <row r="917" spans="1:25">
      <c r="A917" s="1010"/>
      <c r="B917" s="1351">
        <v>667</v>
      </c>
      <c r="C917" s="1014">
        <v>1.0217597463346786</v>
      </c>
      <c r="D917" s="1014">
        <v>1.0106677538122035</v>
      </c>
      <c r="E917" s="1014">
        <v>0.97807193875516851</v>
      </c>
      <c r="F917" s="1014">
        <v>0.96839425710854965</v>
      </c>
      <c r="G917" s="1014">
        <v>1.0105623084464643</v>
      </c>
      <c r="H917" s="1014">
        <v>0.98492426806177469</v>
      </c>
      <c r="I917" s="1014">
        <v>0.98154860209687544</v>
      </c>
      <c r="K917">
        <v>2.3339064724236991</v>
      </c>
      <c r="L917">
        <v>0</v>
      </c>
      <c r="M917">
        <v>1.6522962099175136E-3</v>
      </c>
      <c r="N917">
        <v>0.14069755984554749</v>
      </c>
      <c r="O917">
        <v>2.0476602805351893E-2</v>
      </c>
      <c r="P917">
        <v>2.7207722190227334E-2</v>
      </c>
      <c r="Q917">
        <v>5.2407939304030069E-3</v>
      </c>
      <c r="R917">
        <v>1.6301524539519506E-3</v>
      </c>
      <c r="S917">
        <v>0.24572806064502634</v>
      </c>
      <c r="T917">
        <v>1.3278286977304536</v>
      </c>
      <c r="U917">
        <v>0.20738589637907839</v>
      </c>
      <c r="V917">
        <v>0.24608715010893603</v>
      </c>
      <c r="W917">
        <v>9.3651866363643921E-2</v>
      </c>
      <c r="X917">
        <v>1.518752858094841E-2</v>
      </c>
      <c r="Y917">
        <v>4.4367376000451868E-3</v>
      </c>
    </row>
    <row r="918" spans="1:25">
      <c r="A918" s="1010"/>
      <c r="B918" s="1351">
        <v>668</v>
      </c>
      <c r="C918" s="1014">
        <v>1.0399851535466587</v>
      </c>
      <c r="D918" s="1014">
        <v>1.0296934447365653</v>
      </c>
      <c r="E918" s="1014">
        <v>0.98695407201647201</v>
      </c>
      <c r="F918" s="1014">
        <v>0.99508575043291303</v>
      </c>
      <c r="G918" s="1014">
        <v>0.97067805480755398</v>
      </c>
      <c r="H918" s="1014">
        <v>0.95853496182266196</v>
      </c>
      <c r="I918" s="1014">
        <v>0.98786695429923188</v>
      </c>
      <c r="K918">
        <v>2.3421625616463944</v>
      </c>
      <c r="L918">
        <v>0</v>
      </c>
      <c r="M918">
        <v>1.5447321466090689E-3</v>
      </c>
      <c r="N918">
        <v>0.13506990921369841</v>
      </c>
      <c r="O918">
        <v>2.0040999468791901E-2</v>
      </c>
      <c r="P918">
        <v>2.7637430347283564E-2</v>
      </c>
      <c r="Q918">
        <v>5.1757560532465739E-3</v>
      </c>
      <c r="R918">
        <v>1.5234599937629717E-3</v>
      </c>
      <c r="S918">
        <v>0.23867196883765493</v>
      </c>
      <c r="T918">
        <v>1.3646176234684944</v>
      </c>
      <c r="U918">
        <v>0.20378063693396584</v>
      </c>
      <c r="V918">
        <v>0.23817059843409333</v>
      </c>
      <c r="W918">
        <v>8.9426015742717094E-2</v>
      </c>
      <c r="X918">
        <v>1.5446539404721495E-2</v>
      </c>
      <c r="Y918">
        <v>4.1463558945708367E-3</v>
      </c>
    </row>
    <row r="919" spans="1:25">
      <c r="A919" s="1010"/>
      <c r="B919" s="1351">
        <v>669</v>
      </c>
      <c r="C919" s="1014">
        <v>1.0102716305452557</v>
      </c>
      <c r="D919" s="1014">
        <v>0.97043445598200606</v>
      </c>
      <c r="E919" s="1014">
        <v>0.97733419899729823</v>
      </c>
      <c r="F919" s="1014">
        <v>1.0290302525569111</v>
      </c>
      <c r="G919" s="1014">
        <v>0.99047900066363592</v>
      </c>
      <c r="H919" s="1014">
        <v>1.0215663955810499</v>
      </c>
      <c r="I919" s="1014">
        <v>0.95919517326283132</v>
      </c>
      <c r="K919">
        <v>2.4379235478343704</v>
      </c>
      <c r="L919">
        <v>0</v>
      </c>
      <c r="M919">
        <v>1.751482690675003E-3</v>
      </c>
      <c r="N919">
        <v>0.148883471141602</v>
      </c>
      <c r="O919">
        <v>2.089487216010949E-2</v>
      </c>
      <c r="P919">
        <v>2.8371276271438983E-2</v>
      </c>
      <c r="Q919">
        <v>5.3438324017082385E-3</v>
      </c>
      <c r="R919">
        <v>1.7288516007810482E-3</v>
      </c>
      <c r="S919">
        <v>0.2508517179219179</v>
      </c>
      <c r="T919">
        <v>1.4109543330494609</v>
      </c>
      <c r="U919">
        <v>0.20974165933860342</v>
      </c>
      <c r="V919">
        <v>0.24335219801217559</v>
      </c>
      <c r="W919">
        <v>9.9144852801342456E-2</v>
      </c>
      <c r="X919">
        <v>1.5702601684352707E-2</v>
      </c>
      <c r="Y919">
        <v>4.7053641415489844E-3</v>
      </c>
    </row>
    <row r="920" spans="1:25">
      <c r="A920" s="1010"/>
      <c r="B920" s="1351">
        <v>670</v>
      </c>
      <c r="C920" s="1014">
        <v>1.0069932980511009</v>
      </c>
      <c r="D920" s="1014">
        <v>1.0216753469979685</v>
      </c>
      <c r="E920" s="1014">
        <v>1.0067578337219458</v>
      </c>
      <c r="F920" s="1014">
        <v>1.0398174738569821</v>
      </c>
      <c r="G920" s="1014">
        <v>0.99023892159877047</v>
      </c>
      <c r="H920" s="1014">
        <v>0.99458201556883541</v>
      </c>
      <c r="I920" s="1014">
        <v>1.0242700700888154</v>
      </c>
      <c r="K920">
        <v>2.4613909021482239</v>
      </c>
      <c r="L920">
        <v>0</v>
      </c>
      <c r="M920">
        <v>1.5914817475223058E-3</v>
      </c>
      <c r="N920">
        <v>0.14781458185504903</v>
      </c>
      <c r="O920">
        <v>2.0746208299707504E-2</v>
      </c>
      <c r="P920">
        <v>2.9351672550867496E-2</v>
      </c>
      <c r="Q920">
        <v>5.4657969388864957E-3</v>
      </c>
      <c r="R920">
        <v>1.5703601249106905E-3</v>
      </c>
      <c r="S920">
        <v>0.25984413708231396</v>
      </c>
      <c r="T920">
        <v>1.4264058665787223</v>
      </c>
      <c r="U920">
        <v>0.21052423821381483</v>
      </c>
      <c r="V920">
        <v>0.24340703706367658</v>
      </c>
      <c r="W920">
        <v>9.6715930711878006E-2</v>
      </c>
      <c r="X920">
        <v>1.6862551884987767E-2</v>
      </c>
      <c r="Y920">
        <v>4.2740025909308492E-3</v>
      </c>
    </row>
    <row r="921" spans="1:25">
      <c r="A921" s="1010"/>
      <c r="B921" s="1351">
        <v>671</v>
      </c>
      <c r="C921" s="1014">
        <v>0.97890195410755865</v>
      </c>
      <c r="D921" s="1014">
        <v>0.99334147851496046</v>
      </c>
      <c r="E921" s="1014">
        <v>1.0275783024961407</v>
      </c>
      <c r="F921" s="1014">
        <v>1.0067604275080735</v>
      </c>
      <c r="G921" s="1014">
        <v>1.0088620646899686</v>
      </c>
      <c r="H921" s="1014">
        <v>0.9962236138625471</v>
      </c>
      <c r="I921" s="1014">
        <v>0.97918219607501311</v>
      </c>
      <c r="K921">
        <v>2.441771060839677</v>
      </c>
      <c r="L921">
        <v>0</v>
      </c>
      <c r="M921">
        <v>1.5801079080296416E-3</v>
      </c>
      <c r="N921">
        <v>0.15627736064360204</v>
      </c>
      <c r="O921">
        <v>2.148818989125445E-2</v>
      </c>
      <c r="P921">
        <v>2.9326420334978676E-2</v>
      </c>
      <c r="Q921">
        <v>5.7798685093215915E-3</v>
      </c>
      <c r="R921">
        <v>1.5591717911941335E-3</v>
      </c>
      <c r="S921">
        <v>0.25946686981415312</v>
      </c>
      <c r="T921">
        <v>1.3815135988570653</v>
      </c>
      <c r="U921">
        <v>0.21663850201532289</v>
      </c>
      <c r="V921">
        <v>0.24829129660954088</v>
      </c>
      <c r="W921">
        <v>0.10101241581210724</v>
      </c>
      <c r="X921">
        <v>1.7753922834379064E-2</v>
      </c>
      <c r="Y921">
        <v>4.2435516347875991E-3</v>
      </c>
    </row>
    <row r="922" spans="1:25">
      <c r="A922" s="1010"/>
      <c r="B922" s="1351">
        <v>672</v>
      </c>
      <c r="C922" s="1014">
        <v>0.97281744057244313</v>
      </c>
      <c r="D922" s="1014">
        <v>0.99355116264769794</v>
      </c>
      <c r="E922" s="1014">
        <v>0.95907931533655488</v>
      </c>
      <c r="F922" s="1014">
        <v>1.0089821777494241</v>
      </c>
      <c r="G922" s="1014">
        <v>1.0401499590642944</v>
      </c>
      <c r="H922" s="1014">
        <v>1.0178988389905386</v>
      </c>
      <c r="I922" s="1014">
        <v>0.98794589544303402</v>
      </c>
      <c r="K922">
        <v>2.4470489433565699</v>
      </c>
      <c r="L922">
        <v>0</v>
      </c>
      <c r="M922">
        <v>1.8722491323196774E-3</v>
      </c>
      <c r="N922">
        <v>0.15058285963858334</v>
      </c>
      <c r="O922">
        <v>2.1574839162286825E-2</v>
      </c>
      <c r="P922">
        <v>2.804169595491212E-2</v>
      </c>
      <c r="Q922">
        <v>5.41563634859938E-3</v>
      </c>
      <c r="R922">
        <v>1.8479704430199042E-3</v>
      </c>
      <c r="S922">
        <v>0.26470183022583049</v>
      </c>
      <c r="T922">
        <v>1.383069707070687</v>
      </c>
      <c r="U922">
        <v>0.21775305811854234</v>
      </c>
      <c r="V922">
        <v>0.25428756952230724</v>
      </c>
      <c r="W922">
        <v>0.10139846937884699</v>
      </c>
      <c r="X922">
        <v>1.5217990262664325E-2</v>
      </c>
      <c r="Y922">
        <v>5.02956636260736E-3</v>
      </c>
    </row>
    <row r="923" spans="1:25">
      <c r="A923" s="1010"/>
      <c r="B923" s="1351">
        <v>673</v>
      </c>
      <c r="C923" s="1014">
        <v>1.0114929701524507</v>
      </c>
      <c r="D923" s="1014">
        <v>1.0219104960678664</v>
      </c>
      <c r="E923" s="1014">
        <v>1.0186625396172673</v>
      </c>
      <c r="F923" s="1014">
        <v>1.0295153505143195</v>
      </c>
      <c r="G923" s="1014">
        <v>1.0318535106062723</v>
      </c>
      <c r="H923" s="1014">
        <v>0.98818335278347846</v>
      </c>
      <c r="I923" s="1014">
        <v>0.99779090588967745</v>
      </c>
      <c r="K923">
        <v>2.4446353789091</v>
      </c>
      <c r="L923">
        <v>0</v>
      </c>
      <c r="M923">
        <v>1.5356593014061958E-3</v>
      </c>
      <c r="N923">
        <v>0.14783532812861513</v>
      </c>
      <c r="O923">
        <v>2.0660661377112182E-2</v>
      </c>
      <c r="P923">
        <v>2.9384872083920856E-2</v>
      </c>
      <c r="Q923">
        <v>5.5083249265295642E-3</v>
      </c>
      <c r="R923">
        <v>1.5151465668723479E-3</v>
      </c>
      <c r="S923">
        <v>0.25153209677708133</v>
      </c>
      <c r="T923">
        <v>1.4125393155384778</v>
      </c>
      <c r="U923">
        <v>0.20962802107382539</v>
      </c>
      <c r="V923">
        <v>0.25019256952219554</v>
      </c>
      <c r="W923">
        <v>9.6054284269895568E-2</v>
      </c>
      <c r="X923">
        <v>1.7196688458886718E-2</v>
      </c>
      <c r="Y923">
        <v>4.1237294870949959E-3</v>
      </c>
    </row>
    <row r="924" spans="1:25">
      <c r="A924" s="1010"/>
      <c r="B924" s="1351">
        <v>674</v>
      </c>
      <c r="C924" s="1014">
        <v>0.98615554460755606</v>
      </c>
      <c r="D924" s="1014">
        <v>1.0234320954374745</v>
      </c>
      <c r="E924" s="1014">
        <v>1.0028414504149483</v>
      </c>
      <c r="F924" s="1014">
        <v>1.0224528693005785</v>
      </c>
      <c r="G924" s="1014">
        <v>1.0227673806584334</v>
      </c>
      <c r="H924" s="1014">
        <v>0.97596768090890029</v>
      </c>
      <c r="I924" s="1014">
        <v>0.96715412389092092</v>
      </c>
      <c r="K924">
        <v>2.4373632079152627</v>
      </c>
      <c r="L924">
        <v>0</v>
      </c>
      <c r="M924">
        <v>1.6071049609238152E-3</v>
      </c>
      <c r="N924">
        <v>0.14747267901798922</v>
      </c>
      <c r="O924">
        <v>2.1173952020017185E-2</v>
      </c>
      <c r="P924">
        <v>2.8942475475466224E-2</v>
      </c>
      <c r="Q924">
        <v>5.5566308151268964E-3</v>
      </c>
      <c r="R924">
        <v>1.5853691912271523E-3</v>
      </c>
      <c r="S924">
        <v>0.24874833259077456</v>
      </c>
      <c r="T924">
        <v>1.4024986752314019</v>
      </c>
      <c r="U924">
        <v>0.21495909139378552</v>
      </c>
      <c r="V924">
        <v>0.25028462679192648</v>
      </c>
      <c r="W924">
        <v>9.6716235776383525E-2</v>
      </c>
      <c r="X924">
        <v>1.6717392250381418E-2</v>
      </c>
      <c r="Y924">
        <v>4.3148523217068774E-3</v>
      </c>
    </row>
    <row r="925" spans="1:25">
      <c r="A925" s="1010"/>
      <c r="B925" s="1351">
        <v>675</v>
      </c>
      <c r="C925" s="1014">
        <v>0.97260662888198279</v>
      </c>
      <c r="D925" s="1014">
        <v>0.99437679934719536</v>
      </c>
      <c r="E925" s="1014">
        <v>1.0031176338532122</v>
      </c>
      <c r="F925" s="1014">
        <v>0.99618091761711947</v>
      </c>
      <c r="G925" s="1014">
        <v>1.0110660524221258</v>
      </c>
      <c r="H925" s="1014">
        <v>0.99513319473983208</v>
      </c>
      <c r="I925" s="1014">
        <v>0.99873755796727592</v>
      </c>
      <c r="K925">
        <v>2.4309487503969871</v>
      </c>
      <c r="L925">
        <v>0</v>
      </c>
      <c r="M925">
        <v>1.6710947233895125E-3</v>
      </c>
      <c r="N925">
        <v>0.15351306964393829</v>
      </c>
      <c r="O925">
        <v>2.1605567888388955E-2</v>
      </c>
      <c r="P925">
        <v>2.8716205270884487E-2</v>
      </c>
      <c r="Q925">
        <v>5.6714704278874265E-3</v>
      </c>
      <c r="R925">
        <v>1.6489287874885043E-3</v>
      </c>
      <c r="S925">
        <v>0.26592082018609553</v>
      </c>
      <c r="T925">
        <v>1.3664673913143413</v>
      </c>
      <c r="U925">
        <v>0.21795455433418795</v>
      </c>
      <c r="V925">
        <v>0.24916696419225218</v>
      </c>
      <c r="W925">
        <v>0.10066118766574424</v>
      </c>
      <c r="X925">
        <v>1.6805844818853184E-2</v>
      </c>
      <c r="Y925">
        <v>4.4878405903150008E-3</v>
      </c>
    </row>
    <row r="926" spans="1:25">
      <c r="A926" s="1010"/>
      <c r="B926" s="1351">
        <v>676</v>
      </c>
      <c r="C926" s="1014">
        <v>1.0136845767032936</v>
      </c>
      <c r="D926" s="1014">
        <v>0.9973466961336579</v>
      </c>
      <c r="E926" s="1014">
        <v>0.97930832327433326</v>
      </c>
      <c r="F926" s="1014">
        <v>0.96116373252486176</v>
      </c>
      <c r="G926" s="1014">
        <v>1.0330003915760475</v>
      </c>
      <c r="H926" s="1014">
        <v>1.0023763124373586</v>
      </c>
      <c r="I926" s="1014">
        <v>0.98688262829141116</v>
      </c>
      <c r="K926">
        <v>2.3440298711487544</v>
      </c>
      <c r="L926">
        <v>0</v>
      </c>
      <c r="M926">
        <v>1.6955844883185214E-3</v>
      </c>
      <c r="N926">
        <v>0.14495913661902712</v>
      </c>
      <c r="O926">
        <v>2.0700864726588178E-2</v>
      </c>
      <c r="P926">
        <v>2.7266941378572523E-2</v>
      </c>
      <c r="Q926">
        <v>5.3048587253709837E-3</v>
      </c>
      <c r="R926">
        <v>1.6732562294740239E-3</v>
      </c>
      <c r="S926">
        <v>0.2521497874173203</v>
      </c>
      <c r="T926">
        <v>1.3179400418531579</v>
      </c>
      <c r="U926">
        <v>0.20904211970996944</v>
      </c>
      <c r="V926">
        <v>0.25040283978137429</v>
      </c>
      <c r="W926">
        <v>9.6416397875013771E-2</v>
      </c>
      <c r="X926">
        <v>1.5315159453341401E-2</v>
      </c>
      <c r="Y926">
        <v>4.5540518678604891E-3</v>
      </c>
    </row>
    <row r="927" spans="1:25">
      <c r="A927" s="1010"/>
      <c r="B927" s="1351">
        <v>677</v>
      </c>
      <c r="C927" s="1014">
        <v>0.9770944157064938</v>
      </c>
      <c r="D927" s="1014">
        <v>1.0200051175399636</v>
      </c>
      <c r="E927" s="1014">
        <v>0.95778995177987813</v>
      </c>
      <c r="F927" s="1014">
        <v>0.99427436587139972</v>
      </c>
      <c r="G927" s="1014">
        <v>0.98269058469918558</v>
      </c>
      <c r="H927" s="1014">
        <v>1.0009441890835227</v>
      </c>
      <c r="I927" s="1014">
        <v>1.0110060584596379</v>
      </c>
      <c r="K927">
        <v>2.4077163126180601</v>
      </c>
      <c r="L927">
        <v>0</v>
      </c>
      <c r="M927">
        <v>1.8272874675302508E-3</v>
      </c>
      <c r="N927">
        <v>0.14636093256143698</v>
      </c>
      <c r="O927">
        <v>2.1355714570983588E-2</v>
      </c>
      <c r="P927">
        <v>2.7600722197162898E-2</v>
      </c>
      <c r="Q927">
        <v>5.3535270265724329E-3</v>
      </c>
      <c r="R927">
        <v>1.8031904534526594E-3</v>
      </c>
      <c r="S927">
        <v>0.26469157435828283</v>
      </c>
      <c r="T927">
        <v>1.362881382853691</v>
      </c>
      <c r="U927">
        <v>0.21679542137866434</v>
      </c>
      <c r="V927">
        <v>0.24418785953548963</v>
      </c>
      <c r="W927">
        <v>9.8633623424962832E-2</v>
      </c>
      <c r="X927">
        <v>1.4971961732163724E-2</v>
      </c>
      <c r="Y927">
        <v>4.9076899927249134E-3</v>
      </c>
    </row>
    <row r="928" spans="1:25">
      <c r="A928" s="1010"/>
      <c r="B928" s="1351">
        <v>678</v>
      </c>
      <c r="C928" s="1014">
        <v>0.99541748404846953</v>
      </c>
      <c r="D928" s="1014">
        <v>1.0035031998611859</v>
      </c>
      <c r="E928" s="1014">
        <v>0.96456561436327504</v>
      </c>
      <c r="F928" s="1014">
        <v>0.98811688029095479</v>
      </c>
      <c r="G928" s="1014">
        <v>0.95211116273836216</v>
      </c>
      <c r="H928" s="1014">
        <v>0.97297330251211367</v>
      </c>
      <c r="I928" s="1014">
        <v>1.0186510779904225</v>
      </c>
      <c r="K928">
        <v>2.3758454722765006</v>
      </c>
      <c r="L928">
        <v>0</v>
      </c>
      <c r="M928">
        <v>1.7255254467833652E-3</v>
      </c>
      <c r="N928">
        <v>0.14102254099939271</v>
      </c>
      <c r="O928">
        <v>2.1042451974743269E-2</v>
      </c>
      <c r="P928">
        <v>2.745548538419108E-2</v>
      </c>
      <c r="Q928">
        <v>5.311836413939848E-3</v>
      </c>
      <c r="R928">
        <v>1.7021162418876016E-3</v>
      </c>
      <c r="S928">
        <v>0.26155027979600004</v>
      </c>
      <c r="T928">
        <v>1.354584754304899</v>
      </c>
      <c r="U928">
        <v>0.21282789562110901</v>
      </c>
      <c r="V928">
        <v>0.23776123590444101</v>
      </c>
      <c r="W928">
        <v>9.4642186488848604E-2</v>
      </c>
      <c r="X928">
        <v>1.503761528588426E-2</v>
      </c>
      <c r="Y928">
        <v>4.632599307949712E-3</v>
      </c>
    </row>
    <row r="929" spans="1:25">
      <c r="A929" s="1010"/>
      <c r="B929" s="1351">
        <v>679</v>
      </c>
      <c r="C929" s="1014">
        <v>0.98563057182877389</v>
      </c>
      <c r="D929" s="1014">
        <v>0.99791640656291336</v>
      </c>
      <c r="E929" s="1014">
        <v>0.97412412849451502</v>
      </c>
      <c r="F929" s="1014">
        <v>0.95728878006509066</v>
      </c>
      <c r="G929" s="1014">
        <v>1.0000757513178875</v>
      </c>
      <c r="H929" s="1014">
        <v>1.0082821042964762</v>
      </c>
      <c r="I929" s="1014">
        <v>1.0052041396205291</v>
      </c>
      <c r="K929">
        <v>2.3614048710416196</v>
      </c>
      <c r="L929">
        <v>0</v>
      </c>
      <c r="M929">
        <v>1.7727925305336398E-3</v>
      </c>
      <c r="N929">
        <v>0.1492121523674392</v>
      </c>
      <c r="O929">
        <v>2.1283919611852557E-2</v>
      </c>
      <c r="P929">
        <v>2.7280610196039903E-2</v>
      </c>
      <c r="Q929">
        <v>5.4255575001144673E-3</v>
      </c>
      <c r="R929">
        <v>1.7495842977166872E-3</v>
      </c>
      <c r="S929">
        <v>0.26453460288735769</v>
      </c>
      <c r="T929">
        <v>1.3125199190890149</v>
      </c>
      <c r="U929">
        <v>0.21497417439258659</v>
      </c>
      <c r="V929">
        <v>0.24654728335690998</v>
      </c>
      <c r="W929">
        <v>9.9557168768358587E-2</v>
      </c>
      <c r="X929">
        <v>1.5330899396686753E-2</v>
      </c>
      <c r="Y929">
        <v>4.7617917080760861E-3</v>
      </c>
    </row>
    <row r="930" spans="1:25">
      <c r="A930" s="1010"/>
      <c r="B930" s="1351">
        <v>680</v>
      </c>
      <c r="C930" s="1014">
        <v>1.00117608742161</v>
      </c>
      <c r="D930" s="1014">
        <v>0.9912956945279936</v>
      </c>
      <c r="E930" s="1014">
        <v>0.97409627632998141</v>
      </c>
      <c r="F930" s="1014">
        <v>0.99981116067523201</v>
      </c>
      <c r="G930" s="1014">
        <v>0.99675977307277164</v>
      </c>
      <c r="H930" s="1014">
        <v>1.0011730776682302</v>
      </c>
      <c r="I930" s="1014">
        <v>0.99757250076837567</v>
      </c>
      <c r="K930">
        <v>2.4040269907367779</v>
      </c>
      <c r="L930">
        <v>0</v>
      </c>
      <c r="M930">
        <v>1.7356002744931694E-3</v>
      </c>
      <c r="N930">
        <v>0.14605568610467631</v>
      </c>
      <c r="O930">
        <v>2.0984128339917425E-2</v>
      </c>
      <c r="P930">
        <v>2.7916849192625021E-2</v>
      </c>
      <c r="Q930">
        <v>5.3489847475924161E-3</v>
      </c>
      <c r="R930">
        <v>1.7127176008859438E-3</v>
      </c>
      <c r="S930">
        <v>0.25870938468128118</v>
      </c>
      <c r="T930">
        <v>1.370820924242907</v>
      </c>
      <c r="U930">
        <v>0.21163612104892893</v>
      </c>
      <c r="V930">
        <v>0.24499817843916211</v>
      </c>
      <c r="W930">
        <v>9.745276140758094E-2</v>
      </c>
      <c r="X930">
        <v>1.546540249330681E-2</v>
      </c>
      <c r="Y930">
        <v>4.6614527124061462E-3</v>
      </c>
    </row>
    <row r="931" spans="1:25">
      <c r="A931" s="1010"/>
      <c r="B931" s="1351">
        <v>681</v>
      </c>
      <c r="C931" s="1014">
        <v>1.0210890943962061</v>
      </c>
      <c r="D931" s="1014">
        <v>0.99491098816271895</v>
      </c>
      <c r="E931" s="1014">
        <v>1.0113552423202317</v>
      </c>
      <c r="F931" s="1014">
        <v>1.0437948723939816</v>
      </c>
      <c r="G931" s="1014">
        <v>1.0165980920385775</v>
      </c>
      <c r="H931" s="1014">
        <v>0.98519308068877531</v>
      </c>
      <c r="I931" s="1014">
        <v>1.0119018686570538</v>
      </c>
      <c r="K931">
        <v>2.4600893737537897</v>
      </c>
      <c r="L931">
        <v>0</v>
      </c>
      <c r="M931">
        <v>1.5489388010907447E-3</v>
      </c>
      <c r="N931">
        <v>0.14585537601091542</v>
      </c>
      <c r="O931">
        <v>2.0582645883375324E-2</v>
      </c>
      <c r="P931">
        <v>2.9482467317853533E-2</v>
      </c>
      <c r="Q931">
        <v>5.447696568548363E-3</v>
      </c>
      <c r="R931">
        <v>1.5281858852714903E-3</v>
      </c>
      <c r="S931">
        <v>0.25579180342761393</v>
      </c>
      <c r="T931">
        <v>1.4319659777134142</v>
      </c>
      <c r="U931">
        <v>0.20763343294663519</v>
      </c>
      <c r="V931">
        <v>0.24703535653256242</v>
      </c>
      <c r="W931">
        <v>9.5175449485508656E-2</v>
      </c>
      <c r="X931">
        <v>1.6980702569813499E-2</v>
      </c>
      <c r="Y931">
        <v>4.1592182133673074E-3</v>
      </c>
    </row>
    <row r="932" spans="1:25">
      <c r="A932" s="1010"/>
      <c r="B932" s="1351">
        <v>682</v>
      </c>
      <c r="C932" s="1014">
        <v>1.0283699356761582</v>
      </c>
      <c r="D932" s="1014">
        <v>1.0248287684849302</v>
      </c>
      <c r="E932" s="1014">
        <v>0.98475510017327517</v>
      </c>
      <c r="F932" s="1014">
        <v>1.0045904486821169</v>
      </c>
      <c r="G932" s="1014">
        <v>1.0151234560997502</v>
      </c>
      <c r="H932" s="1014">
        <v>0.98105918865056951</v>
      </c>
      <c r="I932" s="1014">
        <v>1.0022597658795054</v>
      </c>
      <c r="K932">
        <v>2.3831933658916844</v>
      </c>
      <c r="L932">
        <v>0</v>
      </c>
      <c r="M932">
        <v>1.607856338128856E-3</v>
      </c>
      <c r="N932">
        <v>0.1397023151087298</v>
      </c>
      <c r="O932">
        <v>2.0287076062303989E-2</v>
      </c>
      <c r="P932">
        <v>2.8025878152856541E-2</v>
      </c>
      <c r="Q932">
        <v>5.227648430781562E-3</v>
      </c>
      <c r="R932">
        <v>1.5862232633948217E-3</v>
      </c>
      <c r="S932">
        <v>0.24730566364627588</v>
      </c>
      <c r="T932">
        <v>1.3776043162813021</v>
      </c>
      <c r="U932">
        <v>0.20607500278011337</v>
      </c>
      <c r="V932">
        <v>0.24644908256816078</v>
      </c>
      <c r="W932">
        <v>9.2615326254708863E-2</v>
      </c>
      <c r="X932">
        <v>1.5605512856582817E-2</v>
      </c>
      <c r="Y932">
        <v>4.3171768246024573E-3</v>
      </c>
    </row>
    <row r="933" spans="1:25">
      <c r="A933" s="1010"/>
      <c r="B933" s="1351">
        <v>683</v>
      </c>
      <c r="C933" s="1014">
        <v>1.0253775990946912</v>
      </c>
      <c r="D933" s="1014">
        <v>0.98807664410911566</v>
      </c>
      <c r="E933" s="1014">
        <v>0.99932613672118775</v>
      </c>
      <c r="F933" s="1014">
        <v>1.0229346454612132</v>
      </c>
      <c r="G933" s="1014">
        <v>1.0181472287608599</v>
      </c>
      <c r="H933" s="1014">
        <v>1.0256848762769704</v>
      </c>
      <c r="I933" s="1014">
        <v>1.0105099112507472</v>
      </c>
      <c r="K933">
        <v>2.439303396938147</v>
      </c>
      <c r="L933">
        <v>0</v>
      </c>
      <c r="M933">
        <v>1.6489623413676133E-3</v>
      </c>
      <c r="N933">
        <v>0.14981473155112673</v>
      </c>
      <c r="O933">
        <v>2.0519854609706095E-2</v>
      </c>
      <c r="P933">
        <v>2.885273145506902E-2</v>
      </c>
      <c r="Q933">
        <v>5.3659945733115621E-3</v>
      </c>
      <c r="R933">
        <v>1.6277414802078006E-3</v>
      </c>
      <c r="S933">
        <v>0.25856182734776478</v>
      </c>
      <c r="T933">
        <v>1.4030817367700903</v>
      </c>
      <c r="U933">
        <v>0.20672490000653951</v>
      </c>
      <c r="V933">
        <v>0.24708841432475809</v>
      </c>
      <c r="W933">
        <v>9.8457529919830714E-2</v>
      </c>
      <c r="X933">
        <v>1.6426721516818944E-2</v>
      </c>
      <c r="Y933">
        <v>4.4301757242908926E-3</v>
      </c>
    </row>
    <row r="934" spans="1:25">
      <c r="A934" s="1010"/>
      <c r="B934" s="1351">
        <v>684</v>
      </c>
      <c r="C934" s="1014">
        <v>0.97856373074851632</v>
      </c>
      <c r="D934" s="1014">
        <v>1.0153659378299116</v>
      </c>
      <c r="E934" s="1014">
        <v>1.0144147412101645</v>
      </c>
      <c r="F934" s="1014">
        <v>0.96464980019155011</v>
      </c>
      <c r="G934" s="1014">
        <v>0.9860290793374682</v>
      </c>
      <c r="H934" s="1014">
        <v>0.98920171150128477</v>
      </c>
      <c r="I934" s="1014">
        <v>0.97026619577015216</v>
      </c>
      <c r="K934">
        <v>2.3665608099809918</v>
      </c>
      <c r="L934">
        <v>0</v>
      </c>
      <c r="M934">
        <v>1.6053369511333372E-3</v>
      </c>
      <c r="N934">
        <v>0.1525769215254118</v>
      </c>
      <c r="O934">
        <v>2.138323322853871E-2</v>
      </c>
      <c r="P934">
        <v>2.8112463573483387E-2</v>
      </c>
      <c r="Q934">
        <v>5.676899575521214E-3</v>
      </c>
      <c r="R934">
        <v>1.583915565401313E-3</v>
      </c>
      <c r="S934">
        <v>0.25368834413305402</v>
      </c>
      <c r="T934">
        <v>1.3234520777943282</v>
      </c>
      <c r="U934">
        <v>0.21666725037986556</v>
      </c>
      <c r="V934">
        <v>0.24446208920660412</v>
      </c>
      <c r="W934">
        <v>9.9382428546155366E-2</v>
      </c>
      <c r="X934">
        <v>1.6869627372363229E-2</v>
      </c>
      <c r="Y934">
        <v>4.3108960313965657E-3</v>
      </c>
    </row>
    <row r="935" spans="1:25">
      <c r="A935" s="1010"/>
      <c r="B935" s="1351">
        <v>685</v>
      </c>
      <c r="C935" s="1014">
        <v>0.99790677714539799</v>
      </c>
      <c r="D935" s="1014">
        <v>0.99038676282105731</v>
      </c>
      <c r="E935" s="1014">
        <v>1.0146067316272664</v>
      </c>
      <c r="F935" s="1014">
        <v>0.99980411242329159</v>
      </c>
      <c r="G935" s="1014">
        <v>1.0030667111091458</v>
      </c>
      <c r="H935" s="1014">
        <v>1.0246593393946108</v>
      </c>
      <c r="I935" s="1014">
        <v>1.0108839711336963</v>
      </c>
      <c r="K935">
        <v>2.4303673950495646</v>
      </c>
      <c r="L935">
        <v>0</v>
      </c>
      <c r="M935">
        <v>1.6389532076606132E-3</v>
      </c>
      <c r="N935">
        <v>0.15593515794191068</v>
      </c>
      <c r="O935">
        <v>2.1084099904784808E-2</v>
      </c>
      <c r="P935">
        <v>2.8909969718697748E-2</v>
      </c>
      <c r="Q935">
        <v>5.5985562662467497E-3</v>
      </c>
      <c r="R935">
        <v>1.6178400461415823E-3</v>
      </c>
      <c r="S935">
        <v>0.26550775511008906</v>
      </c>
      <c r="T935">
        <v>1.3716862285861497</v>
      </c>
      <c r="U935">
        <v>0.21246811370696395</v>
      </c>
      <c r="V935">
        <v>0.24613357628256977</v>
      </c>
      <c r="W935">
        <v>0.10155839024610419</v>
      </c>
      <c r="X935">
        <v>1.7103433162798106E-2</v>
      </c>
      <c r="Y935">
        <v>4.4032272847695101E-3</v>
      </c>
    </row>
    <row r="936" spans="1:25">
      <c r="A936" s="1010"/>
      <c r="B936" s="1351">
        <v>686</v>
      </c>
      <c r="C936" s="1014">
        <v>0.9808828543862006</v>
      </c>
      <c r="D936" s="1014">
        <v>1.0085475598432339</v>
      </c>
      <c r="E936" s="1014">
        <v>1.0036101786744844</v>
      </c>
      <c r="F936" s="1014">
        <v>1.0051648007654839</v>
      </c>
      <c r="G936" s="1014">
        <v>0.96609240887476178</v>
      </c>
      <c r="H936" s="1014">
        <v>0.99394970415799144</v>
      </c>
      <c r="I936" s="1014">
        <v>1.0320820257532897</v>
      </c>
      <c r="K936">
        <v>2.4343152142764586</v>
      </c>
      <c r="L936">
        <v>0</v>
      </c>
      <c r="M936">
        <v>1.6481943170470446E-3</v>
      </c>
      <c r="N936">
        <v>0.15163234661086664</v>
      </c>
      <c r="O936">
        <v>2.1357014756355101E-2</v>
      </c>
      <c r="P936">
        <v>2.8819905812358115E-2</v>
      </c>
      <c r="Q936">
        <v>5.6089962715841343E-3</v>
      </c>
      <c r="R936">
        <v>1.6263061082964477E-3</v>
      </c>
      <c r="S936">
        <v>0.27045369742029618</v>
      </c>
      <c r="T936">
        <v>1.3788013533239862</v>
      </c>
      <c r="U936">
        <v>0.21611727425913549</v>
      </c>
      <c r="V936">
        <v>0.24094446303964195</v>
      </c>
      <c r="W936">
        <v>9.9398939589165056E-2</v>
      </c>
      <c r="X936">
        <v>1.6776842286703848E-2</v>
      </c>
      <c r="Y936">
        <v>4.4262691151184148E-3</v>
      </c>
    </row>
    <row r="937" spans="1:25">
      <c r="A937" s="1010"/>
      <c r="B937" s="1351">
        <v>687</v>
      </c>
      <c r="C937" s="1014">
        <v>1.036014544381066</v>
      </c>
      <c r="D937" s="1014">
        <v>1.0088351389194963</v>
      </c>
      <c r="E937" s="1014">
        <v>1.0356661483966185</v>
      </c>
      <c r="F937" s="1014">
        <v>1.015430942352362</v>
      </c>
      <c r="G937" s="1014">
        <v>0.97040991730443127</v>
      </c>
      <c r="H937" s="1014">
        <v>0.99746160384352078</v>
      </c>
      <c r="I937" s="1014">
        <v>1.0031451586316948</v>
      </c>
      <c r="K937">
        <v>2.4062397728894012</v>
      </c>
      <c r="L937">
        <v>0</v>
      </c>
      <c r="M937">
        <v>1.4648718580431959E-3</v>
      </c>
      <c r="N937">
        <v>0.14845801322393487</v>
      </c>
      <c r="O937">
        <v>2.0239786115911849E-2</v>
      </c>
      <c r="P937">
        <v>2.921836825143764E-2</v>
      </c>
      <c r="Q937">
        <v>5.4877428732494028E-3</v>
      </c>
      <c r="R937">
        <v>1.4454866856679963E-3</v>
      </c>
      <c r="S937">
        <v>0.2493887041515121</v>
      </c>
      <c r="T937">
        <v>1.3935903127430742</v>
      </c>
      <c r="U937">
        <v>0.20472263805633908</v>
      </c>
      <c r="V937">
        <v>0.23818731885094427</v>
      </c>
      <c r="W937">
        <v>9.5509373961342139E-2</v>
      </c>
      <c r="X937">
        <v>1.7522761580200972E-2</v>
      </c>
      <c r="Y937">
        <v>3.9341382538304187E-3</v>
      </c>
    </row>
    <row r="938" spans="1:25">
      <c r="A938" s="1010"/>
      <c r="B938" s="1351">
        <v>688</v>
      </c>
      <c r="C938" s="1014">
        <v>0.98172498288856902</v>
      </c>
      <c r="D938" s="1014">
        <v>1.0147095943402877</v>
      </c>
      <c r="E938" s="1014">
        <v>0.99175122057856591</v>
      </c>
      <c r="F938" s="1014">
        <v>1.0261191336409556</v>
      </c>
      <c r="G938" s="1014">
        <v>0.98226942166438147</v>
      </c>
      <c r="H938" s="1014">
        <v>0.97152709651645519</v>
      </c>
      <c r="I938" s="1014">
        <v>0.98833289372491395</v>
      </c>
      <c r="K938">
        <v>2.4419195484640359</v>
      </c>
      <c r="L938">
        <v>0</v>
      </c>
      <c r="M938">
        <v>1.6474932076355562E-3</v>
      </c>
      <c r="N938">
        <v>0.14618721563063133</v>
      </c>
      <c r="O938">
        <v>2.1302130027115566E-2</v>
      </c>
      <c r="P938">
        <v>2.8789762680846064E-2</v>
      </c>
      <c r="Q938">
        <v>5.5282034140917355E-3</v>
      </c>
      <c r="R938">
        <v>1.625109350087678E-3</v>
      </c>
      <c r="S938">
        <v>0.25597022217346171</v>
      </c>
      <c r="T938">
        <v>1.4072816977547742</v>
      </c>
      <c r="U938">
        <v>0.21589061165521392</v>
      </c>
      <c r="V938">
        <v>0.24369354689357442</v>
      </c>
      <c r="W938">
        <v>9.6508587521315206E-2</v>
      </c>
      <c r="X938">
        <v>1.6366942636775496E-2</v>
      </c>
      <c r="Y938">
        <v>4.4230119337853799E-3</v>
      </c>
    </row>
    <row r="939" spans="1:25">
      <c r="A939" s="1010"/>
      <c r="B939" s="1351">
        <v>689</v>
      </c>
      <c r="C939" s="1014">
        <v>1.0313403884628842</v>
      </c>
      <c r="D939" s="1014">
        <v>0.96207970312084934</v>
      </c>
      <c r="E939" s="1014">
        <v>0.99456104050878902</v>
      </c>
      <c r="F939" s="1014">
        <v>1.0061434224002108</v>
      </c>
      <c r="G939" s="1014">
        <v>1.033374901207095</v>
      </c>
      <c r="H939" s="1014">
        <v>1.0203775777645561</v>
      </c>
      <c r="I939" s="1014">
        <v>1.0123736155464849</v>
      </c>
      <c r="K939">
        <v>2.4164007165479524</v>
      </c>
      <c r="L939">
        <v>0</v>
      </c>
      <c r="M939">
        <v>1.6568288290444834E-3</v>
      </c>
      <c r="N939">
        <v>0.14836733716234812</v>
      </c>
      <c r="O939">
        <v>2.0518148311861648E-2</v>
      </c>
      <c r="P939">
        <v>2.8476732992105461E-2</v>
      </c>
      <c r="Q939">
        <v>5.3398667173253887E-3</v>
      </c>
      <c r="R939">
        <v>1.6353958295127176E-3</v>
      </c>
      <c r="S939">
        <v>0.26052293440086149</v>
      </c>
      <c r="T939">
        <v>1.3799468619257378</v>
      </c>
      <c r="U939">
        <v>0.20551391532379359</v>
      </c>
      <c r="V939">
        <v>0.2493551438196851</v>
      </c>
      <c r="W939">
        <v>9.7783518879106593E-2</v>
      </c>
      <c r="X939">
        <v>1.614668167481733E-2</v>
      </c>
      <c r="Y939">
        <v>4.4510083398433074E-3</v>
      </c>
    </row>
    <row r="940" spans="1:25">
      <c r="A940" s="1010"/>
      <c r="B940" s="1351">
        <v>690</v>
      </c>
      <c r="C940" s="1014">
        <v>0.98518561214597589</v>
      </c>
      <c r="D940" s="1014">
        <v>1.0117838251688736</v>
      </c>
      <c r="E940" s="1014">
        <v>1.0267591564784462</v>
      </c>
      <c r="F940" s="1014">
        <v>1.0142188802685839</v>
      </c>
      <c r="G940" s="1014">
        <v>0.97570215154363893</v>
      </c>
      <c r="H940" s="1014">
        <v>0.98877468383890366</v>
      </c>
      <c r="I940" s="1014">
        <v>1.0149988529187453</v>
      </c>
      <c r="K940">
        <v>2.4440982989572548</v>
      </c>
      <c r="L940">
        <v>0</v>
      </c>
      <c r="M940">
        <v>1.5546469025191369E-3</v>
      </c>
      <c r="N940">
        <v>0.15336437674721654</v>
      </c>
      <c r="O940">
        <v>2.126434770612717E-2</v>
      </c>
      <c r="P940">
        <v>2.9412472162792178E-2</v>
      </c>
      <c r="Q940">
        <v>5.7150221029480721E-3</v>
      </c>
      <c r="R940">
        <v>1.5338929582632782E-3</v>
      </c>
      <c r="S940">
        <v>0.26413278452217387</v>
      </c>
      <c r="T940">
        <v>1.3917302975309422</v>
      </c>
      <c r="U940">
        <v>0.2152538961191619</v>
      </c>
      <c r="V940">
        <v>0.24222890808258679</v>
      </c>
      <c r="W940">
        <v>9.9176812920009377E-2</v>
      </c>
      <c r="X940">
        <v>1.7665384022839872E-2</v>
      </c>
      <c r="Y940">
        <v>4.1747509847148475E-3</v>
      </c>
    </row>
    <row r="941" spans="1:25">
      <c r="A941" s="1010"/>
      <c r="B941" s="1351">
        <v>691</v>
      </c>
      <c r="C941" s="1014">
        <v>0.99142197454018233</v>
      </c>
      <c r="D941" s="1014">
        <v>1.0188783364510745</v>
      </c>
      <c r="E941" s="1014">
        <v>0.98258026220738137</v>
      </c>
      <c r="F941" s="1014">
        <v>0.98545177919314797</v>
      </c>
      <c r="G941" s="1014">
        <v>1.012823151272469</v>
      </c>
      <c r="H941" s="1014">
        <v>1.0220560632816875</v>
      </c>
      <c r="I941" s="1014">
        <v>0.96416828806334531</v>
      </c>
      <c r="K941">
        <v>2.3900240123386762</v>
      </c>
      <c r="L941">
        <v>0</v>
      </c>
      <c r="M941">
        <v>1.7475441787934978E-3</v>
      </c>
      <c r="N941">
        <v>0.15092633162946789</v>
      </c>
      <c r="O941">
        <v>2.106865714286394E-2</v>
      </c>
      <c r="P941">
        <v>2.7802073976034406E-2</v>
      </c>
      <c r="Q941">
        <v>5.4170858572111825E-3</v>
      </c>
      <c r="R941">
        <v>1.7249747970088918E-3</v>
      </c>
      <c r="S941">
        <v>0.25085088615694273</v>
      </c>
      <c r="T941">
        <v>1.3513130808379303</v>
      </c>
      <c r="U941">
        <v>0.21374745377204213</v>
      </c>
      <c r="V941">
        <v>0.24832469571929155</v>
      </c>
      <c r="W941">
        <v>0.10018736223339993</v>
      </c>
      <c r="X941">
        <v>1.5714141635606544E-2</v>
      </c>
      <c r="Y941">
        <v>4.6948127596691943E-3</v>
      </c>
    </row>
    <row r="942" spans="1:25">
      <c r="A942" s="1010"/>
      <c r="B942" s="1351">
        <v>692</v>
      </c>
      <c r="C942" s="1014">
        <v>0.98442923381318714</v>
      </c>
      <c r="D942" s="1014">
        <v>0.96092187008971353</v>
      </c>
      <c r="E942" s="1014">
        <v>0.9671878342818987</v>
      </c>
      <c r="F942" s="1014">
        <v>0.95315095952555895</v>
      </c>
      <c r="G942" s="1014">
        <v>1.0135143392250985</v>
      </c>
      <c r="H942" s="1014">
        <v>1.019924581420542</v>
      </c>
      <c r="I942" s="1014">
        <v>0.98192225874949657</v>
      </c>
      <c r="K942">
        <v>2.3623493990310145</v>
      </c>
      <c r="L942">
        <v>0</v>
      </c>
      <c r="M942">
        <v>1.8365491204569073E-3</v>
      </c>
      <c r="N942">
        <v>0.15138883119984275</v>
      </c>
      <c r="O942">
        <v>2.1483038697557688E-2</v>
      </c>
      <c r="P942">
        <v>2.7095004173225828E-2</v>
      </c>
      <c r="Q942">
        <v>5.4376430713525218E-3</v>
      </c>
      <c r="R942">
        <v>1.8127806788443301E-3</v>
      </c>
      <c r="S942">
        <v>0.26462124691505168</v>
      </c>
      <c r="T942">
        <v>1.3067045172291136</v>
      </c>
      <c r="U942">
        <v>0.2152125459507877</v>
      </c>
      <c r="V942">
        <v>0.2489470677793596</v>
      </c>
      <c r="W942">
        <v>0.10143659671558716</v>
      </c>
      <c r="X942">
        <v>1.5112884315922857E-2</v>
      </c>
      <c r="Y942">
        <v>4.9337914248240898E-3</v>
      </c>
    </row>
    <row r="943" spans="1:25">
      <c r="A943" s="1010"/>
      <c r="B943" s="1351">
        <v>693</v>
      </c>
      <c r="C943" s="1014">
        <v>1.0202544603605657</v>
      </c>
      <c r="D943" s="1014">
        <v>0.99324413727291627</v>
      </c>
      <c r="E943" s="1014">
        <v>1.0119726824839319</v>
      </c>
      <c r="F943" s="1014">
        <v>1.0008443266309013</v>
      </c>
      <c r="G943" s="1014">
        <v>0.96520275061229832</v>
      </c>
      <c r="H943" s="1014">
        <v>0.98808208972402245</v>
      </c>
      <c r="I943" s="1014">
        <v>1.0259274917588077</v>
      </c>
      <c r="K943">
        <v>2.3968868941296324</v>
      </c>
      <c r="L943">
        <v>0</v>
      </c>
      <c r="M943">
        <v>1.5533311454672925E-3</v>
      </c>
      <c r="N943">
        <v>0.14654767217984363</v>
      </c>
      <c r="O943">
        <v>2.0607487174690478E-2</v>
      </c>
      <c r="P943">
        <v>2.8625361765290173E-2</v>
      </c>
      <c r="Q943">
        <v>5.4576358361955934E-3</v>
      </c>
      <c r="R943">
        <v>1.5325802309445111E-3</v>
      </c>
      <c r="S943">
        <v>0.26002104373263396</v>
      </c>
      <c r="T943">
        <v>1.3730561873237233</v>
      </c>
      <c r="U943">
        <v>0.20780536288344262</v>
      </c>
      <c r="V943">
        <v>0.23830920155402011</v>
      </c>
      <c r="W943">
        <v>9.5592430647670007E-2</v>
      </c>
      <c r="X943">
        <v>1.6714083772947377E-2</v>
      </c>
      <c r="Y943">
        <v>4.1711781736936083E-3</v>
      </c>
    </row>
    <row r="944" spans="1:25">
      <c r="A944" s="1010"/>
      <c r="B944" s="1351">
        <v>694</v>
      </c>
      <c r="C944" s="1014">
        <v>0.97803653046890493</v>
      </c>
      <c r="D944" s="1014">
        <v>1.0051386467534211</v>
      </c>
      <c r="E944" s="1014">
        <v>0.99098677147737457</v>
      </c>
      <c r="F944" s="1014">
        <v>0.98738271268856392</v>
      </c>
      <c r="G944" s="1014">
        <v>1.0269173316649409</v>
      </c>
      <c r="H944" s="1014">
        <v>0.99013899898947311</v>
      </c>
      <c r="I944" s="1014">
        <v>1.0309677794892347</v>
      </c>
      <c r="K944">
        <v>2.4182160100771863</v>
      </c>
      <c r="L944">
        <v>0</v>
      </c>
      <c r="M944">
        <v>1.6915812280863375E-3</v>
      </c>
      <c r="N944">
        <v>0.14979157215905853</v>
      </c>
      <c r="O944">
        <v>2.1426576454404416E-2</v>
      </c>
      <c r="P944">
        <v>2.8373730252830555E-2</v>
      </c>
      <c r="Q944">
        <v>5.5562074581596062E-3</v>
      </c>
      <c r="R944">
        <v>1.6690303784683853E-3</v>
      </c>
      <c r="S944">
        <v>0.27095796194193139</v>
      </c>
      <c r="T944">
        <v>1.3541399361973379</v>
      </c>
      <c r="U944">
        <v>0.21670212812832484</v>
      </c>
      <c r="V944">
        <v>0.25156238740718856</v>
      </c>
      <c r="W944">
        <v>9.8933327130547338E-2</v>
      </c>
      <c r="X944">
        <v>1.6252183302545766E-2</v>
      </c>
      <c r="Y944">
        <v>4.5425504944745501E-3</v>
      </c>
    </row>
    <row r="945" spans="1:25">
      <c r="A945" s="1010"/>
      <c r="B945" s="1351">
        <v>695</v>
      </c>
      <c r="C945" s="1014">
        <v>0.96126844454061489</v>
      </c>
      <c r="D945" s="1014">
        <v>1.0008258078959735</v>
      </c>
      <c r="E945" s="1014">
        <v>0.98946975153999095</v>
      </c>
      <c r="F945" s="1014">
        <v>0.98148952973416848</v>
      </c>
      <c r="G945" s="1014">
        <v>0.98747285802866824</v>
      </c>
      <c r="H945" s="1014">
        <v>1.0014592120625079</v>
      </c>
      <c r="I945" s="1014">
        <v>1.0179708142994546</v>
      </c>
      <c r="K945">
        <v>2.4188818894360589</v>
      </c>
      <c r="L945">
        <v>0</v>
      </c>
      <c r="M945">
        <v>1.7478965618331849E-3</v>
      </c>
      <c r="N945">
        <v>0.15409362322390241</v>
      </c>
      <c r="O945">
        <v>2.1819922806805489E-2</v>
      </c>
      <c r="P945">
        <v>2.8245109688642026E-2</v>
      </c>
      <c r="Q945">
        <v>5.6495393291765388E-3</v>
      </c>
      <c r="R945">
        <v>1.724858354592096E-3</v>
      </c>
      <c r="S945">
        <v>0.27380266103450185</v>
      </c>
      <c r="T945">
        <v>1.3460256276776794</v>
      </c>
      <c r="U945">
        <v>0.22047683064312201</v>
      </c>
      <c r="V945">
        <v>0.2459426995410397</v>
      </c>
      <c r="W945">
        <v>0.10186723369267282</v>
      </c>
      <c r="X945">
        <v>1.6287184163957229E-2</v>
      </c>
      <c r="Y945">
        <v>4.6944958417959081E-3</v>
      </c>
    </row>
    <row r="946" spans="1:25">
      <c r="A946" s="1010"/>
      <c r="B946" s="1351">
        <v>696</v>
      </c>
      <c r="C946" s="1014">
        <v>1.0182506359835291</v>
      </c>
      <c r="D946" s="1014">
        <v>1.0276429360026396</v>
      </c>
      <c r="E946" s="1014">
        <v>1.0366675919329982</v>
      </c>
      <c r="F946" s="1014">
        <v>0.96391255407188681</v>
      </c>
      <c r="G946" s="1014">
        <v>0.98506020970551611</v>
      </c>
      <c r="H946" s="1014">
        <v>1.0133740982559161</v>
      </c>
      <c r="I946" s="1014">
        <v>0.99933714276175012</v>
      </c>
      <c r="K946">
        <v>2.3519933996904658</v>
      </c>
      <c r="L946">
        <v>0</v>
      </c>
      <c r="M946">
        <v>1.5049166739595165E-3</v>
      </c>
      <c r="N946">
        <v>0.15300950777013758</v>
      </c>
      <c r="O946">
        <v>2.0510018185196217E-2</v>
      </c>
      <c r="P946">
        <v>2.8382135000675837E-2</v>
      </c>
      <c r="Q946">
        <v>5.5665028233180787E-3</v>
      </c>
      <c r="R946">
        <v>1.4853142908464569E-3</v>
      </c>
      <c r="S946">
        <v>0.25178831117870298</v>
      </c>
      <c r="T946">
        <v>1.3229068464236526</v>
      </c>
      <c r="U946">
        <v>0.20829751023767762</v>
      </c>
      <c r="V946">
        <v>0.24173455277935155</v>
      </c>
      <c r="W946">
        <v>9.8380614029781502E-2</v>
      </c>
      <c r="X946">
        <v>1.7394467779121278E-2</v>
      </c>
      <c r="Y946">
        <v>4.0425358659596702E-3</v>
      </c>
    </row>
    <row r="947" spans="1:25">
      <c r="A947" s="1010"/>
      <c r="B947" s="1351">
        <v>697</v>
      </c>
      <c r="C947" s="1014">
        <v>1.0226263685649506</v>
      </c>
      <c r="D947" s="1014">
        <v>0.9647164473215436</v>
      </c>
      <c r="E947" s="1014">
        <v>1.0000237900258899</v>
      </c>
      <c r="F947" s="1014">
        <v>1.0046803842244727</v>
      </c>
      <c r="G947" s="1014">
        <v>0.95860463865774981</v>
      </c>
      <c r="H947" s="1014">
        <v>0.9718554435205794</v>
      </c>
      <c r="I947" s="1014">
        <v>0.9856002202094033</v>
      </c>
      <c r="K947">
        <v>2.3858182800659873</v>
      </c>
      <c r="L947">
        <v>0</v>
      </c>
      <c r="M947">
        <v>1.5726165748925001E-3</v>
      </c>
      <c r="N947">
        <v>0.14307650612801276</v>
      </c>
      <c r="O947">
        <v>2.068410380956448E-2</v>
      </c>
      <c r="P947">
        <v>2.8300694697155862E-2</v>
      </c>
      <c r="Q947">
        <v>5.4127412865718708E-3</v>
      </c>
      <c r="R947">
        <v>1.5512572562085983E-3</v>
      </c>
      <c r="S947">
        <v>0.25147644569216127</v>
      </c>
      <c r="T947">
        <v>1.3780589121513607</v>
      </c>
      <c r="U947">
        <v>0.20728339575283672</v>
      </c>
      <c r="V947">
        <v>0.23708139576446999</v>
      </c>
      <c r="W947">
        <v>9.3990209341586903E-2</v>
      </c>
      <c r="X947">
        <v>1.6253223881368319E-2</v>
      </c>
      <c r="Y947">
        <v>4.2220108795827287E-3</v>
      </c>
    </row>
    <row r="948" spans="1:25">
      <c r="A948" s="1010"/>
      <c r="B948" s="1351">
        <v>698</v>
      </c>
      <c r="C948" s="1014">
        <v>1.0082557584995679</v>
      </c>
      <c r="D948" s="1014">
        <v>0.96637256514695036</v>
      </c>
      <c r="E948" s="1014">
        <v>1.0208286396876376</v>
      </c>
      <c r="F948" s="1014">
        <v>0.97005204396885258</v>
      </c>
      <c r="G948" s="1014">
        <v>1.0135965401078377</v>
      </c>
      <c r="H948" s="1014">
        <v>0.98624363946020832</v>
      </c>
      <c r="I948" s="1014">
        <v>0.95678862241150053</v>
      </c>
      <c r="K948">
        <v>2.3608155249494249</v>
      </c>
      <c r="L948">
        <v>0</v>
      </c>
      <c r="M948">
        <v>1.5495852580536679E-3</v>
      </c>
      <c r="N948">
        <v>0.15014998210132263</v>
      </c>
      <c r="O948">
        <v>2.0984818550892795E-2</v>
      </c>
      <c r="P948">
        <v>2.8231547252578398E-2</v>
      </c>
      <c r="Q948">
        <v>5.606810740847578E-3</v>
      </c>
      <c r="R948">
        <v>1.5288457963920359E-3</v>
      </c>
      <c r="S948">
        <v>0.24872307488075329</v>
      </c>
      <c r="T948">
        <v>1.3309987254680917</v>
      </c>
      <c r="U948">
        <v>0.21030844053763403</v>
      </c>
      <c r="V948">
        <v>0.24726677901373242</v>
      </c>
      <c r="W948">
        <v>9.743462343963917E-2</v>
      </c>
      <c r="X948">
        <v>1.6970448151696887E-2</v>
      </c>
      <c r="Y948">
        <v>4.1610142738977909E-3</v>
      </c>
    </row>
    <row r="949" spans="1:25">
      <c r="A949" s="1010"/>
      <c r="B949" s="1351">
        <v>699</v>
      </c>
      <c r="C949" s="1014">
        <v>1.025650391391119</v>
      </c>
      <c r="D949" s="1014">
        <v>0.9781331146115182</v>
      </c>
      <c r="E949" s="1014">
        <v>1.0047983080791578</v>
      </c>
      <c r="F949" s="1014">
        <v>1.0016341137011575</v>
      </c>
      <c r="G949" s="1014">
        <v>1.0316130280929516</v>
      </c>
      <c r="H949" s="1014">
        <v>0.97115967907930789</v>
      </c>
      <c r="I949" s="1014">
        <v>1.0098336783987854</v>
      </c>
      <c r="K949">
        <v>2.3964892445497568</v>
      </c>
      <c r="L949">
        <v>0</v>
      </c>
      <c r="M949">
        <v>1.5467034621935228E-3</v>
      </c>
      <c r="N949">
        <v>0.14276172064036832</v>
      </c>
      <c r="O949">
        <v>2.0563655550245145E-2</v>
      </c>
      <c r="P949">
        <v>2.8554820028034555E-2</v>
      </c>
      <c r="Q949">
        <v>5.4070749546827439E-3</v>
      </c>
      <c r="R949">
        <v>1.5256810458395302E-3</v>
      </c>
      <c r="S949">
        <v>0.25508674839657852</v>
      </c>
      <c r="T949">
        <v>1.3739840117596054</v>
      </c>
      <c r="U949">
        <v>0.20668816060715353</v>
      </c>
      <c r="V949">
        <v>0.24935131239314634</v>
      </c>
      <c r="W949">
        <v>9.3518170850375115E-2</v>
      </c>
      <c r="X949">
        <v>1.6442190919768711E-2</v>
      </c>
      <c r="Y949">
        <v>4.1524008661536077E-3</v>
      </c>
    </row>
    <row r="950" spans="1:25">
      <c r="A950" s="1010"/>
      <c r="B950" s="1351">
        <v>700</v>
      </c>
      <c r="C950" s="1014">
        <v>0.96620503344318487</v>
      </c>
      <c r="D950" s="1014">
        <v>1.0147892459439967</v>
      </c>
      <c r="E950" s="1014">
        <v>1.007057608849629</v>
      </c>
      <c r="F950" s="1014">
        <v>1.0078654954509749</v>
      </c>
      <c r="G950" s="1014">
        <v>0.97230588667333961</v>
      </c>
      <c r="H950" s="1014">
        <v>0.99848571846369993</v>
      </c>
      <c r="I950" s="1014">
        <v>1.0171727939045194</v>
      </c>
      <c r="K950">
        <v>2.4493365637389637</v>
      </c>
      <c r="L950">
        <v>0</v>
      </c>
      <c r="M950">
        <v>1.6666177824509647E-3</v>
      </c>
      <c r="N950">
        <v>0.15494144425869197</v>
      </c>
      <c r="O950">
        <v>2.1654406849492373E-2</v>
      </c>
      <c r="P950">
        <v>2.9014879154457138E-2</v>
      </c>
      <c r="Q950">
        <v>5.7067837676085262E-3</v>
      </c>
      <c r="R950">
        <v>1.6445854552680371E-3</v>
      </c>
      <c r="S950">
        <v>0.27019711013374759</v>
      </c>
      <c r="T950">
        <v>1.3825811700286927</v>
      </c>
      <c r="U950">
        <v>0.21941256298775613</v>
      </c>
      <c r="V950">
        <v>0.24296009683794903</v>
      </c>
      <c r="W950">
        <v>0.10136111481528369</v>
      </c>
      <c r="X950">
        <v>1.7053007760676551E-2</v>
      </c>
      <c r="Y950">
        <v>4.476019471789972E-3</v>
      </c>
    </row>
    <row r="951" spans="1:25">
      <c r="A951" s="1010"/>
      <c r="B951" s="1351">
        <v>701</v>
      </c>
      <c r="C951" s="1014">
        <v>1.0060516214352517</v>
      </c>
      <c r="D951" s="1014">
        <v>0.98850910054739649</v>
      </c>
      <c r="E951" s="1014">
        <v>1.0319630793524337</v>
      </c>
      <c r="F951" s="1014">
        <v>0.99503830616895705</v>
      </c>
      <c r="G951" s="1014">
        <v>0.95706241951855453</v>
      </c>
      <c r="H951" s="1014">
        <v>0.97600743923818767</v>
      </c>
      <c r="I951" s="1014">
        <v>1.0035578362386106</v>
      </c>
      <c r="K951">
        <v>2.3950114107298468</v>
      </c>
      <c r="L951">
        <v>0</v>
      </c>
      <c r="M951">
        <v>1.4941697394777024E-3</v>
      </c>
      <c r="N951">
        <v>0.14970253387982035</v>
      </c>
      <c r="O951">
        <v>2.0933658651712348E-2</v>
      </c>
      <c r="P951">
        <v>2.8942665082775352E-2</v>
      </c>
      <c r="Q951">
        <v>5.6551777072103735E-3</v>
      </c>
      <c r="R951">
        <v>1.4739622190202617E-3</v>
      </c>
      <c r="S951">
        <v>0.25769882404981159</v>
      </c>
      <c r="T951">
        <v>1.3655229848257235</v>
      </c>
      <c r="U951">
        <v>0.21080718316316824</v>
      </c>
      <c r="V951">
        <v>0.23771697662297561</v>
      </c>
      <c r="W951">
        <v>9.6516652533815764E-2</v>
      </c>
      <c r="X951">
        <v>1.7523322464628552E-2</v>
      </c>
      <c r="Y951">
        <v>4.011639268658238E-3</v>
      </c>
    </row>
    <row r="952" spans="1:25">
      <c r="A952" s="1010"/>
      <c r="B952" s="1351">
        <v>702</v>
      </c>
      <c r="C952" s="1014">
        <v>0.96779608662314087</v>
      </c>
      <c r="D952" s="1014">
        <v>1.0410202879458332</v>
      </c>
      <c r="E952" s="1014">
        <v>0.9816520598137124</v>
      </c>
      <c r="F952" s="1014">
        <v>0.99780288879144052</v>
      </c>
      <c r="G952" s="1014">
        <v>1.0328222222052077</v>
      </c>
      <c r="H952" s="1014">
        <v>0.96011398869640341</v>
      </c>
      <c r="I952" s="1014">
        <v>0.98024372014482308</v>
      </c>
      <c r="K952">
        <v>2.409378314337749</v>
      </c>
      <c r="L952">
        <v>0</v>
      </c>
      <c r="M952">
        <v>1.6769906591646061E-3</v>
      </c>
      <c r="N952">
        <v>0.14430495866708221</v>
      </c>
      <c r="O952">
        <v>2.1480515778093026E-2</v>
      </c>
      <c r="P952">
        <v>2.8178709078681034E-2</v>
      </c>
      <c r="Q952">
        <v>5.517779317433664E-3</v>
      </c>
      <c r="R952">
        <v>1.6539351846706681E-3</v>
      </c>
      <c r="S952">
        <v>0.25319924507717601</v>
      </c>
      <c r="T952">
        <v>1.3682297367663174</v>
      </c>
      <c r="U952">
        <v>0.21896219863093466</v>
      </c>
      <c r="V952">
        <v>0.25328105072796986</v>
      </c>
      <c r="W952">
        <v>9.5845600393868732E-2</v>
      </c>
      <c r="X952">
        <v>1.5900109021596241E-2</v>
      </c>
      <c r="Y952">
        <v>4.5014663530864628E-3</v>
      </c>
    </row>
    <row r="953" spans="1:25">
      <c r="A953" s="1010"/>
      <c r="B953" s="1351">
        <v>703</v>
      </c>
      <c r="C953" s="1014">
        <v>0.96734448589865729</v>
      </c>
      <c r="D953" s="1014">
        <v>1.0261626888806608</v>
      </c>
      <c r="E953" s="1014">
        <v>1.0227518477144222</v>
      </c>
      <c r="F953" s="1014">
        <v>1.024060403240173</v>
      </c>
      <c r="G953" s="1014">
        <v>1.0071227743580677</v>
      </c>
      <c r="H953" s="1014">
        <v>1.0323618788681936</v>
      </c>
      <c r="I953" s="1014">
        <v>0.9962056049066973</v>
      </c>
      <c r="K953">
        <v>2.4854785387987639</v>
      </c>
      <c r="L953">
        <v>0</v>
      </c>
      <c r="M953">
        <v>1.6617997682860817E-3</v>
      </c>
      <c r="N953">
        <v>0.16205819978214858</v>
      </c>
      <c r="O953">
        <v>2.1586662183706303E-2</v>
      </c>
      <c r="P953">
        <v>2.9683534115071252E-2</v>
      </c>
      <c r="Q953">
        <v>5.7786408499600501E-3</v>
      </c>
      <c r="R953">
        <v>1.6405520180270425E-3</v>
      </c>
      <c r="S953">
        <v>0.26593549235945257</v>
      </c>
      <c r="T953">
        <v>1.4051458347817996</v>
      </c>
      <c r="U953">
        <v>0.21920969739728238</v>
      </c>
      <c r="V953">
        <v>0.2487732066124124</v>
      </c>
      <c r="W953">
        <v>0.10504395495996198</v>
      </c>
      <c r="X953">
        <v>1.7819521721985091E-2</v>
      </c>
      <c r="Y953">
        <v>4.4650417852422119E-3</v>
      </c>
    </row>
    <row r="954" spans="1:25">
      <c r="A954" s="1010"/>
      <c r="B954" s="1351">
        <v>704</v>
      </c>
      <c r="C954" s="1014">
        <v>1.0205697623659302</v>
      </c>
      <c r="D954" s="1014">
        <v>1.0358212884738762</v>
      </c>
      <c r="E954" s="1014">
        <v>0.97441551739613108</v>
      </c>
      <c r="F954" s="1014">
        <v>0.98952143580363705</v>
      </c>
      <c r="G954" s="1014">
        <v>1.0269988960450944</v>
      </c>
      <c r="H954" s="1014">
        <v>1.0452542479436731</v>
      </c>
      <c r="I954" s="1014">
        <v>1.0350753010141642</v>
      </c>
      <c r="K954">
        <v>2.3952452111787075</v>
      </c>
      <c r="L954">
        <v>0</v>
      </c>
      <c r="M954">
        <v>1.7593242216356021E-3</v>
      </c>
      <c r="N954">
        <v>0.14827875890820699</v>
      </c>
      <c r="O954">
        <v>2.0387553809498173E-2</v>
      </c>
      <c r="P954">
        <v>2.7770338238296235E-2</v>
      </c>
      <c r="Q954">
        <v>5.1986061430000542E-3</v>
      </c>
      <c r="R954">
        <v>1.7371069789435219E-3</v>
      </c>
      <c r="S954">
        <v>0.26139695193137913</v>
      </c>
      <c r="T954">
        <v>1.3567196857067076</v>
      </c>
      <c r="U954">
        <v>0.20761550864547015</v>
      </c>
      <c r="V954">
        <v>0.24898094110918034</v>
      </c>
      <c r="W954">
        <v>9.8916906013724548E-2</v>
      </c>
      <c r="X954">
        <v>1.5274345356413149E-2</v>
      </c>
      <c r="Y954">
        <v>4.7278325595225589E-3</v>
      </c>
    </row>
    <row r="955" spans="1:25">
      <c r="A955" s="1010"/>
      <c r="B955" s="1351">
        <v>705</v>
      </c>
      <c r="C955" s="1014">
        <v>0.97430886169533704</v>
      </c>
      <c r="D955" s="1014">
        <v>0.99788490496456073</v>
      </c>
      <c r="E955" s="1014">
        <v>0.99664025471097373</v>
      </c>
      <c r="F955" s="1014">
        <v>0.98100110833462317</v>
      </c>
      <c r="G955" s="1014">
        <v>0.9989041542403414</v>
      </c>
      <c r="H955" s="1014">
        <v>1.007014532384144</v>
      </c>
      <c r="I955" s="1014">
        <v>1.0013060280093895</v>
      </c>
      <c r="K955">
        <v>2.4085803704353945</v>
      </c>
      <c r="L955">
        <v>0</v>
      </c>
      <c r="M955">
        <v>1.7096010692754379E-3</v>
      </c>
      <c r="N955">
        <v>0.15403127756266288</v>
      </c>
      <c r="O955">
        <v>2.1546702295954821E-2</v>
      </c>
      <c r="P955">
        <v>2.8267608154115439E-2</v>
      </c>
      <c r="Q955">
        <v>5.6193094103388613E-3</v>
      </c>
      <c r="R955">
        <v>1.6871919255929671E-3</v>
      </c>
      <c r="S955">
        <v>0.26665368324480393</v>
      </c>
      <c r="T955">
        <v>1.3455077256201815</v>
      </c>
      <c r="U955">
        <v>0.21755103736758538</v>
      </c>
      <c r="V955">
        <v>0.24700116646548678</v>
      </c>
      <c r="W955">
        <v>0.10139060640287291</v>
      </c>
      <c r="X955">
        <v>1.6441682816277683E-2</v>
      </c>
      <c r="Y955">
        <v>4.5919802387952621E-3</v>
      </c>
    </row>
    <row r="956" spans="1:25">
      <c r="A956" s="1010"/>
      <c r="B956" s="1351">
        <v>706</v>
      </c>
      <c r="C956" s="1014">
        <v>0.99894567719296778</v>
      </c>
      <c r="D956" s="1014">
        <v>0.99852342900160129</v>
      </c>
      <c r="E956" s="1014">
        <v>0.98297453447169136</v>
      </c>
      <c r="F956" s="1014">
        <v>0.96201036218081803</v>
      </c>
      <c r="G956" s="1014">
        <v>1.0245917587187603</v>
      </c>
      <c r="H956" s="1014">
        <v>0.98455996932121248</v>
      </c>
      <c r="I956" s="1014">
        <v>1.0274748415460979</v>
      </c>
      <c r="K956">
        <v>2.3610324493424875</v>
      </c>
      <c r="L956">
        <v>0</v>
      </c>
      <c r="M956">
        <v>1.6768188927770563E-3</v>
      </c>
      <c r="N956">
        <v>0.14491873422339432</v>
      </c>
      <c r="O956">
        <v>2.1003275205469418E-2</v>
      </c>
      <c r="P956">
        <v>2.7563155807771526E-2</v>
      </c>
      <c r="Q956">
        <v>5.4024363087613048E-3</v>
      </c>
      <c r="R956">
        <v>1.6543381734798128E-3</v>
      </c>
      <c r="S956">
        <v>0.26470951453535874</v>
      </c>
      <c r="T956">
        <v>1.319176918931698</v>
      </c>
      <c r="U956">
        <v>0.21213892958096708</v>
      </c>
      <c r="V956">
        <v>0.2498600764978563</v>
      </c>
      <c r="W956">
        <v>9.6176571813970477E-2</v>
      </c>
      <c r="X956">
        <v>1.5602754000754872E-2</v>
      </c>
      <c r="Y956">
        <v>4.5025631557797296E-3</v>
      </c>
    </row>
    <row r="957" spans="1:25">
      <c r="A957" s="1010"/>
      <c r="B957" s="1351">
        <v>707</v>
      </c>
      <c r="C957" s="1014">
        <v>1.0141187879357718</v>
      </c>
      <c r="D957" s="1014">
        <v>1.0156145391843059</v>
      </c>
      <c r="E957" s="1014">
        <v>0.96909187501290694</v>
      </c>
      <c r="F957" s="1014">
        <v>0.99480902005205951</v>
      </c>
      <c r="G957" s="1014">
        <v>1.0356038362947484</v>
      </c>
      <c r="H957" s="1014">
        <v>0.97695375890591807</v>
      </c>
      <c r="I957" s="1014">
        <v>1.0013932068537628</v>
      </c>
      <c r="K957">
        <v>2.3803852492606192</v>
      </c>
      <c r="L957">
        <v>0</v>
      </c>
      <c r="M957">
        <v>1.6803841229438179E-3</v>
      </c>
      <c r="N957">
        <v>0.13923661952105074</v>
      </c>
      <c r="O957">
        <v>2.0602904194279483E-2</v>
      </c>
      <c r="P957">
        <v>2.7659525140870722E-2</v>
      </c>
      <c r="Q957">
        <v>5.2250382847937107E-3</v>
      </c>
      <c r="R957">
        <v>1.6576802065078073E-3</v>
      </c>
      <c r="S957">
        <v>0.25123057731309523</v>
      </c>
      <c r="T957">
        <v>1.3638555522493918</v>
      </c>
      <c r="U957">
        <v>0.20891832285036804</v>
      </c>
      <c r="V957">
        <v>0.25086085459365548</v>
      </c>
      <c r="W957">
        <v>9.3185914717906951E-2</v>
      </c>
      <c r="X957">
        <v>1.5120985243662989E-2</v>
      </c>
      <c r="Y957">
        <v>4.5116590679810395E-3</v>
      </c>
    </row>
    <row r="958" spans="1:25">
      <c r="A958" s="1010"/>
      <c r="B958" s="1351">
        <v>708</v>
      </c>
      <c r="C958" s="1014">
        <v>0.98907896001178874</v>
      </c>
      <c r="D958" s="1014">
        <v>0.99729718083458141</v>
      </c>
      <c r="E958" s="1014">
        <v>1.0167302318157807</v>
      </c>
      <c r="F958" s="1014">
        <v>0.99153372657426475</v>
      </c>
      <c r="G958" s="1014">
        <v>1.0251027120985434</v>
      </c>
      <c r="H958" s="1014">
        <v>0.99329561738317185</v>
      </c>
      <c r="I958" s="1014">
        <v>0.99303145371024693</v>
      </c>
      <c r="K958">
        <v>2.4135961756499711</v>
      </c>
      <c r="L958">
        <v>0</v>
      </c>
      <c r="M958">
        <v>1.59346544543926E-3</v>
      </c>
      <c r="N958">
        <v>0.15251908142447457</v>
      </c>
      <c r="O958">
        <v>2.1241195067984563E-2</v>
      </c>
      <c r="P958">
        <v>2.8802811770610212E-2</v>
      </c>
      <c r="Q958">
        <v>5.652218509356384E-3</v>
      </c>
      <c r="R958">
        <v>1.5722901075352848E-3</v>
      </c>
      <c r="S958">
        <v>0.25957061675071286</v>
      </c>
      <c r="T958">
        <v>1.3603853114792863</v>
      </c>
      <c r="U958">
        <v>0.21437180978763656</v>
      </c>
      <c r="V958">
        <v>0.25044562389668817</v>
      </c>
      <c r="W958">
        <v>9.9209795197808814E-2</v>
      </c>
      <c r="X958">
        <v>1.713963173590034E-2</v>
      </c>
      <c r="Y958">
        <v>4.2792553674163942E-3</v>
      </c>
    </row>
    <row r="959" spans="1:25">
      <c r="A959" s="1010"/>
      <c r="B959" s="1351">
        <v>709</v>
      </c>
      <c r="C959" s="1014">
        <v>1.0219112567431932</v>
      </c>
      <c r="D959" s="1014">
        <v>1.0010877112390781</v>
      </c>
      <c r="E959" s="1014">
        <v>0.98533305410321081</v>
      </c>
      <c r="F959" s="1014">
        <v>1.0270067931070559</v>
      </c>
      <c r="G959" s="1014">
        <v>0.98274246268742393</v>
      </c>
      <c r="H959" s="1014">
        <v>0.96158420512687426</v>
      </c>
      <c r="I959" s="1014">
        <v>1.0207435322262235</v>
      </c>
      <c r="K959">
        <v>2.4166085276451352</v>
      </c>
      <c r="L959">
        <v>0</v>
      </c>
      <c r="M959">
        <v>1.5921923226712021E-3</v>
      </c>
      <c r="N959">
        <v>0.13854507054722734</v>
      </c>
      <c r="O959">
        <v>2.0521211102020091E-2</v>
      </c>
      <c r="P959">
        <v>2.850249237267212E-2</v>
      </c>
      <c r="Q959">
        <v>5.2910797415905431E-3</v>
      </c>
      <c r="R959">
        <v>1.5703361344117839E-3</v>
      </c>
      <c r="S959">
        <v>0.25480276581137457</v>
      </c>
      <c r="T959">
        <v>1.4083568582815664</v>
      </c>
      <c r="U959">
        <v>0.2073793656920237</v>
      </c>
      <c r="V959">
        <v>0.24129826803395379</v>
      </c>
      <c r="W959">
        <v>9.1816213681292752E-2</v>
      </c>
      <c r="X959">
        <v>1.5843121272967407E-2</v>
      </c>
      <c r="Y959">
        <v>4.2739372967012914E-3</v>
      </c>
    </row>
    <row r="960" spans="1:25">
      <c r="A960" s="1010"/>
      <c r="B960" s="1351">
        <v>710</v>
      </c>
      <c r="C960" s="1014">
        <v>1.0134239544898729</v>
      </c>
      <c r="D960" s="1014">
        <v>0.98629436678514171</v>
      </c>
      <c r="E960" s="1014">
        <v>1.0148265399119456</v>
      </c>
      <c r="F960" s="1014">
        <v>0.9867836714517354</v>
      </c>
      <c r="G960" s="1014">
        <v>1.0202000048675832</v>
      </c>
      <c r="H960" s="1014">
        <v>0.99847974121712468</v>
      </c>
      <c r="I960" s="1014">
        <v>0.96917325721650838</v>
      </c>
      <c r="K960">
        <v>2.3831632499275188</v>
      </c>
      <c r="L960">
        <v>0</v>
      </c>
      <c r="M960">
        <v>1.5733388683451686E-3</v>
      </c>
      <c r="N960">
        <v>0.14974048391594444</v>
      </c>
      <c r="O960">
        <v>2.0780333669057318E-2</v>
      </c>
      <c r="P960">
        <v>2.842324436374534E-2</v>
      </c>
      <c r="Q960">
        <v>5.519105269157441E-3</v>
      </c>
      <c r="R960">
        <v>1.5525395437521834E-3</v>
      </c>
      <c r="S960">
        <v>0.24903892810918321</v>
      </c>
      <c r="T960">
        <v>1.3538274746981149</v>
      </c>
      <c r="U960">
        <v>0.2092156226546521</v>
      </c>
      <c r="V960">
        <v>0.2480998757279593</v>
      </c>
      <c r="W960">
        <v>9.7511292633221003E-2</v>
      </c>
      <c r="X960">
        <v>1.6802187367508638E-2</v>
      </c>
      <c r="Y960">
        <v>4.2255008435703933E-3</v>
      </c>
    </row>
    <row r="961" spans="1:25">
      <c r="A961" s="1010"/>
      <c r="B961" s="1351">
        <v>711</v>
      </c>
      <c r="C961" s="1014">
        <v>0.95136208342406803</v>
      </c>
      <c r="D961" s="1014">
        <v>1.0286500809041201</v>
      </c>
      <c r="E961" s="1014">
        <v>0.97125374200403536</v>
      </c>
      <c r="F961" s="1014">
        <v>0.96442616996231545</v>
      </c>
      <c r="G961" s="1014">
        <v>1.0083359951823672</v>
      </c>
      <c r="H961" s="1014">
        <v>0.99032675729646658</v>
      </c>
      <c r="I961" s="1014">
        <v>1.0024114370440731</v>
      </c>
      <c r="K961">
        <v>2.3889879465086454</v>
      </c>
      <c r="L961">
        <v>0</v>
      </c>
      <c r="M961">
        <v>1.8025992559477038E-3</v>
      </c>
      <c r="N961">
        <v>0.15037208131869176</v>
      </c>
      <c r="O961">
        <v>2.1901934884052621E-2</v>
      </c>
      <c r="P961">
        <v>2.754407490035244E-2</v>
      </c>
      <c r="Q961">
        <v>5.5667669397650383E-3</v>
      </c>
      <c r="R961">
        <v>1.7785729561082934E-3</v>
      </c>
      <c r="S961">
        <v>0.26757915380105923</v>
      </c>
      <c r="T961">
        <v>1.3222463217552023</v>
      </c>
      <c r="U961">
        <v>0.22270737287067813</v>
      </c>
      <c r="V961">
        <v>0.25024874267293507</v>
      </c>
      <c r="W961">
        <v>0.10050615375858835</v>
      </c>
      <c r="X961">
        <v>1.5498680627050671E-2</v>
      </c>
      <c r="Y961">
        <v>4.8406892801093667E-3</v>
      </c>
    </row>
    <row r="962" spans="1:25">
      <c r="A962" s="1010"/>
      <c r="B962" s="1351">
        <v>712</v>
      </c>
      <c r="C962" s="1014">
        <v>1.0170592074735811</v>
      </c>
      <c r="D962" s="1014">
        <v>1.0236391349243879</v>
      </c>
      <c r="E962" s="1014">
        <v>1.0167240726851812</v>
      </c>
      <c r="F962" s="1014">
        <v>0.98754886262514685</v>
      </c>
      <c r="G962" s="1014">
        <v>1.0273101241620826</v>
      </c>
      <c r="H962" s="1014">
        <v>0.95458855149975974</v>
      </c>
      <c r="I962" s="1014">
        <v>0.98671494382853964</v>
      </c>
      <c r="K962">
        <v>2.3657511039041825</v>
      </c>
      <c r="L962">
        <v>0</v>
      </c>
      <c r="M962">
        <v>1.4807431733246561E-3</v>
      </c>
      <c r="N962">
        <v>0.14164980001645938</v>
      </c>
      <c r="O962">
        <v>2.0538687470093357E-2</v>
      </c>
      <c r="P962">
        <v>2.8417188364643676E-2</v>
      </c>
      <c r="Q962">
        <v>5.4652498130914138E-3</v>
      </c>
      <c r="R962">
        <v>1.460267898675098E-3</v>
      </c>
      <c r="S962">
        <v>0.24439518121717682</v>
      </c>
      <c r="T962">
        <v>1.3549179419796011</v>
      </c>
      <c r="U962">
        <v>0.20847422059128526</v>
      </c>
      <c r="V962">
        <v>0.24908649991667015</v>
      </c>
      <c r="W962">
        <v>9.213993611695967E-2</v>
      </c>
      <c r="X962">
        <v>1.6712505849839639E-2</v>
      </c>
      <c r="Y962">
        <v>3.9743678430101933E-3</v>
      </c>
    </row>
    <row r="963" spans="1:25">
      <c r="A963" s="1010"/>
      <c r="B963" s="1351">
        <v>713</v>
      </c>
      <c r="C963" s="1014">
        <v>0.98206215799945651</v>
      </c>
      <c r="D963" s="1014">
        <v>0.99798899447736089</v>
      </c>
      <c r="E963" s="1014">
        <v>0.97432005970201696</v>
      </c>
      <c r="F963" s="1014">
        <v>0.98192792614857449</v>
      </c>
      <c r="G963" s="1014">
        <v>1.0421478177494985</v>
      </c>
      <c r="H963" s="1014">
        <v>1.0320893822736743</v>
      </c>
      <c r="I963" s="1014">
        <v>1.0142691608723249</v>
      </c>
      <c r="K963">
        <v>2.4168629619815651</v>
      </c>
      <c r="L963">
        <v>0</v>
      </c>
      <c r="M963">
        <v>1.8204787552633329E-3</v>
      </c>
      <c r="N963">
        <v>0.15336361346345917</v>
      </c>
      <c r="O963">
        <v>2.1361046799719046E-2</v>
      </c>
      <c r="P963">
        <v>2.791941528503614E-2</v>
      </c>
      <c r="Q963">
        <v>5.4463062442740694E-3</v>
      </c>
      <c r="R963">
        <v>1.7971959919463819E-3</v>
      </c>
      <c r="S963">
        <v>0.26997280268417712</v>
      </c>
      <c r="T963">
        <v>1.3463063090789646</v>
      </c>
      <c r="U963">
        <v>0.21575598209630437</v>
      </c>
      <c r="V963">
        <v>0.25396640504567791</v>
      </c>
      <c r="W963">
        <v>0.10231494111297851</v>
      </c>
      <c r="X963">
        <v>1.5588047889713911E-2</v>
      </c>
      <c r="Y963">
        <v>4.8913750445785283E-3</v>
      </c>
    </row>
    <row r="964" spans="1:25">
      <c r="A964" s="1010"/>
      <c r="B964" s="1351">
        <v>714</v>
      </c>
      <c r="C964" s="1014">
        <v>1.0009410410424173</v>
      </c>
      <c r="D964" s="1014">
        <v>1.0008113970148564</v>
      </c>
      <c r="E964" s="1014">
        <v>0.99498207626753654</v>
      </c>
      <c r="F964" s="1014">
        <v>0.98354963298210929</v>
      </c>
      <c r="G964" s="1014">
        <v>0.96026136964575803</v>
      </c>
      <c r="H964" s="1014">
        <v>0.97669237661627717</v>
      </c>
      <c r="I964" s="1014">
        <v>1.000749201316794</v>
      </c>
      <c r="K964">
        <v>2.3712326546462812</v>
      </c>
      <c r="L964">
        <v>0</v>
      </c>
      <c r="M964">
        <v>1.618519796088884E-3</v>
      </c>
      <c r="N964">
        <v>0.14503628747061517</v>
      </c>
      <c r="O964">
        <v>2.0958799871435355E-2</v>
      </c>
      <c r="P964">
        <v>2.7949225567112244E-2</v>
      </c>
      <c r="Q964">
        <v>5.4568623250511221E-3</v>
      </c>
      <c r="R964">
        <v>1.5966458853229081E-3</v>
      </c>
      <c r="S964">
        <v>0.25644312867514485</v>
      </c>
      <c r="T964">
        <v>1.3489679516029347</v>
      </c>
      <c r="U964">
        <v>0.21175696727922438</v>
      </c>
      <c r="V964">
        <v>0.23870332267073485</v>
      </c>
      <c r="W964">
        <v>9.5564129098534775E-2</v>
      </c>
      <c r="X964">
        <v>1.6072310230584516E-2</v>
      </c>
      <c r="Y964">
        <v>4.3455437656743142E-3</v>
      </c>
    </row>
    <row r="965" spans="1:25">
      <c r="A965" s="1010"/>
      <c r="B965" s="1351">
        <v>715</v>
      </c>
      <c r="C965" s="1014">
        <v>1.0165931865859426</v>
      </c>
      <c r="D965" s="1014">
        <v>0.9953069792141539</v>
      </c>
      <c r="E965" s="1014">
        <v>0.97583967101247016</v>
      </c>
      <c r="F965" s="1014">
        <v>0.97875920924778859</v>
      </c>
      <c r="G965" s="1014">
        <v>1.0091096724586488</v>
      </c>
      <c r="H965" s="1014">
        <v>1.0472928280467535</v>
      </c>
      <c r="I965" s="1014">
        <v>0.98935669541311411</v>
      </c>
      <c r="K965">
        <v>2.3771795878150259</v>
      </c>
      <c r="L965">
        <v>0</v>
      </c>
      <c r="M965">
        <v>1.7800071766254028E-3</v>
      </c>
      <c r="N965">
        <v>0.15067377648784319</v>
      </c>
      <c r="O965">
        <v>2.0648677047660612E-2</v>
      </c>
      <c r="P965">
        <v>2.7504104020732424E-2</v>
      </c>
      <c r="Q965">
        <v>5.2728374008506546E-3</v>
      </c>
      <c r="R965">
        <v>1.7575724985395798E-3</v>
      </c>
      <c r="S965">
        <v>0.25600924761840849</v>
      </c>
      <c r="T965">
        <v>1.3419937321936524</v>
      </c>
      <c r="U965">
        <v>0.20843240111053057</v>
      </c>
      <c r="V965">
        <v>0.24615749085618738</v>
      </c>
      <c r="W965">
        <v>0.10042789114034192</v>
      </c>
      <c r="X965">
        <v>1.5298331659498452E-2</v>
      </c>
      <c r="Y965">
        <v>4.7835329574063071E-3</v>
      </c>
    </row>
    <row r="966" spans="1:25">
      <c r="A966" s="1010"/>
      <c r="B966" s="1351">
        <v>716</v>
      </c>
      <c r="C966" s="1014">
        <v>0.99594459451939166</v>
      </c>
      <c r="D966" s="1014">
        <v>1.0107140046363381</v>
      </c>
      <c r="E966" s="1014">
        <v>0.98507945766937532</v>
      </c>
      <c r="F966" s="1014">
        <v>0.96589560442213707</v>
      </c>
      <c r="G966" s="1014">
        <v>1.0121843685784051</v>
      </c>
      <c r="H966" s="1014">
        <v>1.0045607123015401</v>
      </c>
      <c r="I966" s="1014">
        <v>1.0003783113769837</v>
      </c>
      <c r="K966">
        <v>2.364675041098228</v>
      </c>
      <c r="L966">
        <v>0</v>
      </c>
      <c r="M966">
        <v>1.7040250293787126E-3</v>
      </c>
      <c r="N966">
        <v>0.14825076247702929</v>
      </c>
      <c r="O966">
        <v>2.101179534346494E-2</v>
      </c>
      <c r="P966">
        <v>2.7580432019125922E-2</v>
      </c>
      <c r="Q966">
        <v>5.4161771793524802E-3</v>
      </c>
      <c r="R966">
        <v>1.6816344155993737E-3</v>
      </c>
      <c r="S966">
        <v>0.25865757088709906</v>
      </c>
      <c r="T966">
        <v>1.3245484680577431</v>
      </c>
      <c r="U966">
        <v>0.21278537438589462</v>
      </c>
      <c r="V966">
        <v>0.24792060978330807</v>
      </c>
      <c r="W966">
        <v>9.8263327270242576E-2</v>
      </c>
      <c r="X966">
        <v>1.5686059780121161E-2</v>
      </c>
      <c r="Y966">
        <v>4.5768545286253778E-3</v>
      </c>
    </row>
    <row r="967" spans="1:25">
      <c r="A967" s="1010"/>
      <c r="B967" s="1351">
        <v>717</v>
      </c>
      <c r="C967" s="1014">
        <v>0.97786686847671955</v>
      </c>
      <c r="D967" s="1014">
        <v>1.0137513355016607</v>
      </c>
      <c r="E967" s="1014">
        <v>0.96815760043375443</v>
      </c>
      <c r="F967" s="1014">
        <v>0.99482824871975473</v>
      </c>
      <c r="G967" s="1014">
        <v>1.0086744378134482</v>
      </c>
      <c r="H967" s="1014">
        <v>0.99284554587624674</v>
      </c>
      <c r="I967" s="1014">
        <v>0.99750315935113654</v>
      </c>
      <c r="K967">
        <v>2.4098940178060344</v>
      </c>
      <c r="L967">
        <v>0</v>
      </c>
      <c r="M967">
        <v>1.7751631045967186E-3</v>
      </c>
      <c r="N967">
        <v>0.14670660649122211</v>
      </c>
      <c r="O967">
        <v>2.1374708673144012E-2</v>
      </c>
      <c r="P967">
        <v>2.7844054628036102E-2</v>
      </c>
      <c r="Q967">
        <v>5.4155954147507169E-3</v>
      </c>
      <c r="R967">
        <v>1.7515625184421856E-3</v>
      </c>
      <c r="S967">
        <v>0.26113691738525724</v>
      </c>
      <c r="T967">
        <v>1.3638619437475112</v>
      </c>
      <c r="U967">
        <v>0.2166601875398898</v>
      </c>
      <c r="V967">
        <v>0.24854128857253965</v>
      </c>
      <c r="W967">
        <v>9.8241208545815251E-2</v>
      </c>
      <c r="X967">
        <v>1.5367931621249345E-2</v>
      </c>
      <c r="Y967">
        <v>4.7671757727706029E-3</v>
      </c>
    </row>
    <row r="968" spans="1:25">
      <c r="A968" s="1010"/>
      <c r="B968" s="1351">
        <v>718</v>
      </c>
      <c r="C968" s="1014">
        <v>0.97664314792482065</v>
      </c>
      <c r="D968" s="1014">
        <v>0.99223225581905727</v>
      </c>
      <c r="E968" s="1014">
        <v>0.98233530478176101</v>
      </c>
      <c r="F968" s="1014">
        <v>0.97631711003691346</v>
      </c>
      <c r="G968" s="1014">
        <v>1.0056499975931776</v>
      </c>
      <c r="H968" s="1014">
        <v>1.0124679538942862</v>
      </c>
      <c r="I968" s="1014">
        <v>1.0169281974503996</v>
      </c>
      <c r="K968">
        <v>2.4046264548104959</v>
      </c>
      <c r="L968">
        <v>0</v>
      </c>
      <c r="M968">
        <v>1.7685176805565929E-3</v>
      </c>
      <c r="N968">
        <v>0.15260565294576706</v>
      </c>
      <c r="O968">
        <v>2.1512362593471841E-2</v>
      </c>
      <c r="P968">
        <v>2.7943432970486813E-2</v>
      </c>
      <c r="Q968">
        <v>5.5297944986007676E-3</v>
      </c>
      <c r="R968">
        <v>1.7454611297647261E-3</v>
      </c>
      <c r="S968">
        <v>0.27129759327851966</v>
      </c>
      <c r="T968">
        <v>1.3387818975975017</v>
      </c>
      <c r="U968">
        <v>0.21698108275614444</v>
      </c>
      <c r="V968">
        <v>0.24805208212227131</v>
      </c>
      <c r="W968">
        <v>0.10131707878077907</v>
      </c>
      <c r="X968">
        <v>1.5877964013628579E-2</v>
      </c>
      <c r="Y968">
        <v>4.7505698041127977E-3</v>
      </c>
    </row>
    <row r="969" spans="1:25">
      <c r="A969" s="1010"/>
      <c r="B969" s="1351">
        <v>719</v>
      </c>
      <c r="C969" s="1014">
        <v>1.012276967901903</v>
      </c>
      <c r="D969" s="1014">
        <v>1.0164602464998458</v>
      </c>
      <c r="E969" s="1014">
        <v>0.99012590195874028</v>
      </c>
      <c r="F969" s="1014">
        <v>0.96015080077881254</v>
      </c>
      <c r="G969" s="1014">
        <v>0.99201319436451751</v>
      </c>
      <c r="H969" s="1014">
        <v>1.0067061815368632</v>
      </c>
      <c r="I969" s="1014">
        <v>0.98573859391738383</v>
      </c>
      <c r="K969">
        <v>2.3369492458803847</v>
      </c>
      <c r="L969">
        <v>0</v>
      </c>
      <c r="M969">
        <v>1.6605782756395676E-3</v>
      </c>
      <c r="N969">
        <v>0.14669661807383733</v>
      </c>
      <c r="O969">
        <v>2.0650307457274992E-2</v>
      </c>
      <c r="P969">
        <v>2.7359725022637161E-2</v>
      </c>
      <c r="Q969">
        <v>5.3502541336640039E-3</v>
      </c>
      <c r="R969">
        <v>1.6388050469015741E-3</v>
      </c>
      <c r="S969">
        <v>0.25026912204384449</v>
      </c>
      <c r="T969">
        <v>1.3167750556513391</v>
      </c>
      <c r="U969">
        <v>0.20936923985580042</v>
      </c>
      <c r="V969">
        <v>0.24344578904897865</v>
      </c>
      <c r="W969">
        <v>9.6939150662445794E-2</v>
      </c>
      <c r="X969">
        <v>1.5655470053571423E-2</v>
      </c>
      <c r="Y969">
        <v>4.4602871057275641E-3</v>
      </c>
    </row>
    <row r="970" spans="1:25">
      <c r="A970" s="1010"/>
      <c r="B970" s="1351">
        <v>720</v>
      </c>
      <c r="C970" s="1014">
        <v>0.99547960099718102</v>
      </c>
      <c r="D970" s="1014">
        <v>0.99039730708482121</v>
      </c>
      <c r="E970" s="1014">
        <v>0.97584761525763586</v>
      </c>
      <c r="F970" s="1014">
        <v>1.0077990436893842</v>
      </c>
      <c r="G970" s="1014">
        <v>1.0391556994550035</v>
      </c>
      <c r="H970" s="1014">
        <v>0.98871016582978599</v>
      </c>
      <c r="I970" s="1014">
        <v>1.017146816952428</v>
      </c>
      <c r="K970">
        <v>2.4288321547355198</v>
      </c>
      <c r="L970">
        <v>0</v>
      </c>
      <c r="M970">
        <v>1.7179194442749246E-3</v>
      </c>
      <c r="N970">
        <v>0.14531169443313965</v>
      </c>
      <c r="O970">
        <v>2.110958239504394E-2</v>
      </c>
      <c r="P970">
        <v>2.829499424369317E-2</v>
      </c>
      <c r="Q970">
        <v>5.390577621554744E-3</v>
      </c>
      <c r="R970">
        <v>1.694984377224729E-3</v>
      </c>
      <c r="S970">
        <v>0.26434593594462735</v>
      </c>
      <c r="T970">
        <v>1.3818109252993862</v>
      </c>
      <c r="U970">
        <v>0.21285316712645064</v>
      </c>
      <c r="V970">
        <v>0.25259319289511112</v>
      </c>
      <c r="W970">
        <v>9.685346140552166E-2</v>
      </c>
      <c r="X970">
        <v>1.5678369714687109E-2</v>
      </c>
      <c r="Y970">
        <v>4.6131887233559279E-3</v>
      </c>
    </row>
    <row r="971" spans="1:25">
      <c r="A971" s="1010"/>
      <c r="B971" s="1351">
        <v>721</v>
      </c>
      <c r="C971" s="1014">
        <v>0.99519669365369456</v>
      </c>
      <c r="D971" s="1014">
        <v>1.0141534264350196</v>
      </c>
      <c r="E971" s="1014">
        <v>1.0025268725488405</v>
      </c>
      <c r="F971" s="1014">
        <v>1.0272755663305668</v>
      </c>
      <c r="G971" s="1014">
        <v>0.9886703945873434</v>
      </c>
      <c r="H971" s="1014">
        <v>1.0231912655346425</v>
      </c>
      <c r="I971" s="1014">
        <v>0.98347041074173647</v>
      </c>
      <c r="K971">
        <v>2.4527972646307075</v>
      </c>
      <c r="L971">
        <v>0</v>
      </c>
      <c r="M971">
        <v>1.6740013959201936E-3</v>
      </c>
      <c r="N971">
        <v>0.15356250596188131</v>
      </c>
      <c r="O971">
        <v>2.1023464233691405E-2</v>
      </c>
      <c r="P971">
        <v>2.9007631596547068E-2</v>
      </c>
      <c r="Q971">
        <v>5.5153969617825664E-3</v>
      </c>
      <c r="R971">
        <v>1.6524057991360087E-3</v>
      </c>
      <c r="S971">
        <v>0.255747648539221</v>
      </c>
      <c r="T971">
        <v>1.4091069759759103</v>
      </c>
      <c r="U971">
        <v>0.2130051530940027</v>
      </c>
      <c r="V971">
        <v>0.2438885976574357</v>
      </c>
      <c r="W971">
        <v>0.1007288865845892</v>
      </c>
      <c r="X971">
        <v>1.6735295752608209E-2</v>
      </c>
      <c r="Y971">
        <v>4.4973038698229257E-3</v>
      </c>
    </row>
    <row r="972" spans="1:25">
      <c r="A972" s="1010"/>
      <c r="B972" s="1351">
        <v>722</v>
      </c>
      <c r="C972" s="1014">
        <v>0.99825800237742779</v>
      </c>
      <c r="D972" s="1014">
        <v>1.0001432490253817</v>
      </c>
      <c r="E972" s="1014">
        <v>0.96217961693814935</v>
      </c>
      <c r="F972" s="1014">
        <v>1.0052926458041396</v>
      </c>
      <c r="G972" s="1014">
        <v>0.99560532530134793</v>
      </c>
      <c r="H972" s="1014">
        <v>1.0263441523538768</v>
      </c>
      <c r="I972" s="1014">
        <v>1.0032483238278089</v>
      </c>
      <c r="K972">
        <v>2.4190265416487762</v>
      </c>
      <c r="L972">
        <v>0</v>
      </c>
      <c r="M972">
        <v>1.8252960156696638E-3</v>
      </c>
      <c r="N972">
        <v>0.14820806951221016</v>
      </c>
      <c r="O972">
        <v>2.0996487079268041E-2</v>
      </c>
      <c r="P972">
        <v>2.7808518304036366E-2</v>
      </c>
      <c r="Q972">
        <v>5.287275709573591E-3</v>
      </c>
      <c r="R972">
        <v>1.8018209664259455E-3</v>
      </c>
      <c r="S972">
        <v>0.26183403273958838</v>
      </c>
      <c r="T972">
        <v>1.3780791035840396</v>
      </c>
      <c r="U972">
        <v>0.21221417811620222</v>
      </c>
      <c r="V972">
        <v>0.2450268226656116</v>
      </c>
      <c r="W972">
        <v>9.9609805399659745E-2</v>
      </c>
      <c r="X972">
        <v>1.5081760887339738E-2</v>
      </c>
      <c r="Y972">
        <v>4.903962700489475E-3</v>
      </c>
    </row>
    <row r="973" spans="1:25">
      <c r="A973" s="1010"/>
      <c r="B973" s="1351">
        <v>723</v>
      </c>
      <c r="C973" s="1014">
        <v>0.99410260065807843</v>
      </c>
      <c r="D973" s="1014">
        <v>1.0279481077157515</v>
      </c>
      <c r="E973" s="1014">
        <v>0.99975562483387859</v>
      </c>
      <c r="F973" s="1014">
        <v>0.99919723608478106</v>
      </c>
      <c r="G973" s="1014">
        <v>1.0103861991879262</v>
      </c>
      <c r="H973" s="1014">
        <v>1.0189196631926618</v>
      </c>
      <c r="I973" s="1014">
        <v>1.0038711557258924</v>
      </c>
      <c r="K973">
        <v>2.4188228826977718</v>
      </c>
      <c r="L973">
        <v>0</v>
      </c>
      <c r="M973">
        <v>1.6734885322128629E-3</v>
      </c>
      <c r="N973">
        <v>0.15222727684020954</v>
      </c>
      <c r="O973">
        <v>2.098229895986255E-2</v>
      </c>
      <c r="P973">
        <v>2.8523471540284215E-2</v>
      </c>
      <c r="Q973">
        <v>5.4892948440199065E-3</v>
      </c>
      <c r="R973">
        <v>1.6518090444957846E-3</v>
      </c>
      <c r="S973">
        <v>0.25920715148878853</v>
      </c>
      <c r="T973">
        <v>1.3705322165273757</v>
      </c>
      <c r="U973">
        <v>0.21323005239768603</v>
      </c>
      <c r="V973">
        <v>0.24767581020561541</v>
      </c>
      <c r="W973">
        <v>0.10001749981800376</v>
      </c>
      <c r="X973">
        <v>1.6463809863227784E-2</v>
      </c>
      <c r="Y973">
        <v>4.4956797004123495E-3</v>
      </c>
    </row>
    <row r="974" spans="1:25">
      <c r="A974" s="1010"/>
      <c r="B974" s="1351">
        <v>724</v>
      </c>
      <c r="C974" s="1014">
        <v>0.97664680775643853</v>
      </c>
      <c r="D974" s="1014">
        <v>0.99302648386633652</v>
      </c>
      <c r="E974" s="1014">
        <v>0.99186260233759838</v>
      </c>
      <c r="F974" s="1014">
        <v>0.98453851926543867</v>
      </c>
      <c r="G974" s="1014">
        <v>1.0202356750528414</v>
      </c>
      <c r="H974" s="1014">
        <v>1.0077338922030681</v>
      </c>
      <c r="I974" s="1014">
        <v>1.007553737022806</v>
      </c>
      <c r="K974">
        <v>2.4168322180208293</v>
      </c>
      <c r="L974">
        <v>0</v>
      </c>
      <c r="M974">
        <v>1.72556166049545E-3</v>
      </c>
      <c r="N974">
        <v>0.15324183539640335</v>
      </c>
      <c r="O974">
        <v>2.1514966463437535E-2</v>
      </c>
      <c r="P974">
        <v>2.8294348197316518E-2</v>
      </c>
      <c r="Q974">
        <v>5.584065466965351E-3</v>
      </c>
      <c r="R974">
        <v>1.7029594541140313E-3</v>
      </c>
      <c r="S974">
        <v>0.26835286288157045</v>
      </c>
      <c r="T974">
        <v>1.3502579019481848</v>
      </c>
      <c r="U974">
        <v>0.21701354633508815</v>
      </c>
      <c r="V974">
        <v>0.25050859759795302</v>
      </c>
      <c r="W974">
        <v>0.10115910384832832</v>
      </c>
      <c r="X974">
        <v>1.629269783829396E-2</v>
      </c>
      <c r="Y974">
        <v>4.6348942536652178E-3</v>
      </c>
    </row>
    <row r="975" spans="1:25">
      <c r="A975" s="1010"/>
      <c r="B975" s="1351">
        <v>725</v>
      </c>
      <c r="C975" s="1014">
        <v>1.0158456457688292</v>
      </c>
      <c r="D975" s="1014">
        <v>1.0316978114437731</v>
      </c>
      <c r="E975" s="1014">
        <v>0.99287250189824361</v>
      </c>
      <c r="F975" s="1014">
        <v>0.96366748527634982</v>
      </c>
      <c r="G975" s="1014">
        <v>1.0137240731301422</v>
      </c>
      <c r="H975" s="1014">
        <v>1.0392809152255569</v>
      </c>
      <c r="I975" s="1014">
        <v>0.99501026906269885</v>
      </c>
      <c r="K975">
        <v>2.3539435801148452</v>
      </c>
      <c r="L975">
        <v>0</v>
      </c>
      <c r="M975">
        <v>1.6930450613026982E-3</v>
      </c>
      <c r="N975">
        <v>0.1508746031673808</v>
      </c>
      <c r="O975">
        <v>2.0512291190361756E-2</v>
      </c>
      <c r="P975">
        <v>2.7551444407420838E-2</v>
      </c>
      <c r="Q975">
        <v>5.3292578609806908E-3</v>
      </c>
      <c r="R975">
        <v>1.6715419262070897E-3</v>
      </c>
      <c r="S975">
        <v>0.25259705568355562</v>
      </c>
      <c r="T975">
        <v>1.3216550724949301</v>
      </c>
      <c r="U975">
        <v>0.20864295284951034</v>
      </c>
      <c r="V975">
        <v>0.24692775954583435</v>
      </c>
      <c r="W975">
        <v>9.9536305365403172E-2</v>
      </c>
      <c r="X975">
        <v>1.5788954585072162E-2</v>
      </c>
      <c r="Y975">
        <v>4.5493860994878137E-3</v>
      </c>
    </row>
    <row r="976" spans="1:25">
      <c r="A976" s="1010"/>
      <c r="B976" s="1351">
        <v>726</v>
      </c>
      <c r="C976" s="1014">
        <v>1.0066476908310369</v>
      </c>
      <c r="D976" s="1014">
        <v>1.0082079313084982</v>
      </c>
      <c r="E976" s="1014">
        <v>1.0118404262999852</v>
      </c>
      <c r="F976" s="1014">
        <v>0.99301015788731783</v>
      </c>
      <c r="G976" s="1014">
        <v>1.0109082986347351</v>
      </c>
      <c r="H976" s="1014">
        <v>1.0423799493482995</v>
      </c>
      <c r="I976" s="1014">
        <v>0.9917137659177252</v>
      </c>
      <c r="K976">
        <v>2.4116470072552181</v>
      </c>
      <c r="L976">
        <v>0</v>
      </c>
      <c r="M976">
        <v>1.6558413869662244E-3</v>
      </c>
      <c r="N976">
        <v>0.15626669382618191</v>
      </c>
      <c r="O976">
        <v>2.0817353530868624E-2</v>
      </c>
      <c r="P976">
        <v>2.8595709482901542E-2</v>
      </c>
      <c r="Q976">
        <v>5.5124882428496938E-3</v>
      </c>
      <c r="R976">
        <v>1.6348732954788914E-3</v>
      </c>
      <c r="S976">
        <v>0.25738540337305615</v>
      </c>
      <c r="T976">
        <v>1.3623056608120183</v>
      </c>
      <c r="U976">
        <v>0.2106138000281505</v>
      </c>
      <c r="V976">
        <v>0.24693904341553299</v>
      </c>
      <c r="W976">
        <v>0.10194004551215786</v>
      </c>
      <c r="X976">
        <v>1.6842190948527822E-2</v>
      </c>
      <c r="Y976">
        <v>4.4495861744565293E-3</v>
      </c>
    </row>
    <row r="977" spans="1:25">
      <c r="A977" s="1010"/>
      <c r="B977" s="1351">
        <v>727</v>
      </c>
      <c r="C977" s="1014">
        <v>0.99649488102163064</v>
      </c>
      <c r="D977" s="1014">
        <v>0.9953174523484668</v>
      </c>
      <c r="E977" s="1014">
        <v>1.045051381111795</v>
      </c>
      <c r="F977" s="1014">
        <v>0.98624938054101563</v>
      </c>
      <c r="G977" s="1014">
        <v>0.98912541650524</v>
      </c>
      <c r="H977" s="1014">
        <v>1.0004179763420729</v>
      </c>
      <c r="I977" s="1014">
        <v>0.99400192150423305</v>
      </c>
      <c r="K977">
        <v>2.4044059185233819</v>
      </c>
      <c r="L977">
        <v>0</v>
      </c>
      <c r="M977">
        <v>1.5023054047480606E-3</v>
      </c>
      <c r="N977">
        <v>0.15662366834786409</v>
      </c>
      <c r="O977">
        <v>2.1111305907818522E-2</v>
      </c>
      <c r="P977">
        <v>2.9182899446843828E-2</v>
      </c>
      <c r="Q977">
        <v>5.7771015357842822E-3</v>
      </c>
      <c r="R977">
        <v>1.4824836106196522E-3</v>
      </c>
      <c r="S977">
        <v>0.25898600871668637</v>
      </c>
      <c r="T977">
        <v>1.3537429136005821</v>
      </c>
      <c r="U977">
        <v>0.21287405292065267</v>
      </c>
      <c r="V977">
        <v>0.2437383294380947</v>
      </c>
      <c r="W977">
        <v>0.10021964936432333</v>
      </c>
      <c r="X977">
        <v>1.8134979351343502E-2</v>
      </c>
      <c r="Y977">
        <v>4.0348316875157943E-3</v>
      </c>
    </row>
    <row r="978" spans="1:25">
      <c r="A978" s="1010"/>
      <c r="B978" s="1351">
        <v>728</v>
      </c>
      <c r="C978" s="1014">
        <v>1.0428656759698163</v>
      </c>
      <c r="D978" s="1014">
        <v>0.98229365156838955</v>
      </c>
      <c r="E978" s="1014">
        <v>1.0083230994176453</v>
      </c>
      <c r="F978" s="1014">
        <v>0.97717235645725042</v>
      </c>
      <c r="G978" s="1014">
        <v>1.0139620010139265</v>
      </c>
      <c r="H978" s="1014">
        <v>1.0138998218576474</v>
      </c>
      <c r="I978" s="1014">
        <v>1.0153234223614764</v>
      </c>
      <c r="K978">
        <v>2.3616554429532566</v>
      </c>
      <c r="L978">
        <v>0</v>
      </c>
      <c r="M978">
        <v>1.5750644637662677E-3</v>
      </c>
      <c r="N978">
        <v>0.14702049297684336</v>
      </c>
      <c r="O978">
        <v>2.0207575309403352E-2</v>
      </c>
      <c r="P978">
        <v>2.8070429911877467E-2</v>
      </c>
      <c r="Q978">
        <v>5.3322368170916172E-3</v>
      </c>
      <c r="R978">
        <v>1.5545590043077148E-3</v>
      </c>
      <c r="S978">
        <v>0.25528109933921028</v>
      </c>
      <c r="T978">
        <v>1.3405033740529473</v>
      </c>
      <c r="U978">
        <v>0.20328778532885566</v>
      </c>
      <c r="V978">
        <v>0.24532021220311323</v>
      </c>
      <c r="W978">
        <v>9.610743342476083E-2</v>
      </c>
      <c r="X978">
        <v>1.6314311899126004E-2</v>
      </c>
      <c r="Y978">
        <v>4.2309971494875562E-3</v>
      </c>
    </row>
    <row r="979" spans="1:25">
      <c r="A979" s="1010"/>
      <c r="B979" s="1351">
        <v>729</v>
      </c>
      <c r="C979" s="1014">
        <v>0.96661144240201768</v>
      </c>
      <c r="D979" s="1014">
        <v>0.97380306364476465</v>
      </c>
      <c r="E979" s="1014">
        <v>1.0296049648776628</v>
      </c>
      <c r="F979" s="1014">
        <v>0.98574497076835976</v>
      </c>
      <c r="G979" s="1014">
        <v>1.0067559787513485</v>
      </c>
      <c r="H979" s="1014">
        <v>1.0303837776337628</v>
      </c>
      <c r="I979" s="1014">
        <v>0.98049508287103526</v>
      </c>
      <c r="K979">
        <v>2.4400552486740796</v>
      </c>
      <c r="L979">
        <v>0</v>
      </c>
      <c r="M979">
        <v>1.6553145545519356E-3</v>
      </c>
      <c r="N979">
        <v>0.16479223763037396</v>
      </c>
      <c r="O979">
        <v>2.1858132935230916E-2</v>
      </c>
      <c r="P979">
        <v>2.9142216528148964E-2</v>
      </c>
      <c r="Q979">
        <v>5.8911771028848535E-3</v>
      </c>
      <c r="R979">
        <v>1.6341090925169003E-3</v>
      </c>
      <c r="S979">
        <v>0.26874688833905092</v>
      </c>
      <c r="T979">
        <v>1.3527188669972494</v>
      </c>
      <c r="U979">
        <v>0.21940026899532269</v>
      </c>
      <c r="V979">
        <v>0.24873567310063557</v>
      </c>
      <c r="W979">
        <v>0.10639077181013211</v>
      </c>
      <c r="X979">
        <v>1.7952714431170389E-2</v>
      </c>
      <c r="Y979">
        <v>4.4475062659134279E-3</v>
      </c>
    </row>
    <row r="980" spans="1:25">
      <c r="A980" s="1010"/>
      <c r="B980" s="1351">
        <v>730</v>
      </c>
      <c r="C980" s="1014">
        <v>1.0351870339924687</v>
      </c>
      <c r="D980" s="1014">
        <v>0.96770307053640003</v>
      </c>
      <c r="E980" s="1014">
        <v>1.0300601411801327</v>
      </c>
      <c r="F980" s="1014">
        <v>1.0015664645195739</v>
      </c>
      <c r="G980" s="1014">
        <v>1.0086885904173952</v>
      </c>
      <c r="H980" s="1014">
        <v>1.0230703723865779</v>
      </c>
      <c r="I980" s="1014">
        <v>1.0021995747517443</v>
      </c>
      <c r="K980">
        <v>2.4091138583653096</v>
      </c>
      <c r="L980">
        <v>0</v>
      </c>
      <c r="M980">
        <v>1.5353542958738914E-3</v>
      </c>
      <c r="N980">
        <v>0.15304546545674155</v>
      </c>
      <c r="O980">
        <v>2.0438679278991824E-2</v>
      </c>
      <c r="P980">
        <v>2.902900093198198E-2</v>
      </c>
      <c r="Q980">
        <v>5.5110875257546876E-3</v>
      </c>
      <c r="R980">
        <v>1.51554498721645E-3</v>
      </c>
      <c r="S980">
        <v>0.25670536244030584</v>
      </c>
      <c r="T980">
        <v>1.3744403159232701</v>
      </c>
      <c r="U980">
        <v>0.20486768710466033</v>
      </c>
      <c r="V980">
        <v>0.24478575186741083</v>
      </c>
      <c r="W980">
        <v>9.8780884671127708E-2</v>
      </c>
      <c r="X980">
        <v>1.7404618617789948E-2</v>
      </c>
      <c r="Y980">
        <v>4.1248138559324115E-3</v>
      </c>
    </row>
    <row r="981" spans="1:25">
      <c r="A981" s="1010"/>
      <c r="B981" s="1351">
        <v>731</v>
      </c>
      <c r="C981" s="1014">
        <v>0.99889383697569722</v>
      </c>
      <c r="D981" s="1014">
        <v>0.96567642008917232</v>
      </c>
      <c r="E981" s="1014">
        <v>1.0012096664398076</v>
      </c>
      <c r="F981" s="1014">
        <v>1.0022993143217023</v>
      </c>
      <c r="G981" s="1014">
        <v>0.98650079924730594</v>
      </c>
      <c r="H981" s="1014">
        <v>0.9865812214859816</v>
      </c>
      <c r="I981" s="1014">
        <v>0.99358009474906506</v>
      </c>
      <c r="K981">
        <v>2.4137517531675359</v>
      </c>
      <c r="L981">
        <v>0</v>
      </c>
      <c r="M981">
        <v>1.630002374018993E-3</v>
      </c>
      <c r="N981">
        <v>0.14886029494393341</v>
      </c>
      <c r="O981">
        <v>2.1171694727073875E-2</v>
      </c>
      <c r="P981">
        <v>2.8559141265588582E-2</v>
      </c>
      <c r="Q981">
        <v>5.5469428892550993E-3</v>
      </c>
      <c r="R981">
        <v>1.6081940841790375E-3</v>
      </c>
      <c r="S981">
        <v>0.2606699609992254</v>
      </c>
      <c r="T981">
        <v>1.3748186541719509</v>
      </c>
      <c r="U981">
        <v>0.21221226161402182</v>
      </c>
      <c r="V981">
        <v>0.24329068559733458</v>
      </c>
      <c r="W981">
        <v>9.7720845356706762E-2</v>
      </c>
      <c r="X981">
        <v>1.6546105736185708E-2</v>
      </c>
      <c r="Y981">
        <v>4.3769741560979692E-3</v>
      </c>
    </row>
    <row r="982" spans="1:25">
      <c r="A982" s="1010"/>
      <c r="B982" s="1351">
        <v>732</v>
      </c>
      <c r="C982" s="1014">
        <v>1.0166110092964591</v>
      </c>
      <c r="D982" s="1014">
        <v>1.0234081607848506</v>
      </c>
      <c r="E982" s="1014">
        <v>1.0187902630109833</v>
      </c>
      <c r="F982" s="1014">
        <v>0.98610260180160181</v>
      </c>
      <c r="G982" s="1014">
        <v>0.96450626085399538</v>
      </c>
      <c r="H982" s="1014">
        <v>0.99979509606391403</v>
      </c>
      <c r="I982" s="1014">
        <v>0.99883982760685974</v>
      </c>
      <c r="K982">
        <v>2.3721197877666036</v>
      </c>
      <c r="L982">
        <v>0</v>
      </c>
      <c r="M982">
        <v>1.5449736930704314E-3</v>
      </c>
      <c r="N982">
        <v>0.14881272901056442</v>
      </c>
      <c r="O982">
        <v>2.0550108289740861E-2</v>
      </c>
      <c r="P982">
        <v>2.8382559312485688E-2</v>
      </c>
      <c r="Q982">
        <v>5.4795466544705108E-3</v>
      </c>
      <c r="R982">
        <v>1.5245762229756364E-3</v>
      </c>
      <c r="S982">
        <v>0.25131300190042255</v>
      </c>
      <c r="T982">
        <v>1.3529778922674454</v>
      </c>
      <c r="U982">
        <v>0.20857309783502775</v>
      </c>
      <c r="V982">
        <v>0.23838651282577497</v>
      </c>
      <c r="W982">
        <v>9.668210704345169E-2</v>
      </c>
      <c r="X982">
        <v>1.6833236194791247E-2</v>
      </c>
      <c r="Y982">
        <v>4.1493939025228493E-3</v>
      </c>
    </row>
    <row r="983" spans="1:25">
      <c r="A983" s="1010"/>
      <c r="B983" s="1351">
        <v>733</v>
      </c>
      <c r="C983" s="1014">
        <v>0.99960117440103946</v>
      </c>
      <c r="D983" s="1014">
        <v>0.97156316732976333</v>
      </c>
      <c r="E983" s="1014">
        <v>0.99949197209250473</v>
      </c>
      <c r="F983" s="1014">
        <v>1.0187059832806626</v>
      </c>
      <c r="G983" s="1014">
        <v>1.0304160008415844</v>
      </c>
      <c r="H983" s="1014">
        <v>1.0199992778327129</v>
      </c>
      <c r="I983" s="1014">
        <v>1.0055251915517236</v>
      </c>
      <c r="K983">
        <v>2.4568080202998606</v>
      </c>
      <c r="L983">
        <v>0</v>
      </c>
      <c r="M983">
        <v>1.6877753782054026E-3</v>
      </c>
      <c r="N983">
        <v>0.15340675035387727</v>
      </c>
      <c r="O983">
        <v>2.1127296864718745E-2</v>
      </c>
      <c r="P983">
        <v>2.8996912198666798E-2</v>
      </c>
      <c r="Q983">
        <v>5.5257636175215343E-3</v>
      </c>
      <c r="R983">
        <v>1.6659339516230589E-3</v>
      </c>
      <c r="S983">
        <v>0.2656709489361192</v>
      </c>
      <c r="T983">
        <v>1.3972852555174007</v>
      </c>
      <c r="U983">
        <v>0.21205622190309098</v>
      </c>
      <c r="V983">
        <v>0.25075207996710008</v>
      </c>
      <c r="W983">
        <v>0.10080824647726196</v>
      </c>
      <c r="X983">
        <v>1.6666262849346591E-2</v>
      </c>
      <c r="Y983">
        <v>4.5341230413384068E-3</v>
      </c>
    </row>
    <row r="984" spans="1:25">
      <c r="A984" s="1010"/>
      <c r="B984" s="1351">
        <v>734</v>
      </c>
      <c r="C984" s="1014">
        <v>1.014364185111549</v>
      </c>
      <c r="D984" s="1014">
        <v>1.0027406365710281</v>
      </c>
      <c r="E984" s="1014">
        <v>0.98169551307861291</v>
      </c>
      <c r="F984" s="1014">
        <v>0.97973531552287829</v>
      </c>
      <c r="G984" s="1014">
        <v>1.0085774501481228</v>
      </c>
      <c r="H984" s="1014">
        <v>0.97503029556210252</v>
      </c>
      <c r="I984" s="1014">
        <v>0.96571500136614064</v>
      </c>
      <c r="K984">
        <v>2.3502040856204887</v>
      </c>
      <c r="L984">
        <v>0</v>
      </c>
      <c r="M984">
        <v>1.6381603332385694E-3</v>
      </c>
      <c r="N984">
        <v>0.14101220836506262</v>
      </c>
      <c r="O984">
        <v>2.066401852835446E-2</v>
      </c>
      <c r="P984">
        <v>2.7487685817613686E-2</v>
      </c>
      <c r="Q984">
        <v>5.3082768782642615E-3</v>
      </c>
      <c r="R984">
        <v>1.6159832455352055E-3</v>
      </c>
      <c r="S984">
        <v>0.24371775291897821</v>
      </c>
      <c r="T984">
        <v>1.3434556295666671</v>
      </c>
      <c r="U984">
        <v>0.20891008393302057</v>
      </c>
      <c r="V984">
        <v>0.24617958330393896</v>
      </c>
      <c r="W984">
        <v>9.3656141513172683E-2</v>
      </c>
      <c r="X984">
        <v>1.5436708197505762E-2</v>
      </c>
      <c r="Y984">
        <v>4.3981736856131062E-3</v>
      </c>
    </row>
    <row r="985" spans="1:25">
      <c r="A985" s="1010"/>
      <c r="B985" s="1351">
        <v>735</v>
      </c>
      <c r="C985" s="1014">
        <v>0.99910596229696469</v>
      </c>
      <c r="D985" s="1014">
        <v>0.96110812559080971</v>
      </c>
      <c r="E985" s="1014">
        <v>0.98458108009895506</v>
      </c>
      <c r="F985" s="1014">
        <v>1.028796600128389</v>
      </c>
      <c r="G985" s="1014">
        <v>0.95696288337717361</v>
      </c>
      <c r="H985" s="1014">
        <v>1.0028954915647845</v>
      </c>
      <c r="I985" s="1014">
        <v>1.0057451111723903</v>
      </c>
      <c r="K985">
        <v>2.4508833571930349</v>
      </c>
      <c r="L985">
        <v>0</v>
      </c>
      <c r="M985">
        <v>1.7164664380992496E-3</v>
      </c>
      <c r="N985">
        <v>0.14910493972606675</v>
      </c>
      <c r="O985">
        <v>2.1178162972487584E-2</v>
      </c>
      <c r="P985">
        <v>2.8689601865107425E-2</v>
      </c>
      <c r="Q985">
        <v>5.4563043262844738E-3</v>
      </c>
      <c r="R985">
        <v>1.6938748971100056E-3</v>
      </c>
      <c r="S985">
        <v>0.26570988535429246</v>
      </c>
      <c r="T985">
        <v>1.4107945791135983</v>
      </c>
      <c r="U985">
        <v>0.21211037864489291</v>
      </c>
      <c r="V985">
        <v>0.23828993567010631</v>
      </c>
      <c r="W985">
        <v>9.8859123437589763E-2</v>
      </c>
      <c r="X985">
        <v>1.6102868539375804E-2</v>
      </c>
      <c r="Y985">
        <v>4.6101690842236722E-3</v>
      </c>
    </row>
    <row r="986" spans="1:25">
      <c r="A986" s="1010"/>
      <c r="B986" s="1351">
        <v>736</v>
      </c>
      <c r="C986" s="1014">
        <v>1.0172070975880525</v>
      </c>
      <c r="D986" s="1014">
        <v>1.0242399752455771</v>
      </c>
      <c r="E986" s="1014">
        <v>0.99041339534684358</v>
      </c>
      <c r="F986" s="1014">
        <v>0.98386052279513747</v>
      </c>
      <c r="G986" s="1014">
        <v>1.0130418738789977</v>
      </c>
      <c r="H986" s="1014">
        <v>1.0044783603401917</v>
      </c>
      <c r="I986" s="1014">
        <v>1.0187764166162818</v>
      </c>
      <c r="K986">
        <v>2.3761522383240106</v>
      </c>
      <c r="L986">
        <v>0</v>
      </c>
      <c r="M986">
        <v>1.6451294866801076E-3</v>
      </c>
      <c r="N986">
        <v>0.14545395276876374</v>
      </c>
      <c r="O986">
        <v>2.0515964949311925E-2</v>
      </c>
      <c r="P986">
        <v>2.7918051243588499E-2</v>
      </c>
      <c r="Q986">
        <v>5.316992155284671E-3</v>
      </c>
      <c r="R986">
        <v>1.6235109785795753E-3</v>
      </c>
      <c r="S986">
        <v>0.2562422938775093</v>
      </c>
      <c r="T986">
        <v>1.3492972726897126</v>
      </c>
      <c r="U986">
        <v>0.20835544796972641</v>
      </c>
      <c r="V986">
        <v>0.24673812349780366</v>
      </c>
      <c r="W986">
        <v>9.6101431208869839E-2</v>
      </c>
      <c r="X986">
        <v>1.5815664778097826E-2</v>
      </c>
      <c r="Y986">
        <v>4.4186616934433504E-3</v>
      </c>
    </row>
    <row r="987" spans="1:25">
      <c r="A987" s="1010"/>
      <c r="B987" s="1351">
        <v>737</v>
      </c>
      <c r="C987" s="1014">
        <v>1.0063862503516872</v>
      </c>
      <c r="D987" s="1014">
        <v>1.0037741027232143</v>
      </c>
      <c r="E987" s="1014">
        <v>0.96556538669232794</v>
      </c>
      <c r="F987" s="1014">
        <v>0.99566211148944217</v>
      </c>
      <c r="G987" s="1014">
        <v>1.0238011321991649</v>
      </c>
      <c r="H987" s="1014">
        <v>1.0172865047562067</v>
      </c>
      <c r="I987" s="1014">
        <v>1.0142759086240285</v>
      </c>
      <c r="K987">
        <v>2.403838503744903</v>
      </c>
      <c r="L987">
        <v>0</v>
      </c>
      <c r="M987">
        <v>1.7806675578464536E-3</v>
      </c>
      <c r="N987">
        <v>0.14605797916938518</v>
      </c>
      <c r="O987">
        <v>2.0812525995540867E-2</v>
      </c>
      <c r="P987">
        <v>2.7734724101497195E-2</v>
      </c>
      <c r="Q987">
        <v>5.2591813398155194E-3</v>
      </c>
      <c r="R987">
        <v>1.7575625680267344E-3</v>
      </c>
      <c r="S987">
        <v>0.26135340954725939</v>
      </c>
      <c r="T987">
        <v>1.364949695088308</v>
      </c>
      <c r="U987">
        <v>0.21051162635122425</v>
      </c>
      <c r="V987">
        <v>0.24932951777556897</v>
      </c>
      <c r="W987">
        <v>9.7961677383347018E-2</v>
      </c>
      <c r="X987">
        <v>1.5107766052949629E-2</v>
      </c>
      <c r="Y987">
        <v>4.7835059298239344E-3</v>
      </c>
    </row>
    <row r="988" spans="1:25">
      <c r="A988" s="1010"/>
      <c r="B988" s="1351">
        <v>738</v>
      </c>
      <c r="C988" s="1014">
        <v>1.0069839097095294</v>
      </c>
      <c r="D988" s="1014">
        <v>1.0215913390497251</v>
      </c>
      <c r="E988" s="1014">
        <v>0.99242030123243807</v>
      </c>
      <c r="F988" s="1014">
        <v>1.0116651842389282</v>
      </c>
      <c r="G988" s="1014">
        <v>0.97904105967667188</v>
      </c>
      <c r="H988" s="1014">
        <v>0.98089039673823164</v>
      </c>
      <c r="I988" s="1014">
        <v>1.0285257629048716</v>
      </c>
      <c r="K988">
        <v>2.4128536333474995</v>
      </c>
      <c r="L988">
        <v>0</v>
      </c>
      <c r="M988">
        <v>1.6169951220801689E-3</v>
      </c>
      <c r="N988">
        <v>0.1437904286186498</v>
      </c>
      <c r="O988">
        <v>2.0737372448383619E-2</v>
      </c>
      <c r="P988">
        <v>2.8482585434709926E-2</v>
      </c>
      <c r="Q988">
        <v>5.3852773857038386E-3</v>
      </c>
      <c r="R988">
        <v>1.5952353448171939E-3</v>
      </c>
      <c r="S988">
        <v>0.25963486272968656</v>
      </c>
      <c r="T988">
        <v>1.3874732956827478</v>
      </c>
      <c r="U988">
        <v>0.21047753514121909</v>
      </c>
      <c r="V988">
        <v>0.24154576193074143</v>
      </c>
      <c r="W988">
        <v>9.4888319750117439E-2</v>
      </c>
      <c r="X988">
        <v>1.6118249263396556E-2</v>
      </c>
      <c r="Y988">
        <v>4.3417047394023129E-3</v>
      </c>
    </row>
    <row r="989" spans="1:25">
      <c r="A989" s="1010"/>
      <c r="B989" s="1351">
        <v>739</v>
      </c>
      <c r="C989" s="1014">
        <v>0.95481494902123132</v>
      </c>
      <c r="D989" s="1014">
        <v>1.0136090856467339</v>
      </c>
      <c r="E989" s="1014">
        <v>1.0287127913192158</v>
      </c>
      <c r="F989" s="1014">
        <v>0.98633661336354039</v>
      </c>
      <c r="G989" s="1014">
        <v>0.96600235387153455</v>
      </c>
      <c r="H989" s="1014">
        <v>1.0213009911606974</v>
      </c>
      <c r="I989" s="1014">
        <v>0.99437439452892085</v>
      </c>
      <c r="K989">
        <v>2.4366410581768267</v>
      </c>
      <c r="L989">
        <v>0</v>
      </c>
      <c r="M989">
        <v>1.6494814303750465E-3</v>
      </c>
      <c r="N989">
        <v>0.16375154554572899</v>
      </c>
      <c r="O989">
        <v>2.1933383371671222E-2</v>
      </c>
      <c r="P989">
        <v>2.9098967182920508E-2</v>
      </c>
      <c r="Q989">
        <v>5.9062439795024282E-3</v>
      </c>
      <c r="R989">
        <v>1.6281627707488949E-3</v>
      </c>
      <c r="S989">
        <v>0.26964795582207574</v>
      </c>
      <c r="T989">
        <v>1.3535116262118574</v>
      </c>
      <c r="U989">
        <v>0.22210769491677548</v>
      </c>
      <c r="V989">
        <v>0.24258262918461629</v>
      </c>
      <c r="W989">
        <v>0.10577369587895798</v>
      </c>
      <c r="X989">
        <v>1.7917312404079414E-2</v>
      </c>
      <c r="Y989">
        <v>4.4313223382653616E-3</v>
      </c>
    </row>
    <row r="990" spans="1:25">
      <c r="A990" s="1010"/>
      <c r="B990" s="1351">
        <v>740</v>
      </c>
      <c r="C990" s="1014">
        <v>1.0196344225780609</v>
      </c>
      <c r="D990" s="1014">
        <v>1.0320048304356244</v>
      </c>
      <c r="E990" s="1014">
        <v>1.010378352924256</v>
      </c>
      <c r="F990" s="1014">
        <v>1.015980119591499</v>
      </c>
      <c r="G990" s="1014">
        <v>0.99491475888053416</v>
      </c>
      <c r="H990" s="1014">
        <v>0.99688648892340737</v>
      </c>
      <c r="I990" s="1014">
        <v>0.97543928521337053</v>
      </c>
      <c r="K990">
        <v>2.4060689017951904</v>
      </c>
      <c r="L990">
        <v>0</v>
      </c>
      <c r="M990">
        <v>1.5601337385799609E-3</v>
      </c>
      <c r="N990">
        <v>0.14650027306647445</v>
      </c>
      <c r="O990">
        <v>2.0446052211383677E-2</v>
      </c>
      <c r="P990">
        <v>2.8719896057901859E-2</v>
      </c>
      <c r="Q990">
        <v>5.4062642736889249E-3</v>
      </c>
      <c r="R990">
        <v>1.5394760209274678E-3</v>
      </c>
      <c r="S990">
        <v>0.24338170078145724</v>
      </c>
      <c r="T990">
        <v>1.3937858377770613</v>
      </c>
      <c r="U990">
        <v>0.20792637486134438</v>
      </c>
      <c r="V990">
        <v>0.24342429245158237</v>
      </c>
      <c r="W990">
        <v>9.5651312433498711E-2</v>
      </c>
      <c r="X990">
        <v>1.665760935761813E-2</v>
      </c>
      <c r="Y990">
        <v>4.1899462408306583E-3</v>
      </c>
    </row>
    <row r="991" spans="1:25">
      <c r="A991" s="1010"/>
      <c r="B991" s="1351">
        <v>741</v>
      </c>
      <c r="C991" s="1014">
        <v>0.99951528436336334</v>
      </c>
      <c r="D991" s="1014">
        <v>0.99930269991042786</v>
      </c>
      <c r="E991" s="1014">
        <v>0.98966137908530094</v>
      </c>
      <c r="F991" s="1014">
        <v>0.96481592904813485</v>
      </c>
      <c r="G991" s="1014">
        <v>0.9750861116847328</v>
      </c>
      <c r="H991" s="1014">
        <v>1.0001654351085565</v>
      </c>
      <c r="I991" s="1014">
        <v>0.9824392022608095</v>
      </c>
      <c r="K991">
        <v>2.3509279768572982</v>
      </c>
      <c r="L991">
        <v>0</v>
      </c>
      <c r="M991">
        <v>1.678737213636044E-3</v>
      </c>
      <c r="N991">
        <v>0.14807978658006668</v>
      </c>
      <c r="O991">
        <v>2.0992134503541583E-2</v>
      </c>
      <c r="P991">
        <v>2.7497914220316912E-2</v>
      </c>
      <c r="Q991">
        <v>5.4362643348840342E-3</v>
      </c>
      <c r="R991">
        <v>1.6565819412086877E-3</v>
      </c>
      <c r="S991">
        <v>0.25422153122941382</v>
      </c>
      <c r="T991">
        <v>1.3231632569978704</v>
      </c>
      <c r="U991">
        <v>0.21204085350944576</v>
      </c>
      <c r="V991">
        <v>0.2413428040235388</v>
      </c>
      <c r="W991">
        <v>9.7880403920759002E-2</v>
      </c>
      <c r="X991">
        <v>1.5786512858008833E-2</v>
      </c>
      <c r="Y991">
        <v>4.5086699518798934E-3</v>
      </c>
    </row>
    <row r="992" spans="1:25">
      <c r="A992" s="1010"/>
      <c r="B992" s="1351">
        <v>742</v>
      </c>
      <c r="C992" s="1014">
        <v>0.99474836859271831</v>
      </c>
      <c r="D992" s="1014">
        <v>1.00187023699903</v>
      </c>
      <c r="E992" s="1014">
        <v>0.96056003112703781</v>
      </c>
      <c r="F992" s="1014">
        <v>0.98933264426812417</v>
      </c>
      <c r="G992" s="1014">
        <v>0.9763682367717067</v>
      </c>
      <c r="H992" s="1014">
        <v>0.96941487199042853</v>
      </c>
      <c r="I992" s="1014">
        <v>0.99631616503143061</v>
      </c>
      <c r="K992">
        <v>2.3745702171252514</v>
      </c>
      <c r="L992">
        <v>0</v>
      </c>
      <c r="M992">
        <v>1.7352607865489149E-3</v>
      </c>
      <c r="N992">
        <v>0.14010053334012915</v>
      </c>
      <c r="O992">
        <v>2.1061496915716928E-2</v>
      </c>
      <c r="P992">
        <v>2.737377388829771E-2</v>
      </c>
      <c r="Q992">
        <v>5.2948318726000121E-3</v>
      </c>
      <c r="R992">
        <v>1.7116330949783142E-3</v>
      </c>
      <c r="S992">
        <v>0.25586242479483418</v>
      </c>
      <c r="T992">
        <v>1.3561663802020756</v>
      </c>
      <c r="U992">
        <v>0.21295737421940156</v>
      </c>
      <c r="V992">
        <v>0.24196437607181007</v>
      </c>
      <c r="W992">
        <v>9.4254278937613206E-2</v>
      </c>
      <c r="X992">
        <v>1.4899873529511009E-2</v>
      </c>
      <c r="Y992">
        <v>4.6585010448328542E-3</v>
      </c>
    </row>
    <row r="993" spans="1:25">
      <c r="A993" s="1010"/>
      <c r="B993" s="1351">
        <v>743</v>
      </c>
      <c r="C993" s="1014">
        <v>0.96973938366349766</v>
      </c>
      <c r="D993" s="1014">
        <v>0.95963940747734211</v>
      </c>
      <c r="E993" s="1014">
        <v>1.0320572381619924</v>
      </c>
      <c r="F993" s="1014">
        <v>1.0221807922465622</v>
      </c>
      <c r="G993" s="1014">
        <v>1.0164586018464932</v>
      </c>
      <c r="H993" s="1014">
        <v>1.0243432906284862</v>
      </c>
      <c r="I993" s="1014">
        <v>0.98953415455381666</v>
      </c>
      <c r="K993">
        <v>2.4939156036682637</v>
      </c>
      <c r="L993">
        <v>0</v>
      </c>
      <c r="M993">
        <v>1.6372096745765992E-3</v>
      </c>
      <c r="N993">
        <v>0.16418657205294371</v>
      </c>
      <c r="O993">
        <v>2.185967191403777E-2</v>
      </c>
      <c r="P993">
        <v>2.9946934093724176E-2</v>
      </c>
      <c r="Q993">
        <v>5.9058871431587083E-3</v>
      </c>
      <c r="R993">
        <v>1.6161124661462347E-3</v>
      </c>
      <c r="S993">
        <v>0.27183823035556515</v>
      </c>
      <c r="T993">
        <v>1.402773583693224</v>
      </c>
      <c r="U993">
        <v>0.21870126696948419</v>
      </c>
      <c r="V993">
        <v>0.25017431719146782</v>
      </c>
      <c r="W993">
        <v>0.10584906727839362</v>
      </c>
      <c r="X993">
        <v>1.8302644803172497E-2</v>
      </c>
      <c r="Y993">
        <v>4.3985253815187657E-3</v>
      </c>
    </row>
    <row r="994" spans="1:25">
      <c r="A994" s="1010"/>
      <c r="B994" s="1351">
        <v>744</v>
      </c>
      <c r="C994" s="1014">
        <v>0.96360973023047114</v>
      </c>
      <c r="D994" s="1014">
        <v>1.0065866024442802</v>
      </c>
      <c r="E994" s="1014">
        <v>0.9889032342294235</v>
      </c>
      <c r="F994" s="1014">
        <v>0.9920273415536196</v>
      </c>
      <c r="G994" s="1014">
        <v>1.0196865630463716</v>
      </c>
      <c r="H994" s="1014">
        <v>0.99649536201404987</v>
      </c>
      <c r="I994" s="1014">
        <v>1.0397921030414619</v>
      </c>
      <c r="K994">
        <v>2.4399536869715632</v>
      </c>
      <c r="L994">
        <v>0</v>
      </c>
      <c r="M994">
        <v>1.7348517182567825E-3</v>
      </c>
      <c r="N994">
        <v>0.15267168077000054</v>
      </c>
      <c r="O994">
        <v>2.1739050222746571E-2</v>
      </c>
      <c r="P994">
        <v>2.8546729300743538E-2</v>
      </c>
      <c r="Q994">
        <v>5.625376518540854E-3</v>
      </c>
      <c r="R994">
        <v>1.7118715450751454E-3</v>
      </c>
      <c r="S994">
        <v>0.27773277618133813</v>
      </c>
      <c r="T994">
        <v>1.3604651713972096</v>
      </c>
      <c r="U994">
        <v>0.21993913120464167</v>
      </c>
      <c r="V994">
        <v>0.2512899055005981</v>
      </c>
      <c r="W994">
        <v>0.1009615053927115</v>
      </c>
      <c r="X994">
        <v>1.6346190628821561E-2</v>
      </c>
      <c r="Y994">
        <v>4.6591500273913747E-3</v>
      </c>
    </row>
    <row r="995" spans="1:25">
      <c r="A995" s="1010"/>
      <c r="B995" s="1351">
        <v>745</v>
      </c>
      <c r="C995" s="1014">
        <v>0.96829549176667196</v>
      </c>
      <c r="D995" s="1014">
        <v>1.0019239651459531</v>
      </c>
      <c r="E995" s="1014">
        <v>1.0015736261021115</v>
      </c>
      <c r="F995" s="1014">
        <v>0.99084580834221936</v>
      </c>
      <c r="G995" s="1014">
        <v>0.99425191123224432</v>
      </c>
      <c r="H995" s="1014">
        <v>1.0016587264625196</v>
      </c>
      <c r="I995" s="1014">
        <v>1.0166406586530237</v>
      </c>
      <c r="K995">
        <v>2.4296066848589675</v>
      </c>
      <c r="L995">
        <v>0</v>
      </c>
      <c r="M995">
        <v>1.6921464885990924E-3</v>
      </c>
      <c r="N995">
        <v>0.15473720128260285</v>
      </c>
      <c r="O995">
        <v>2.166463400093737E-2</v>
      </c>
      <c r="P995">
        <v>2.863608594168901E-2</v>
      </c>
      <c r="Q995">
        <v>5.6781673702911767E-3</v>
      </c>
      <c r="R995">
        <v>1.6698475394827377E-3</v>
      </c>
      <c r="S995">
        <v>0.27143313654658563</v>
      </c>
      <c r="T995">
        <v>1.3591160855203175</v>
      </c>
      <c r="U995">
        <v>0.21891949970792621</v>
      </c>
      <c r="V995">
        <v>0.24658690516205251</v>
      </c>
      <c r="W995">
        <v>0.10155685313406215</v>
      </c>
      <c r="X995">
        <v>1.6755640604239293E-2</v>
      </c>
      <c r="Y995">
        <v>4.5447745373785606E-3</v>
      </c>
    </row>
    <row r="996" spans="1:25">
      <c r="A996" s="1010"/>
      <c r="B996" s="1351">
        <v>746</v>
      </c>
      <c r="C996" s="1014">
        <v>1.0211424333809946</v>
      </c>
      <c r="D996" s="1014">
        <v>1.0001982746980178</v>
      </c>
      <c r="E996" s="1014">
        <v>1.0101318654065328</v>
      </c>
      <c r="F996" s="1014">
        <v>1.0113374060501601</v>
      </c>
      <c r="G996" s="1014">
        <v>1.0008368455130054</v>
      </c>
      <c r="H996" s="1014">
        <v>0.98565041540056797</v>
      </c>
      <c r="I996" s="1014">
        <v>1.0018477989917041</v>
      </c>
      <c r="K996">
        <v>2.4081951628252787</v>
      </c>
      <c r="L996">
        <v>0</v>
      </c>
      <c r="M996">
        <v>1.5517102660288649E-3</v>
      </c>
      <c r="N996">
        <v>0.14557863011005878</v>
      </c>
      <c r="O996">
        <v>2.0556789050191537E-2</v>
      </c>
      <c r="P996">
        <v>2.8762103828224427E-2</v>
      </c>
      <c r="Q996">
        <v>5.4342059142155601E-3</v>
      </c>
      <c r="R996">
        <v>1.5309298641371729E-3</v>
      </c>
      <c r="S996">
        <v>0.25259189540513433</v>
      </c>
      <c r="T996">
        <v>1.3874112669192076</v>
      </c>
      <c r="U996">
        <v>0.20761848528847671</v>
      </c>
      <c r="V996">
        <v>0.24434581726245688</v>
      </c>
      <c r="W996">
        <v>9.5063377140907943E-2</v>
      </c>
      <c r="X996">
        <v>1.6686685889010532E-2</v>
      </c>
      <c r="Y996">
        <v>4.1666864192873047E-3</v>
      </c>
    </row>
    <row r="997" spans="1:25">
      <c r="A997" s="1010"/>
      <c r="B997" s="1351">
        <v>747</v>
      </c>
      <c r="C997" s="1014">
        <v>1.0423003711702465</v>
      </c>
      <c r="D997" s="1014">
        <v>1.0231105505167413</v>
      </c>
      <c r="E997" s="1014">
        <v>1.0181838906951572</v>
      </c>
      <c r="F997" s="1014">
        <v>0.99513958891022369</v>
      </c>
      <c r="G997" s="1014">
        <v>1.017417617150471</v>
      </c>
      <c r="H997" s="1014">
        <v>0.9839894620609887</v>
      </c>
      <c r="I997" s="1014">
        <v>1.0186507435539065</v>
      </c>
      <c r="K997">
        <v>2.3734927142512463</v>
      </c>
      <c r="L997">
        <v>0</v>
      </c>
      <c r="M997">
        <v>1.4850396327603071E-3</v>
      </c>
      <c r="N997">
        <v>0.14274771114738011</v>
      </c>
      <c r="O997">
        <v>2.004451131329494E-2</v>
      </c>
      <c r="P997">
        <v>2.853798575401105E-2</v>
      </c>
      <c r="Q997">
        <v>5.3415090269010989E-3</v>
      </c>
      <c r="R997">
        <v>1.4651185098393457E-3</v>
      </c>
      <c r="S997">
        <v>0.2487038405792123</v>
      </c>
      <c r="T997">
        <v>1.3653639534961282</v>
      </c>
      <c r="U997">
        <v>0.2034304455620532</v>
      </c>
      <c r="V997">
        <v>0.24590658271348462</v>
      </c>
      <c r="W997">
        <v>9.2774673081285758E-2</v>
      </c>
      <c r="X997">
        <v>1.6673853092821055E-2</v>
      </c>
      <c r="Y997">
        <v>3.9875696075957322E-3</v>
      </c>
    </row>
    <row r="998" spans="1:25">
      <c r="A998" s="1010"/>
      <c r="B998" s="1351">
        <v>748</v>
      </c>
      <c r="C998" s="1014">
        <v>0.9845727429461345</v>
      </c>
      <c r="D998" s="1014">
        <v>0.98943031317204166</v>
      </c>
      <c r="E998" s="1014">
        <v>0.99635249067134346</v>
      </c>
      <c r="F998" s="1014">
        <v>0.97784097393004898</v>
      </c>
      <c r="G998" s="1014">
        <v>0.97243526638742017</v>
      </c>
      <c r="H998" s="1014">
        <v>1.0273909441550684</v>
      </c>
      <c r="I998" s="1014">
        <v>0.99275456192012668</v>
      </c>
      <c r="K998">
        <v>2.3970791160921099</v>
      </c>
      <c r="L998">
        <v>0</v>
      </c>
      <c r="M998">
        <v>1.7302771286197463E-3</v>
      </c>
      <c r="N998">
        <v>0.15579966524430153</v>
      </c>
      <c r="O998">
        <v>2.1361839994370243E-2</v>
      </c>
      <c r="P998">
        <v>2.8071525633536938E-2</v>
      </c>
      <c r="Q998">
        <v>5.5694835671948485E-3</v>
      </c>
      <c r="R998">
        <v>1.7080467862044357E-3</v>
      </c>
      <c r="S998">
        <v>0.26448713947666486</v>
      </c>
      <c r="T998">
        <v>1.3411673112317324</v>
      </c>
      <c r="U998">
        <v>0.2152821332851072</v>
      </c>
      <c r="V998">
        <v>0.24181405940527714</v>
      </c>
      <c r="W998">
        <v>0.10257223221153498</v>
      </c>
      <c r="X998">
        <v>1.6327216090228146E-2</v>
      </c>
      <c r="Y998">
        <v>4.6487402945767269E-3</v>
      </c>
    </row>
    <row r="999" spans="1:25">
      <c r="A999" s="1010"/>
      <c r="B999" s="1351">
        <v>749</v>
      </c>
      <c r="C999" s="1014">
        <v>0.9677942841382271</v>
      </c>
      <c r="D999" s="1014">
        <v>0.99073691734131009</v>
      </c>
      <c r="E999" s="1014">
        <v>0.9984676485860029</v>
      </c>
      <c r="F999" s="1014">
        <v>0.96450004402321832</v>
      </c>
      <c r="G999" s="1014">
        <v>1.0455489032561267</v>
      </c>
      <c r="H999" s="1014">
        <v>1.0012366652943221</v>
      </c>
      <c r="I999" s="1014">
        <v>0.98121011679287362</v>
      </c>
      <c r="K999">
        <v>2.3937823368610598</v>
      </c>
      <c r="L999">
        <v>0</v>
      </c>
      <c r="M999">
        <v>1.7074604444141498E-3</v>
      </c>
      <c r="N999">
        <v>0.15467839215937668</v>
      </c>
      <c r="O999">
        <v>2.1727330253835855E-2</v>
      </c>
      <c r="P999">
        <v>2.8089982532269183E-2</v>
      </c>
      <c r="Q999">
        <v>5.6768486917950457E-3</v>
      </c>
      <c r="R999">
        <v>1.6849502044465122E-3</v>
      </c>
      <c r="S999">
        <v>0.26352586038765785</v>
      </c>
      <c r="T999">
        <v>1.322913528998594</v>
      </c>
      <c r="U999">
        <v>0.21902190487220632</v>
      </c>
      <c r="V999">
        <v>0.25539163709687412</v>
      </c>
      <c r="W999">
        <v>0.10170583074083531</v>
      </c>
      <c r="X999">
        <v>1.648765235476295E-2</v>
      </c>
      <c r="Y999">
        <v>4.5858790128177895E-3</v>
      </c>
    </row>
    <row r="1000" spans="1:25">
      <c r="A1000" s="1010"/>
      <c r="B1000" s="1351">
        <v>750</v>
      </c>
      <c r="C1000" s="1014">
        <v>1.01716481433618</v>
      </c>
      <c r="D1000" s="1014">
        <v>0.97910692311079939</v>
      </c>
      <c r="E1000" s="1014">
        <v>0.97365059146683774</v>
      </c>
      <c r="F1000" s="1014">
        <v>1.0279433436858214</v>
      </c>
      <c r="G1000" s="1014">
        <v>1.0141290101892653</v>
      </c>
      <c r="H1000" s="1014">
        <v>0.98580213757268342</v>
      </c>
      <c r="I1000" s="1014">
        <v>0.98852844213828872</v>
      </c>
      <c r="K1000">
        <v>2.4281622016966078</v>
      </c>
      <c r="L1000">
        <v>0</v>
      </c>
      <c r="M1000">
        <v>1.6882290479441381E-3</v>
      </c>
      <c r="N1000">
        <v>0.14184817075038239</v>
      </c>
      <c r="O1000">
        <v>2.0710283998959279E-2</v>
      </c>
      <c r="P1000">
        <v>2.8323947632082604E-2</v>
      </c>
      <c r="Q1000">
        <v>5.2767810627580907E-3</v>
      </c>
      <c r="R1000">
        <v>1.6656238751354259E-3</v>
      </c>
      <c r="S1000">
        <v>0.25262899355169466</v>
      </c>
      <c r="T1000">
        <v>1.4093825381754843</v>
      </c>
      <c r="U1000">
        <v>0.20830793951360671</v>
      </c>
      <c r="V1000">
        <v>0.24698899397880156</v>
      </c>
      <c r="W1000">
        <v>9.4670978200041209E-2</v>
      </c>
      <c r="X1000">
        <v>1.5512900890249124E-2</v>
      </c>
      <c r="Y1000">
        <v>4.5332791153557574E-3</v>
      </c>
    </row>
    <row r="1001" spans="1:25">
      <c r="A1001" s="1010"/>
      <c r="B1001" s="1351">
        <v>751</v>
      </c>
      <c r="C1001" s="1014">
        <v>1.0189127378531777</v>
      </c>
      <c r="D1001" s="1014">
        <v>1.0247885616376367</v>
      </c>
      <c r="E1001" s="1014">
        <v>0.99893609612078571</v>
      </c>
      <c r="F1001" s="1014">
        <v>1.0176172309379337</v>
      </c>
      <c r="G1001" s="1014">
        <v>1.0010926131917222</v>
      </c>
      <c r="H1001" s="1014">
        <v>1.0065604706321913</v>
      </c>
      <c r="I1001" s="1014">
        <v>1.012065568678828</v>
      </c>
      <c r="K1001">
        <v>2.4209364199127554</v>
      </c>
      <c r="L1001">
        <v>0</v>
      </c>
      <c r="M1001">
        <v>1.6167736219242388E-3</v>
      </c>
      <c r="N1001">
        <v>0.14668091353714444</v>
      </c>
      <c r="O1001">
        <v>2.0484725881763158E-2</v>
      </c>
      <c r="P1001">
        <v>2.8670165309314505E-2</v>
      </c>
      <c r="Q1001">
        <v>5.3547075285973684E-3</v>
      </c>
      <c r="R1001">
        <v>1.5955716838142733E-3</v>
      </c>
      <c r="S1001">
        <v>0.25430402179620759</v>
      </c>
      <c r="T1001">
        <v>1.3957796602327432</v>
      </c>
      <c r="U1001">
        <v>0.20803523275219035</v>
      </c>
      <c r="V1001">
        <v>0.24456340987436137</v>
      </c>
      <c r="W1001">
        <v>9.6420364403050088E-2</v>
      </c>
      <c r="X1001">
        <v>1.6321800392214484E-2</v>
      </c>
      <c r="Y1001">
        <v>4.3426201432782436E-3</v>
      </c>
    </row>
    <row r="1002" spans="1:25">
      <c r="A1002" s="1010"/>
      <c r="B1002" s="1351">
        <v>752</v>
      </c>
      <c r="C1002" s="1014">
        <v>1.0085239179082042</v>
      </c>
      <c r="D1002" s="1014">
        <v>0.9821409968173479</v>
      </c>
      <c r="E1002" s="1014">
        <v>1.0197329633937884</v>
      </c>
      <c r="F1002" s="1014">
        <v>0.99087740402226909</v>
      </c>
      <c r="G1002" s="1014">
        <v>0.99328103742557883</v>
      </c>
      <c r="H1002" s="1014">
        <v>1.0074696420255562</v>
      </c>
      <c r="I1002" s="1014">
        <v>1.0069617400086799</v>
      </c>
      <c r="K1002">
        <v>2.4033290735380559</v>
      </c>
      <c r="L1002">
        <v>0</v>
      </c>
      <c r="M1002">
        <v>1.5804887936685873E-3</v>
      </c>
      <c r="N1002">
        <v>0.15268270304761913</v>
      </c>
      <c r="O1002">
        <v>2.090394272908401E-2</v>
      </c>
      <c r="P1002">
        <v>2.8730332827018555E-2</v>
      </c>
      <c r="Q1002">
        <v>5.579122517984857E-3</v>
      </c>
      <c r="R1002">
        <v>1.559781388993523E-3</v>
      </c>
      <c r="S1002">
        <v>0.2613662768599212</v>
      </c>
      <c r="T1002">
        <v>1.3595494190207253</v>
      </c>
      <c r="U1002">
        <v>0.21024879588362538</v>
      </c>
      <c r="V1002">
        <v>0.24378684724073166</v>
      </c>
      <c r="W1002">
        <v>9.9141663134211286E-2</v>
      </c>
      <c r="X1002">
        <v>1.7115466922766186E-2</v>
      </c>
      <c r="Y1002">
        <v>4.2452107590436787E-3</v>
      </c>
    </row>
    <row r="1003" spans="1:25">
      <c r="A1003" s="1010"/>
      <c r="B1003" s="1351">
        <v>753</v>
      </c>
      <c r="C1003" s="1014">
        <v>1.0180308756653413</v>
      </c>
      <c r="D1003" s="1014">
        <v>0.99816178391723787</v>
      </c>
      <c r="E1003" s="1014">
        <v>0.98368941824342249</v>
      </c>
      <c r="F1003" s="1014">
        <v>0.99672688846605018</v>
      </c>
      <c r="G1003" s="1014">
        <v>1.010603267759989</v>
      </c>
      <c r="H1003" s="1014">
        <v>1.0273279817493877</v>
      </c>
      <c r="I1003" s="1014">
        <v>1.0209831547987724</v>
      </c>
      <c r="K1003">
        <v>2.4044991142004957</v>
      </c>
      <c r="L1003">
        <v>0</v>
      </c>
      <c r="M1003">
        <v>1.714455859331995E-3</v>
      </c>
      <c r="N1003">
        <v>0.14857626782745195</v>
      </c>
      <c r="O1003">
        <v>2.0611630738804908E-2</v>
      </c>
      <c r="P1003">
        <v>2.80792620407622E-2</v>
      </c>
      <c r="Q1003">
        <v>5.3055445163769071E-3</v>
      </c>
      <c r="R1003">
        <v>1.6924274362390367E-3</v>
      </c>
      <c r="S1003">
        <v>0.26180687826402965</v>
      </c>
      <c r="T1003">
        <v>1.3667980432584477</v>
      </c>
      <c r="U1003">
        <v>0.20816431883992767</v>
      </c>
      <c r="V1003">
        <v>0.24629682304007178</v>
      </c>
      <c r="W1003">
        <v>9.8561483281788362E-2</v>
      </c>
      <c r="X1003">
        <v>1.5714661243038018E-2</v>
      </c>
      <c r="Y1003">
        <v>4.6062295728882437E-3</v>
      </c>
    </row>
    <row r="1004" spans="1:25">
      <c r="A1004" s="1010"/>
      <c r="B1004" s="1351">
        <v>754</v>
      </c>
      <c r="C1004" s="1014">
        <v>0.95504190503297715</v>
      </c>
      <c r="D1004" s="1014">
        <v>1.0022628530738529</v>
      </c>
      <c r="E1004" s="1014">
        <v>0.98832474994870201</v>
      </c>
      <c r="F1004" s="1014">
        <v>0.96883450507801439</v>
      </c>
      <c r="G1004" s="1014">
        <v>0.96486474700265157</v>
      </c>
      <c r="H1004" s="1014">
        <v>0.98934513832270932</v>
      </c>
      <c r="I1004" s="1014">
        <v>1.0298664825458514</v>
      </c>
      <c r="K1004">
        <v>2.4012297035960892</v>
      </c>
      <c r="L1004">
        <v>0</v>
      </c>
      <c r="M1004">
        <v>1.7415869021413402E-3</v>
      </c>
      <c r="N1004">
        <v>0.15298169785988838</v>
      </c>
      <c r="O1004">
        <v>2.1954455648400963E-2</v>
      </c>
      <c r="P1004">
        <v>2.8008486771488861E-2</v>
      </c>
      <c r="Q1004">
        <v>5.6777932080262789E-3</v>
      </c>
      <c r="R1004">
        <v>1.7183507856924772E-3</v>
      </c>
      <c r="S1004">
        <v>0.27748770985248061</v>
      </c>
      <c r="T1004">
        <v>1.328646448236845</v>
      </c>
      <c r="U1004">
        <v>0.22191017164254667</v>
      </c>
      <c r="V1004">
        <v>0.24250774885895243</v>
      </c>
      <c r="W1004">
        <v>0.10120162266837755</v>
      </c>
      <c r="X1004">
        <v>1.6200020581060071E-2</v>
      </c>
      <c r="Y1004">
        <v>4.6767843844706574E-3</v>
      </c>
    </row>
    <row r="1005" spans="1:25">
      <c r="A1005" s="1010"/>
      <c r="B1005" s="1351">
        <v>755</v>
      </c>
      <c r="C1005" s="1014">
        <v>0.99927005153202719</v>
      </c>
      <c r="D1005" s="1014">
        <v>1.0059941069688934</v>
      </c>
      <c r="E1005" s="1014">
        <v>1.0058559606015407</v>
      </c>
      <c r="F1005" s="1014">
        <v>1.0115870592404912</v>
      </c>
      <c r="G1005" s="1014">
        <v>1.043715210453628</v>
      </c>
      <c r="H1005" s="1014">
        <v>1.0274421649173981</v>
      </c>
      <c r="I1005" s="1014">
        <v>1.0221599262993561</v>
      </c>
      <c r="K1005">
        <v>2.4512284124306709</v>
      </c>
      <c r="L1005">
        <v>0</v>
      </c>
      <c r="M1005">
        <v>1.6655330372818513E-3</v>
      </c>
      <c r="N1005">
        <v>0.15433799420663241</v>
      </c>
      <c r="O1005">
        <v>2.0977217970030777E-2</v>
      </c>
      <c r="P1005">
        <v>2.9041951376912456E-2</v>
      </c>
      <c r="Q1005">
        <v>5.5216682944521141E-3</v>
      </c>
      <c r="R1005">
        <v>1.6441355840670561E-3</v>
      </c>
      <c r="S1005">
        <v>0.26618845993029133</v>
      </c>
      <c r="T1005">
        <v>1.3876600543843882</v>
      </c>
      <c r="U1005">
        <v>0.21214826842696299</v>
      </c>
      <c r="V1005">
        <v>0.25301985110769104</v>
      </c>
      <c r="W1005">
        <v>0.10103811257351368</v>
      </c>
      <c r="X1005">
        <v>1.6841436542326622E-2</v>
      </c>
      <c r="Y1005">
        <v>4.4747950706809023E-3</v>
      </c>
    </row>
    <row r="1006" spans="1:25">
      <c r="A1006" s="1010"/>
      <c r="B1006" s="1351">
        <v>756</v>
      </c>
      <c r="C1006" s="1014">
        <v>1.005552303526285</v>
      </c>
      <c r="D1006" s="1014">
        <v>0.98577957073972666</v>
      </c>
      <c r="E1006" s="1014">
        <v>1.0005226563267544</v>
      </c>
      <c r="F1006" s="1014">
        <v>0.9845281878776696</v>
      </c>
      <c r="G1006" s="1014">
        <v>1.0399987655529681</v>
      </c>
      <c r="H1006" s="1014">
        <v>0.99075456846472787</v>
      </c>
      <c r="I1006" s="1014">
        <v>1.0005645733068498</v>
      </c>
      <c r="K1006">
        <v>2.3918156938611945</v>
      </c>
      <c r="L1006">
        <v>0</v>
      </c>
      <c r="M1006">
        <v>1.6210131050764644E-3</v>
      </c>
      <c r="N1006">
        <v>0.1477408537671194</v>
      </c>
      <c r="O1006">
        <v>2.0935929812663571E-2</v>
      </c>
      <c r="P1006">
        <v>2.8280583272525587E-2</v>
      </c>
      <c r="Q1006">
        <v>5.4813881747923917E-3</v>
      </c>
      <c r="R1006">
        <v>1.599416441616996E-3</v>
      </c>
      <c r="S1006">
        <v>0.25841264652634066</v>
      </c>
      <c r="T1006">
        <v>1.3504279946773028</v>
      </c>
      <c r="U1006">
        <v>0.21080471978822124</v>
      </c>
      <c r="V1006">
        <v>0.25201525882229309</v>
      </c>
      <c r="W1006">
        <v>9.7025559315942506E-2</v>
      </c>
      <c r="X1006">
        <v>1.6359272060860609E-2</v>
      </c>
      <c r="Y1006">
        <v>4.353084306593185E-3</v>
      </c>
    </row>
    <row r="1007" spans="1:25">
      <c r="A1007" s="1010"/>
      <c r="B1007" s="1351">
        <v>757</v>
      </c>
      <c r="C1007" s="1014">
        <v>0.96870622184727162</v>
      </c>
      <c r="D1007" s="1014">
        <v>0.99020151476714813</v>
      </c>
      <c r="E1007" s="1014">
        <v>1.0188837423362149</v>
      </c>
      <c r="F1007" s="1014">
        <v>0.99467327414573592</v>
      </c>
      <c r="G1007" s="1014">
        <v>0.99055657224494142</v>
      </c>
      <c r="H1007" s="1014">
        <v>0.98668474969912623</v>
      </c>
      <c r="I1007" s="1014">
        <v>1.0231040764945534</v>
      </c>
      <c r="K1007">
        <v>2.4374206876761781</v>
      </c>
      <c r="L1007">
        <v>0</v>
      </c>
      <c r="M1007">
        <v>1.6114555498036491E-3</v>
      </c>
      <c r="N1007">
        <v>0.15523247969230203</v>
      </c>
      <c r="O1007">
        <v>2.172349431715602E-2</v>
      </c>
      <c r="P1007">
        <v>2.9100012961250019E-2</v>
      </c>
      <c r="Q1007">
        <v>5.7929607314198403E-3</v>
      </c>
      <c r="R1007">
        <v>1.5898976656836719E-3</v>
      </c>
      <c r="S1007">
        <v>0.2734597837039161</v>
      </c>
      <c r="T1007">
        <v>1.3647392653959312</v>
      </c>
      <c r="U1007">
        <v>0.21888785596170618</v>
      </c>
      <c r="V1007">
        <v>0.24586852745860938</v>
      </c>
      <c r="W1007">
        <v>0.10084743277919739</v>
      </c>
      <c r="X1007">
        <v>1.74632552224415E-2</v>
      </c>
      <c r="Y1007">
        <v>4.32717733636632E-3</v>
      </c>
    </row>
    <row r="1008" spans="1:25">
      <c r="A1008" s="1010"/>
      <c r="B1008" s="1351">
        <v>758</v>
      </c>
      <c r="C1008" s="1014">
        <v>0.98347550537889195</v>
      </c>
      <c r="D1008" s="1014">
        <v>1.0087058421580994</v>
      </c>
      <c r="E1008" s="1014">
        <v>0.99358363660218096</v>
      </c>
      <c r="F1008" s="1014">
        <v>0.993455126979087</v>
      </c>
      <c r="G1008" s="1014">
        <v>1.0407545880917972</v>
      </c>
      <c r="H1008" s="1014">
        <v>1.0196153655216573</v>
      </c>
      <c r="I1008" s="1014">
        <v>1.0327178433589386</v>
      </c>
      <c r="K1008">
        <v>2.4351597835268342</v>
      </c>
      <c r="L1008">
        <v>0</v>
      </c>
      <c r="M1008">
        <v>1.7216684060523972E-3</v>
      </c>
      <c r="N1008">
        <v>0.153717356420671</v>
      </c>
      <c r="O1008">
        <v>2.1293225908038182E-2</v>
      </c>
      <c r="P1008">
        <v>2.8569293997799516E-2</v>
      </c>
      <c r="Q1008">
        <v>5.5361217349733051E-3</v>
      </c>
      <c r="R1008">
        <v>1.6993799822686759E-3</v>
      </c>
      <c r="S1008">
        <v>0.27208789788100274</v>
      </c>
      <c r="T1008">
        <v>1.3625236219758929</v>
      </c>
      <c r="U1008">
        <v>0.21551270187879101</v>
      </c>
      <c r="V1008">
        <v>0.2535633868123664</v>
      </c>
      <c r="W1008">
        <v>0.10136866784746489</v>
      </c>
      <c r="X1008">
        <v>1.6384645382342623E-2</v>
      </c>
      <c r="Y1008">
        <v>4.625152111274739E-3</v>
      </c>
    </row>
    <row r="1009" spans="1:25">
      <c r="A1009" s="1010"/>
      <c r="B1009" s="1351">
        <v>759</v>
      </c>
      <c r="C1009" s="1014">
        <v>0.99906122574958134</v>
      </c>
      <c r="D1009" s="1014">
        <v>0.97577118429986487</v>
      </c>
      <c r="E1009" s="1014">
        <v>0.99068759105608784</v>
      </c>
      <c r="F1009" s="1014">
        <v>1.0254570083354928</v>
      </c>
      <c r="G1009" s="1014">
        <v>1.0207797001342338</v>
      </c>
      <c r="H1009" s="1014">
        <v>0.99626672409760775</v>
      </c>
      <c r="I1009" s="1014">
        <v>1.0164748447899958</v>
      </c>
      <c r="K1009">
        <v>2.4565446185006881</v>
      </c>
      <c r="L1009">
        <v>0</v>
      </c>
      <c r="M1009">
        <v>1.6781762786780854E-3</v>
      </c>
      <c r="N1009">
        <v>0.14848253445523199</v>
      </c>
      <c r="O1009">
        <v>2.1112750186821901E-2</v>
      </c>
      <c r="P1009">
        <v>2.8913298193239859E-2</v>
      </c>
      <c r="Q1009">
        <v>5.4731733930785788E-3</v>
      </c>
      <c r="R1009">
        <v>1.6559417375240889E-3</v>
      </c>
      <c r="S1009">
        <v>0.26598722637242678</v>
      </c>
      <c r="T1009">
        <v>1.4063500712101513</v>
      </c>
      <c r="U1009">
        <v>0.21214072861005789</v>
      </c>
      <c r="V1009">
        <v>0.24917276892970974</v>
      </c>
      <c r="W1009">
        <v>9.808630926907104E-2</v>
      </c>
      <c r="X1009">
        <v>1.6341064893560853E-2</v>
      </c>
      <c r="Y1009">
        <v>4.5069275284935024E-3</v>
      </c>
    </row>
    <row r="1010" spans="1:25">
      <c r="A1010" s="1010"/>
      <c r="B1010" s="1351">
        <v>760</v>
      </c>
      <c r="C1010" s="1014">
        <v>0.98377061502529495</v>
      </c>
      <c r="D1010" s="1014">
        <v>1.0208521470884429</v>
      </c>
      <c r="E1010" s="1014">
        <v>1.022928911009912</v>
      </c>
      <c r="F1010" s="1014">
        <v>0.9793165018944896</v>
      </c>
      <c r="G1010" s="1014">
        <v>1.0302719161715179</v>
      </c>
      <c r="H1010" s="1014">
        <v>0.97965717927061513</v>
      </c>
      <c r="I1010" s="1014">
        <v>1.034860123133607</v>
      </c>
      <c r="K1010">
        <v>2.4052337432113458</v>
      </c>
      <c r="L1010">
        <v>0</v>
      </c>
      <c r="M1010">
        <v>1.5518289522087633E-3</v>
      </c>
      <c r="N1010">
        <v>0.1513092179415691</v>
      </c>
      <c r="O1010">
        <v>2.1250589895566274E-2</v>
      </c>
      <c r="P1010">
        <v>2.8848104215427915E-2</v>
      </c>
      <c r="Q1010">
        <v>5.6896758707706378E-3</v>
      </c>
      <c r="R1010">
        <v>1.5309198231583949E-3</v>
      </c>
      <c r="S1010">
        <v>0.26764330368984129</v>
      </c>
      <c r="T1010">
        <v>1.3437550724726481</v>
      </c>
      <c r="U1010">
        <v>0.2155501456754049</v>
      </c>
      <c r="V1010">
        <v>0.25164590771908846</v>
      </c>
      <c r="W1010">
        <v>9.8066472158501644E-2</v>
      </c>
      <c r="X1010">
        <v>1.7329503610522837E-2</v>
      </c>
      <c r="Y1010">
        <v>4.1666590910530788E-3</v>
      </c>
    </row>
    <row r="1011" spans="1:25">
      <c r="A1011" s="1010"/>
      <c r="B1011" s="1351">
        <v>761</v>
      </c>
      <c r="C1011" s="1014">
        <v>0.98996857831077856</v>
      </c>
      <c r="D1011" s="1014">
        <v>0.9622111768645093</v>
      </c>
      <c r="E1011" s="1014">
        <v>0.98439208928088362</v>
      </c>
      <c r="F1011" s="1014">
        <v>1.0000220193165457</v>
      </c>
      <c r="G1011" s="1014">
        <v>1.0023645694344134</v>
      </c>
      <c r="H1011" s="1014">
        <v>0.99820573452139449</v>
      </c>
      <c r="I1011" s="1014">
        <v>0.9790107275487504</v>
      </c>
      <c r="K1011">
        <v>2.4171663331170383</v>
      </c>
      <c r="L1011">
        <v>0</v>
      </c>
      <c r="M1011">
        <v>1.7244479314633362E-3</v>
      </c>
      <c r="N1011">
        <v>0.14970328482628334</v>
      </c>
      <c r="O1011">
        <v>2.1368116520002114E-2</v>
      </c>
      <c r="P1011">
        <v>2.822151992556083E-2</v>
      </c>
      <c r="Q1011">
        <v>5.504188855865148E-3</v>
      </c>
      <c r="R1011">
        <v>1.7016447079796551E-3</v>
      </c>
      <c r="S1011">
        <v>0.26048362608389436</v>
      </c>
      <c r="T1011">
        <v>1.3713317595581744</v>
      </c>
      <c r="U1011">
        <v>0.21406750092761892</v>
      </c>
      <c r="V1011">
        <v>0.24662355660333066</v>
      </c>
      <c r="W1011">
        <v>9.9267123701156104E-2</v>
      </c>
      <c r="X1011">
        <v>1.5987143390540935E-2</v>
      </c>
      <c r="Y1011">
        <v>4.631315948093395E-3</v>
      </c>
    </row>
    <row r="1012" spans="1:25">
      <c r="A1012" s="1010"/>
      <c r="B1012" s="1351">
        <v>762</v>
      </c>
      <c r="C1012" s="1014">
        <v>0.96363862153120239</v>
      </c>
      <c r="D1012" s="1014">
        <v>1.0072473766603285</v>
      </c>
      <c r="E1012" s="1014">
        <v>1.0041221075230071</v>
      </c>
      <c r="F1012" s="1014">
        <v>0.98572490792499479</v>
      </c>
      <c r="G1012" s="1014">
        <v>0.99744079561328602</v>
      </c>
      <c r="H1012" s="1014">
        <v>0.9931795061764247</v>
      </c>
      <c r="I1012" s="1014">
        <v>0.99546672453022622</v>
      </c>
      <c r="K1012">
        <v>2.4179866618048389</v>
      </c>
      <c r="L1012">
        <v>0</v>
      </c>
      <c r="M1012">
        <v>1.6750836468167501E-3</v>
      </c>
      <c r="N1012">
        <v>0.15434299355395267</v>
      </c>
      <c r="O1012">
        <v>2.1745719424352297E-2</v>
      </c>
      <c r="P1012">
        <v>2.8541809009582562E-2</v>
      </c>
      <c r="Q1012">
        <v>5.7140151264730198E-3</v>
      </c>
      <c r="R1012">
        <v>1.6528210937493402E-3</v>
      </c>
      <c r="S1012">
        <v>0.26563498908091138</v>
      </c>
      <c r="T1012">
        <v>1.3521462500240182</v>
      </c>
      <c r="U1012">
        <v>0.21998649189463124</v>
      </c>
      <c r="V1012">
        <v>0.24743387781037207</v>
      </c>
      <c r="W1012">
        <v>0.10114515345402907</v>
      </c>
      <c r="X1012">
        <v>1.6819190814723065E-2</v>
      </c>
      <c r="Y1012">
        <v>4.4984341648585816E-3</v>
      </c>
    </row>
    <row r="1013" spans="1:25">
      <c r="A1013" s="1010"/>
      <c r="B1013" s="1351">
        <v>763</v>
      </c>
      <c r="C1013" s="1014">
        <v>0.99373142296653005</v>
      </c>
      <c r="D1013" s="1014">
        <v>0.9970180220621131</v>
      </c>
      <c r="E1013" s="1014">
        <v>1.0003188821626279</v>
      </c>
      <c r="F1013" s="1014">
        <v>0.98530490138719151</v>
      </c>
      <c r="G1013" s="1014">
        <v>1.0154692433262678</v>
      </c>
      <c r="H1013" s="1014">
        <v>0.99381258315545928</v>
      </c>
      <c r="I1013" s="1014">
        <v>1.0100076838531429</v>
      </c>
      <c r="K1013">
        <v>2.3997063429233476</v>
      </c>
      <c r="L1013">
        <v>0</v>
      </c>
      <c r="M1013">
        <v>1.6419542680121794E-3</v>
      </c>
      <c r="N1013">
        <v>0.14956356768770068</v>
      </c>
      <c r="O1013">
        <v>2.1132067736581876E-2</v>
      </c>
      <c r="P1013">
        <v>2.8336687949676247E-2</v>
      </c>
      <c r="Q1013">
        <v>5.5316075834411461E-3</v>
      </c>
      <c r="R1013">
        <v>1.6201459192398866E-3</v>
      </c>
      <c r="S1013">
        <v>0.26271716746460977</v>
      </c>
      <c r="T1013">
        <v>1.3514890308010743</v>
      </c>
      <c r="U1013">
        <v>0.21331163540223913</v>
      </c>
      <c r="V1013">
        <v>0.24856524030524604</v>
      </c>
      <c r="W1013">
        <v>9.8234479354469287E-2</v>
      </c>
      <c r="X1013">
        <v>1.6437163875866981E-2</v>
      </c>
      <c r="Y1013">
        <v>4.4095031112122308E-3</v>
      </c>
    </row>
    <row r="1014" spans="1:25">
      <c r="A1014" s="1010"/>
      <c r="B1014" s="1351">
        <v>764</v>
      </c>
      <c r="C1014" s="1014">
        <v>0.99553284617963367</v>
      </c>
      <c r="D1014" s="1014">
        <v>0.9924442590330429</v>
      </c>
      <c r="E1014" s="1014">
        <v>0.99865614413432457</v>
      </c>
      <c r="F1014" s="1014">
        <v>1.0254049001631962</v>
      </c>
      <c r="G1014" s="1014">
        <v>1.0340180867181836</v>
      </c>
      <c r="H1014" s="1014">
        <v>0.99941437571220237</v>
      </c>
      <c r="I1014" s="1014">
        <v>0.99910707011964728</v>
      </c>
      <c r="K1014">
        <v>2.4569460679966859</v>
      </c>
      <c r="L1014">
        <v>0</v>
      </c>
      <c r="M1014">
        <v>1.6555895501783487E-3</v>
      </c>
      <c r="N1014">
        <v>0.15006121051171947</v>
      </c>
      <c r="O1014">
        <v>2.111406733999141E-2</v>
      </c>
      <c r="P1014">
        <v>2.9056699435155594E-2</v>
      </c>
      <c r="Q1014">
        <v>5.5176634564898198E-3</v>
      </c>
      <c r="R1014">
        <v>1.633723350845004E-3</v>
      </c>
      <c r="S1014">
        <v>0.26047638383075344</v>
      </c>
      <c r="T1014">
        <v>1.4064551415683195</v>
      </c>
      <c r="U1014">
        <v>0.21291993792697803</v>
      </c>
      <c r="V1014">
        <v>0.25162542826163553</v>
      </c>
      <c r="W1014">
        <v>9.8658824820065438E-2</v>
      </c>
      <c r="X1014">
        <v>1.6636120640669629E-2</v>
      </c>
      <c r="Y1014">
        <v>4.4464564042422366E-3</v>
      </c>
    </row>
    <row r="1015" spans="1:25">
      <c r="A1015" s="1010"/>
      <c r="B1015" s="1351">
        <v>765</v>
      </c>
      <c r="C1015" s="1014">
        <v>1.0349796958532296</v>
      </c>
      <c r="D1015" s="1014">
        <v>1.0035619216780596</v>
      </c>
      <c r="E1015" s="1014">
        <v>0.98852701374940022</v>
      </c>
      <c r="F1015" s="1014">
        <v>1.0214794289196583</v>
      </c>
      <c r="G1015" s="1014">
        <v>1.0072277354101897</v>
      </c>
      <c r="H1015" s="1014">
        <v>0.97482028600072868</v>
      </c>
      <c r="I1015" s="1014">
        <v>0.9979023604508046</v>
      </c>
      <c r="K1015">
        <v>2.4020140595224042</v>
      </c>
      <c r="L1015">
        <v>0</v>
      </c>
      <c r="M1015">
        <v>1.5823656316720535E-3</v>
      </c>
      <c r="N1015">
        <v>0.13905265071613604</v>
      </c>
      <c r="O1015">
        <v>2.0253136348040036E-2</v>
      </c>
      <c r="P1015">
        <v>2.8371486611055111E-2</v>
      </c>
      <c r="Q1015">
        <v>5.238875157625565E-3</v>
      </c>
      <c r="R1015">
        <v>1.5609392665287632E-3</v>
      </c>
      <c r="S1015">
        <v>0.24675896120403235</v>
      </c>
      <c r="T1015">
        <v>1.4008474379817963</v>
      </c>
      <c r="U1015">
        <v>0.20477136318079003</v>
      </c>
      <c r="V1015">
        <v>0.24469879719256304</v>
      </c>
      <c r="W1015">
        <v>9.1976013737428849E-2</v>
      </c>
      <c r="X1015">
        <v>1.5818401638080782E-2</v>
      </c>
      <c r="Y1015">
        <v>4.2483621200003745E-3</v>
      </c>
    </row>
    <row r="1016" spans="1:25">
      <c r="A1016" s="1010"/>
      <c r="B1016" s="1351">
        <v>766</v>
      </c>
      <c r="C1016" s="1014">
        <v>0.98246377774287585</v>
      </c>
      <c r="D1016" s="1014">
        <v>0.97588132492524426</v>
      </c>
      <c r="E1016" s="1014">
        <v>0.97332222294447057</v>
      </c>
      <c r="F1016" s="1014">
        <v>0.99672726048807114</v>
      </c>
      <c r="G1016" s="1014">
        <v>0.99542618343332767</v>
      </c>
      <c r="H1016" s="1014">
        <v>0.99370012656001083</v>
      </c>
      <c r="I1016" s="1014">
        <v>1.0271547817892648</v>
      </c>
      <c r="K1016">
        <v>2.4234818851546076</v>
      </c>
      <c r="L1016">
        <v>0</v>
      </c>
      <c r="M1016">
        <v>1.7643372388358239E-3</v>
      </c>
      <c r="N1016">
        <v>0.14811161703429776</v>
      </c>
      <c r="O1016">
        <v>2.1457129699457431E-2</v>
      </c>
      <c r="P1016">
        <v>2.8100516895550844E-2</v>
      </c>
      <c r="Q1016">
        <v>5.4652391844491185E-3</v>
      </c>
      <c r="R1016">
        <v>1.7409007539940691E-3</v>
      </c>
      <c r="S1016">
        <v>0.27292807255953505</v>
      </c>
      <c r="T1016">
        <v>1.366576055342237</v>
      </c>
      <c r="U1016">
        <v>0.21566432656549478</v>
      </c>
      <c r="V1016">
        <v>0.24595957166371393</v>
      </c>
      <c r="W1016">
        <v>9.8870972258099293E-2</v>
      </c>
      <c r="X1016">
        <v>1.5633662472016304E-2</v>
      </c>
      <c r="Y1016">
        <v>4.7381579645925376E-3</v>
      </c>
    </row>
    <row r="1017" spans="1:25">
      <c r="A1017" s="1010"/>
      <c r="B1017" s="1351">
        <v>767</v>
      </c>
      <c r="C1017" s="1014">
        <v>1.0054000457588561</v>
      </c>
      <c r="D1017" s="1014">
        <v>0.99953979213721</v>
      </c>
      <c r="E1017" s="1014">
        <v>1.0052799227714693</v>
      </c>
      <c r="F1017" s="1014">
        <v>1.0016283945999509</v>
      </c>
      <c r="G1017" s="1014">
        <v>1.0073590306929707</v>
      </c>
      <c r="H1017" s="1014">
        <v>0.97888532066808354</v>
      </c>
      <c r="I1017" s="1014">
        <v>1.0066527978704605</v>
      </c>
      <c r="K1017">
        <v>2.4062233290882022</v>
      </c>
      <c r="L1017">
        <v>0</v>
      </c>
      <c r="M1017">
        <v>1.5812699098338263E-3</v>
      </c>
      <c r="N1017">
        <v>0.14618056642458985</v>
      </c>
      <c r="O1017">
        <v>2.0878482089277926E-2</v>
      </c>
      <c r="P1017">
        <v>2.8611766982839286E-2</v>
      </c>
      <c r="Q1017">
        <v>5.492507408520142E-3</v>
      </c>
      <c r="R1017">
        <v>1.5599472975882059E-3</v>
      </c>
      <c r="S1017">
        <v>0.25724668670644457</v>
      </c>
      <c r="T1017">
        <v>1.3739866106139695</v>
      </c>
      <c r="U1017">
        <v>0.21085282547980838</v>
      </c>
      <c r="V1017">
        <v>0.24643362587881126</v>
      </c>
      <c r="W1017">
        <v>9.5730438664924353E-2</v>
      </c>
      <c r="X1017">
        <v>1.6585479143715432E-2</v>
      </c>
      <c r="Y1017">
        <v>4.2456623075466512E-3</v>
      </c>
    </row>
    <row r="1018" spans="1:25">
      <c r="A1018" s="1010"/>
      <c r="B1018" s="1351">
        <v>768</v>
      </c>
      <c r="C1018" s="1014">
        <v>0.9870979367041095</v>
      </c>
      <c r="D1018" s="1014">
        <v>1.0026884121194288</v>
      </c>
      <c r="E1018" s="1014">
        <v>0.99222310443689488</v>
      </c>
      <c r="F1018" s="1014">
        <v>1.0053547885950795</v>
      </c>
      <c r="G1018" s="1014">
        <v>1.0109064853556904</v>
      </c>
      <c r="H1018" s="1014">
        <v>1.0280788676056505</v>
      </c>
      <c r="I1018" s="1014">
        <v>0.97487412270840723</v>
      </c>
      <c r="K1018">
        <v>2.4316958238145099</v>
      </c>
      <c r="L1018">
        <v>0</v>
      </c>
      <c r="M1018">
        <v>1.7367561512855205E-3</v>
      </c>
      <c r="N1018">
        <v>0.1544447146816959</v>
      </c>
      <c r="O1018">
        <v>2.1242115916065972E-2</v>
      </c>
      <c r="P1018">
        <v>2.8478427500918942E-2</v>
      </c>
      <c r="Q1018">
        <v>5.5152559588584572E-3</v>
      </c>
      <c r="R1018">
        <v>1.7144574981513389E-3</v>
      </c>
      <c r="S1018">
        <v>0.25736887175292295</v>
      </c>
      <c r="T1018">
        <v>1.378814465970837</v>
      </c>
      <c r="U1018">
        <v>0.21471711176331312</v>
      </c>
      <c r="V1018">
        <v>0.24823744413479271</v>
      </c>
      <c r="W1018">
        <v>0.10193117702180926</v>
      </c>
      <c r="X1018">
        <v>1.6302349627222636E-2</v>
      </c>
      <c r="Y1018">
        <v>4.6661881392055723E-3</v>
      </c>
    </row>
    <row r="1019" spans="1:25">
      <c r="A1019" s="1010"/>
      <c r="B1019" s="1351">
        <v>769</v>
      </c>
      <c r="C1019" s="1014">
        <v>1.0011661979521775</v>
      </c>
      <c r="D1019" s="1014">
        <v>1.0166225979613857</v>
      </c>
      <c r="E1019" s="1014">
        <v>0.99320329322285361</v>
      </c>
      <c r="F1019" s="1014">
        <v>0.95617152591910914</v>
      </c>
      <c r="G1019" s="1014">
        <v>0.97939674175342673</v>
      </c>
      <c r="H1019" s="1014">
        <v>0.9576172701089658</v>
      </c>
      <c r="I1019" s="1014">
        <v>1.003502250498558</v>
      </c>
      <c r="K1019">
        <v>2.3269054871450536</v>
      </c>
      <c r="L1019">
        <v>0</v>
      </c>
      <c r="M1019">
        <v>1.5869301514548012E-3</v>
      </c>
      <c r="N1019">
        <v>0.14140442139813919</v>
      </c>
      <c r="O1019">
        <v>2.0880777353090577E-2</v>
      </c>
      <c r="P1019">
        <v>2.7404456477381621E-2</v>
      </c>
      <c r="Q1019">
        <v>5.4268046311314088E-3</v>
      </c>
      <c r="R1019">
        <v>1.5650559574089228E-3</v>
      </c>
      <c r="S1019">
        <v>0.25344172967778672</v>
      </c>
      <c r="T1019">
        <v>1.3113813112161088</v>
      </c>
      <c r="U1019">
        <v>0.2117032767224889</v>
      </c>
      <c r="V1019">
        <v>0.24196377292572183</v>
      </c>
      <c r="W1019">
        <v>9.3270114423490355E-2</v>
      </c>
      <c r="X1019">
        <v>1.5791130118251073E-2</v>
      </c>
      <c r="Y1019">
        <v>4.2595663955093859E-3</v>
      </c>
    </row>
    <row r="1020" spans="1:25">
      <c r="A1020" s="1010"/>
      <c r="B1020" s="1351">
        <v>770</v>
      </c>
      <c r="C1020" s="1014">
        <v>0.97690784067109671</v>
      </c>
      <c r="D1020" s="1014">
        <v>0.97314189365053294</v>
      </c>
      <c r="E1020" s="1014">
        <v>0.98855730563334721</v>
      </c>
      <c r="F1020" s="1014">
        <v>1.0033537519454563</v>
      </c>
      <c r="G1020" s="1014">
        <v>1.009332104435674</v>
      </c>
      <c r="H1020" s="1014">
        <v>0.98257913920918494</v>
      </c>
      <c r="I1020" s="1014">
        <v>0.98764044831640097</v>
      </c>
      <c r="K1020">
        <v>2.4299331319026902</v>
      </c>
      <c r="L1020">
        <v>0</v>
      </c>
      <c r="M1020">
        <v>1.7011467463624514E-3</v>
      </c>
      <c r="N1020">
        <v>0.14952060982274276</v>
      </c>
      <c r="O1020">
        <v>2.1602892161269954E-2</v>
      </c>
      <c r="P1020">
        <v>2.8479878318678341E-2</v>
      </c>
      <c r="Q1020">
        <v>5.5881874874403707E-3</v>
      </c>
      <c r="R1020">
        <v>1.6782938916966874E-3</v>
      </c>
      <c r="S1020">
        <v>0.26346107191710411</v>
      </c>
      <c r="T1020">
        <v>1.3759907081010516</v>
      </c>
      <c r="U1020">
        <v>0.2169440122364529</v>
      </c>
      <c r="V1020">
        <v>0.2486411227607612</v>
      </c>
      <c r="W1020">
        <v>9.8898221268982983E-2</v>
      </c>
      <c r="X1020">
        <v>1.626151795910509E-2</v>
      </c>
      <c r="Y1020">
        <v>4.5677627237656736E-3</v>
      </c>
    </row>
    <row r="1021" spans="1:25">
      <c r="A1021" s="1010"/>
      <c r="B1021" s="1351">
        <v>771</v>
      </c>
      <c r="C1021" s="1014">
        <v>0.96018919864819297</v>
      </c>
      <c r="D1021" s="1014">
        <v>0.98947709408595108</v>
      </c>
      <c r="E1021" s="1014">
        <v>0.97763790197285183</v>
      </c>
      <c r="F1021" s="1014">
        <v>0.9884374033746115</v>
      </c>
      <c r="G1021" s="1014">
        <v>1.0063290906977058</v>
      </c>
      <c r="H1021" s="1014">
        <v>0.99628537500329173</v>
      </c>
      <c r="I1021" s="1014">
        <v>0.99052415610923505</v>
      </c>
      <c r="K1021">
        <v>2.4225856636802954</v>
      </c>
      <c r="L1021">
        <v>0</v>
      </c>
      <c r="M1021">
        <v>1.7884426814039193E-3</v>
      </c>
      <c r="N1021">
        <v>0.15211446930855393</v>
      </c>
      <c r="O1021">
        <v>2.1891147181610345E-2</v>
      </c>
      <c r="P1021">
        <v>2.8083446786026176E-2</v>
      </c>
      <c r="Q1021">
        <v>5.6003591422972123E-3</v>
      </c>
      <c r="R1021">
        <v>1.7647476390629127E-3</v>
      </c>
      <c r="S1021">
        <v>0.2676941019300077</v>
      </c>
      <c r="T1021">
        <v>1.3553019299227467</v>
      </c>
      <c r="U1021">
        <v>0.22068263507991501</v>
      </c>
      <c r="V1021">
        <v>0.24927968864226469</v>
      </c>
      <c r="W1021">
        <v>0.10127783577387463</v>
      </c>
      <c r="X1021">
        <v>1.5880683630712863E-2</v>
      </c>
      <c r="Y1021">
        <v>4.8030613246263778E-3</v>
      </c>
    </row>
    <row r="1022" spans="1:25">
      <c r="A1022" s="1010"/>
      <c r="B1022" s="1351">
        <v>772</v>
      </c>
      <c r="C1022" s="1014">
        <v>1.0064393015249327</v>
      </c>
      <c r="D1022" s="1014">
        <v>0.99762090678665072</v>
      </c>
      <c r="E1022" s="1014">
        <v>0.98143149879547731</v>
      </c>
      <c r="F1022" s="1014">
        <v>1.0271244047929651</v>
      </c>
      <c r="G1022" s="1014">
        <v>1.0386261968730126</v>
      </c>
      <c r="H1022" s="1014">
        <v>1.0202712936623597</v>
      </c>
      <c r="I1022" s="1014">
        <v>1.0195961089735293</v>
      </c>
      <c r="K1022">
        <v>2.4580580206489064</v>
      </c>
      <c r="L1022">
        <v>0</v>
      </c>
      <c r="M1022">
        <v>1.7305593962306527E-3</v>
      </c>
      <c r="N1022">
        <v>0.14893752692120071</v>
      </c>
      <c r="O1022">
        <v>2.0850024054790361E-2</v>
      </c>
      <c r="P1022">
        <v>2.8725999816357147E-2</v>
      </c>
      <c r="Q1022">
        <v>5.3546230903633212E-3</v>
      </c>
      <c r="R1022">
        <v>1.7081702743459689E-3</v>
      </c>
      <c r="S1022">
        <v>0.26390698778266602</v>
      </c>
      <c r="T1022">
        <v>1.4084317648038505</v>
      </c>
      <c r="U1022">
        <v>0.21055418536945308</v>
      </c>
      <c r="V1022">
        <v>0.25179890788386788</v>
      </c>
      <c r="W1022">
        <v>9.8935655222401428E-2</v>
      </c>
      <c r="X1022">
        <v>1.5935658437250189E-2</v>
      </c>
      <c r="Y1022">
        <v>4.6490763885901256E-3</v>
      </c>
    </row>
    <row r="1023" spans="1:25">
      <c r="A1023" s="1010"/>
      <c r="B1023" s="1351">
        <v>773</v>
      </c>
      <c r="C1023" s="1014">
        <v>0.97942984437857561</v>
      </c>
      <c r="D1023" s="1014">
        <v>1.0104560165981282</v>
      </c>
      <c r="E1023" s="1014">
        <v>1.0281422149942874</v>
      </c>
      <c r="F1023" s="1014">
        <v>0.99515834110665213</v>
      </c>
      <c r="G1023" s="1014">
        <v>0.98612310006350068</v>
      </c>
      <c r="H1023" s="1014">
        <v>1.0290960890969789</v>
      </c>
      <c r="I1023" s="1014">
        <v>1.0110120748744438</v>
      </c>
      <c r="K1023">
        <v>2.4381559134519275</v>
      </c>
      <c r="L1023">
        <v>0</v>
      </c>
      <c r="M1023">
        <v>1.6233396460954305E-3</v>
      </c>
      <c r="N1023">
        <v>0.16089529792072579</v>
      </c>
      <c r="O1023">
        <v>2.1396430168684703E-2</v>
      </c>
      <c r="P1023">
        <v>2.9184623527413276E-2</v>
      </c>
      <c r="Q1023">
        <v>5.7584004847005725E-3</v>
      </c>
      <c r="R1023">
        <v>1.6025177782357204E-3</v>
      </c>
      <c r="S1023">
        <v>0.2683626256967846</v>
      </c>
      <c r="T1023">
        <v>1.3656049935132397</v>
      </c>
      <c r="U1023">
        <v>0.21652371517762312</v>
      </c>
      <c r="V1023">
        <v>0.24437482854622883</v>
      </c>
      <c r="W1023">
        <v>0.10396320089963297</v>
      </c>
      <c r="X1023">
        <v>1.7751094262238542E-2</v>
      </c>
      <c r="Y1023">
        <v>4.3615251225140126E-3</v>
      </c>
    </row>
    <row r="1024" spans="1:25">
      <c r="A1024" s="1010"/>
      <c r="B1024" s="1351">
        <v>774</v>
      </c>
      <c r="C1024" s="1014">
        <v>0.99871767736378736</v>
      </c>
      <c r="D1024" s="1014">
        <v>1.0218996759081487</v>
      </c>
      <c r="E1024" s="1014">
        <v>0.99381636597135736</v>
      </c>
      <c r="F1024" s="1014">
        <v>0.9996421146180029</v>
      </c>
      <c r="G1024" s="1014">
        <v>1.0100221637240492</v>
      </c>
      <c r="H1024" s="1014">
        <v>0.99874234016195162</v>
      </c>
      <c r="I1024" s="1014">
        <v>0.99126703505849523</v>
      </c>
      <c r="K1024">
        <v>2.4049272114668221</v>
      </c>
      <c r="L1024">
        <v>0</v>
      </c>
      <c r="M1024">
        <v>1.6551461200108003E-3</v>
      </c>
      <c r="N1024">
        <v>0.14784143954371801</v>
      </c>
      <c r="O1024">
        <v>2.090854668687497E-2</v>
      </c>
      <c r="P1024">
        <v>2.8311702624611072E-2</v>
      </c>
      <c r="Q1024">
        <v>5.4373835409423209E-3</v>
      </c>
      <c r="R1024">
        <v>1.6332710678545774E-3</v>
      </c>
      <c r="S1024">
        <v>0.25377347227455066</v>
      </c>
      <c r="T1024">
        <v>1.3710141002971989</v>
      </c>
      <c r="U1024">
        <v>0.21222439827754869</v>
      </c>
      <c r="V1024">
        <v>0.24734524264903285</v>
      </c>
      <c r="W1024">
        <v>9.7480251906205101E-2</v>
      </c>
      <c r="X1024">
        <v>1.6167323279254825E-2</v>
      </c>
      <c r="Y1024">
        <v>4.4452254390373409E-3</v>
      </c>
    </row>
    <row r="1025" spans="1:25">
      <c r="A1025" s="1010"/>
      <c r="B1025" s="1351">
        <v>775</v>
      </c>
      <c r="C1025" s="1014">
        <v>0.99761711151808485</v>
      </c>
      <c r="D1025" s="1014">
        <v>0.98486291806898252</v>
      </c>
      <c r="E1025" s="1014">
        <v>1.0184305356800976</v>
      </c>
      <c r="F1025" s="1014">
        <v>0.99140517733415712</v>
      </c>
      <c r="G1025" s="1014">
        <v>1.0176760060044419</v>
      </c>
      <c r="H1025" s="1014">
        <v>0.99308407467643067</v>
      </c>
      <c r="I1025" s="1014">
        <v>1.0126829150197518</v>
      </c>
      <c r="K1025">
        <v>2.4130103520170421</v>
      </c>
      <c r="L1025">
        <v>0</v>
      </c>
      <c r="M1025">
        <v>1.5782656032200088E-3</v>
      </c>
      <c r="N1025">
        <v>0.15184079303437051</v>
      </c>
      <c r="O1025">
        <v>2.111874768235588E-2</v>
      </c>
      <c r="P1025">
        <v>2.88490828467418E-2</v>
      </c>
      <c r="Q1025">
        <v>5.6291554782345937E-3</v>
      </c>
      <c r="R1025">
        <v>1.5572877862216887E-3</v>
      </c>
      <c r="S1025">
        <v>0.26409782074083188</v>
      </c>
      <c r="T1025">
        <v>1.3602455268326279</v>
      </c>
      <c r="U1025">
        <v>0.21254294049391334</v>
      </c>
      <c r="V1025">
        <v>0.24863178701514591</v>
      </c>
      <c r="W1025">
        <v>9.8670195852604475E-2</v>
      </c>
      <c r="X1025">
        <v>1.7166855862897616E-2</v>
      </c>
      <c r="Y1025">
        <v>4.2384239943146773E-3</v>
      </c>
    </row>
    <row r="1026" spans="1:25">
      <c r="A1026" s="1010"/>
      <c r="B1026" s="1351">
        <v>776</v>
      </c>
      <c r="C1026" s="1014">
        <v>0.98336386561290556</v>
      </c>
      <c r="D1026" s="1014">
        <v>0.99955123266522494</v>
      </c>
      <c r="E1026" s="1014">
        <v>1.0145261709161599</v>
      </c>
      <c r="F1026" s="1014">
        <v>0.99679118081041218</v>
      </c>
      <c r="G1026" s="1014">
        <v>0.99822263726021965</v>
      </c>
      <c r="H1026" s="1014">
        <v>1.0278742966969556</v>
      </c>
      <c r="I1026" s="1014">
        <v>0.98325054352573804</v>
      </c>
      <c r="K1026">
        <v>2.4295995295975596</v>
      </c>
      <c r="L1026">
        <v>0</v>
      </c>
      <c r="M1026">
        <v>1.6653114555818002E-3</v>
      </c>
      <c r="N1026">
        <v>0.15841091250448283</v>
      </c>
      <c r="O1026">
        <v>2.1352544331471504E-2</v>
      </c>
      <c r="P1026">
        <v>2.8835658934440435E-2</v>
      </c>
      <c r="Q1026">
        <v>5.6693820930232425E-3</v>
      </c>
      <c r="R1026">
        <v>1.6439258436457215E-3</v>
      </c>
      <c r="S1026">
        <v>0.26113979264001203</v>
      </c>
      <c r="T1026">
        <v>1.3675508802546268</v>
      </c>
      <c r="U1026">
        <v>0.21561001173366329</v>
      </c>
      <c r="V1026">
        <v>0.2462318593313883</v>
      </c>
      <c r="W1026">
        <v>0.10317569823437703</v>
      </c>
      <c r="X1026">
        <v>1.7169950925611032E-2</v>
      </c>
      <c r="Y1026">
        <v>4.4742242263949407E-3</v>
      </c>
    </row>
    <row r="1027" spans="1:25">
      <c r="A1027" s="1010"/>
      <c r="B1027" s="1351">
        <v>777</v>
      </c>
      <c r="C1027" s="1014">
        <v>1.0047508404041201</v>
      </c>
      <c r="D1027" s="1014">
        <v>0.9936644761149821</v>
      </c>
      <c r="E1027" s="1014">
        <v>1.0165776773956914</v>
      </c>
      <c r="F1027" s="1014">
        <v>0.99321093092540846</v>
      </c>
      <c r="G1027" s="1014">
        <v>0.98284815807643355</v>
      </c>
      <c r="H1027" s="1014">
        <v>1.0024221817137151</v>
      </c>
      <c r="I1027" s="1014">
        <v>1.028720441909744</v>
      </c>
      <c r="K1027">
        <v>2.4087480271610486</v>
      </c>
      <c r="L1027">
        <v>0</v>
      </c>
      <c r="M1027">
        <v>1.5847976849477044E-3</v>
      </c>
      <c r="N1027">
        <v>0.15163822296814089</v>
      </c>
      <c r="O1027">
        <v>2.0926572153059139E-2</v>
      </c>
      <c r="P1027">
        <v>2.8760573677993735E-2</v>
      </c>
      <c r="Q1027">
        <v>5.5676522745852115E-3</v>
      </c>
      <c r="R1027">
        <v>1.5639292741008014E-3</v>
      </c>
      <c r="S1027">
        <v>0.26598569929262805</v>
      </c>
      <c r="T1027">
        <v>1.3626831497360397</v>
      </c>
      <c r="U1027">
        <v>0.21102756559693783</v>
      </c>
      <c r="V1027">
        <v>0.2422494411541391</v>
      </c>
      <c r="W1027">
        <v>9.8645646277933707E-2</v>
      </c>
      <c r="X1027">
        <v>1.7027872505482225E-2</v>
      </c>
      <c r="Y1027">
        <v>4.2564999349557304E-3</v>
      </c>
    </row>
    <row r="1028" spans="1:25">
      <c r="A1028" s="1010"/>
      <c r="B1028" s="1351">
        <v>778</v>
      </c>
      <c r="C1028" s="1014">
        <v>1.0349991135341716</v>
      </c>
      <c r="D1028" s="1014">
        <v>0.96796846998886665</v>
      </c>
      <c r="E1028" s="1014">
        <v>1.0070195488277653</v>
      </c>
      <c r="F1028" s="1014">
        <v>0.98301081676849322</v>
      </c>
      <c r="G1028" s="1014">
        <v>1.0348549213539295</v>
      </c>
      <c r="H1028" s="1014">
        <v>1.0065977731538085</v>
      </c>
      <c r="I1028" s="1014">
        <v>0.99799697960243672</v>
      </c>
      <c r="K1028">
        <v>2.3751481130388399</v>
      </c>
      <c r="L1028">
        <v>0</v>
      </c>
      <c r="M1028">
        <v>1.5849916657081722E-3</v>
      </c>
      <c r="N1028">
        <v>0.14735183358974763</v>
      </c>
      <c r="O1028">
        <v>2.0426234276214632E-2</v>
      </c>
      <c r="P1028">
        <v>2.82128868582429E-2</v>
      </c>
      <c r="Q1028">
        <v>5.382907084712881E-3</v>
      </c>
      <c r="R1028">
        <v>1.5642072779531052E-3</v>
      </c>
      <c r="S1028">
        <v>0.25409227210227309</v>
      </c>
      <c r="T1028">
        <v>1.3484849264447152</v>
      </c>
      <c r="U1028">
        <v>0.20482857400263163</v>
      </c>
      <c r="V1028">
        <v>0.24934697912691101</v>
      </c>
      <c r="W1028">
        <v>9.6398237317838781E-2</v>
      </c>
      <c r="X1028">
        <v>1.638679005350684E-2</v>
      </c>
      <c r="Y1028">
        <v>4.2572565697977576E-3</v>
      </c>
    </row>
    <row r="1029" spans="1:25">
      <c r="A1029" s="1010"/>
      <c r="B1029" s="1351">
        <v>779</v>
      </c>
      <c r="C1029" s="1014">
        <v>0.99889336882832369</v>
      </c>
      <c r="D1029" s="1014">
        <v>0.99776326782024616</v>
      </c>
      <c r="E1029" s="1014">
        <v>0.99346596598523118</v>
      </c>
      <c r="F1029" s="1014">
        <v>0.99722335117467076</v>
      </c>
      <c r="G1029" s="1014">
        <v>1.0270530867027208</v>
      </c>
      <c r="H1029" s="1014">
        <v>0.96411988454843367</v>
      </c>
      <c r="I1029" s="1014">
        <v>1.0052868382157254</v>
      </c>
      <c r="K1029">
        <v>2.4007005952159579</v>
      </c>
      <c r="L1029">
        <v>0</v>
      </c>
      <c r="M1029">
        <v>1.6070768282756285E-3</v>
      </c>
      <c r="N1029">
        <v>0.14332685629191078</v>
      </c>
      <c r="O1029">
        <v>2.1014855590694222E-2</v>
      </c>
      <c r="P1029">
        <v>2.8347762607311047E-2</v>
      </c>
      <c r="Q1029">
        <v>5.4630984460020343E-3</v>
      </c>
      <c r="R1029">
        <v>1.5850743390217153E-3</v>
      </c>
      <c r="S1029">
        <v>0.25744137785850779</v>
      </c>
      <c r="T1029">
        <v>1.3676892065279822</v>
      </c>
      <c r="U1029">
        <v>0.21218587308290549</v>
      </c>
      <c r="V1029">
        <v>0.25024445949778334</v>
      </c>
      <c r="W1029">
        <v>9.4523313296125108E-2</v>
      </c>
      <c r="X1029">
        <v>1.617174467478736E-2</v>
      </c>
      <c r="Y1029">
        <v>4.3140498312016816E-3</v>
      </c>
    </row>
    <row r="1030" spans="1:25">
      <c r="A1030" s="1010"/>
      <c r="B1030" s="1351">
        <v>780</v>
      </c>
      <c r="C1030" s="1014">
        <v>1.0218175818019999</v>
      </c>
      <c r="D1030" s="1014">
        <v>0.99107353794121233</v>
      </c>
      <c r="E1030" s="1014">
        <v>0.99236133343450805</v>
      </c>
      <c r="F1030" s="1014">
        <v>0.98615671016107087</v>
      </c>
      <c r="G1030" s="1014">
        <v>1.0115884128230392</v>
      </c>
      <c r="H1030" s="1014">
        <v>0.99833071335005363</v>
      </c>
      <c r="I1030" s="1014">
        <v>1.020122848470236</v>
      </c>
      <c r="K1030">
        <v>2.3805342347625698</v>
      </c>
      <c r="L1030">
        <v>0</v>
      </c>
      <c r="M1030">
        <v>1.6329112043360619E-3</v>
      </c>
      <c r="N1030">
        <v>0.14521447175114127</v>
      </c>
      <c r="O1030">
        <v>2.057310153907559E-2</v>
      </c>
      <c r="P1030">
        <v>2.8021790679113388E-2</v>
      </c>
      <c r="Q1030">
        <v>5.342299956878762E-3</v>
      </c>
      <c r="R1030">
        <v>1.6113211191880375E-3</v>
      </c>
      <c r="S1030">
        <v>0.25915012553323791</v>
      </c>
      <c r="T1030">
        <v>1.3524878107925269</v>
      </c>
      <c r="U1030">
        <v>0.2074218468091652</v>
      </c>
      <c r="V1030">
        <v>0.24620593610500466</v>
      </c>
      <c r="W1030">
        <v>9.5831434693776793E-2</v>
      </c>
      <c r="X1030">
        <v>1.5921522073228875E-2</v>
      </c>
      <c r="Y1030">
        <v>4.3854849145656535E-3</v>
      </c>
    </row>
    <row r="1031" spans="1:25">
      <c r="A1031" s="1010"/>
      <c r="B1031" s="1351">
        <v>781</v>
      </c>
      <c r="C1031" s="1014">
        <v>1.0077686310288687</v>
      </c>
      <c r="D1031" s="1014">
        <v>0.9694776241255405</v>
      </c>
      <c r="E1031" s="1014">
        <v>1.0075611841949996</v>
      </c>
      <c r="F1031" s="1014">
        <v>1.0325547285346106</v>
      </c>
      <c r="G1031" s="1014">
        <v>1.0102028783029684</v>
      </c>
      <c r="H1031" s="1014">
        <v>1.025833546214739</v>
      </c>
      <c r="I1031" s="1014">
        <v>1.0272456335792115</v>
      </c>
      <c r="K1031">
        <v>2.4762327952499246</v>
      </c>
      <c r="L1031">
        <v>0</v>
      </c>
      <c r="M1031">
        <v>1.6564934471306782E-3</v>
      </c>
      <c r="N1031">
        <v>0.15428964374675511</v>
      </c>
      <c r="O1031">
        <v>2.0971333620810492E-2</v>
      </c>
      <c r="P1031">
        <v>2.9417020577394083E-2</v>
      </c>
      <c r="Q1031">
        <v>5.5295542132730293E-3</v>
      </c>
      <c r="R1031">
        <v>1.6351787560051133E-3</v>
      </c>
      <c r="S1031">
        <v>0.27007939266105813</v>
      </c>
      <c r="T1031">
        <v>1.4164609089001639</v>
      </c>
      <c r="U1031">
        <v>0.21036499799994504</v>
      </c>
      <c r="V1031">
        <v>0.24676508219858392</v>
      </c>
      <c r="W1031">
        <v>0.10090468220893946</v>
      </c>
      <c r="X1031">
        <v>1.7021076276810876E-2</v>
      </c>
      <c r="Y1031">
        <v>4.4504175373138704E-3</v>
      </c>
    </row>
    <row r="1032" spans="1:25">
      <c r="A1032" s="1010"/>
      <c r="B1032" s="1351">
        <v>782</v>
      </c>
      <c r="C1032" s="1014">
        <v>0.99188765142024171</v>
      </c>
      <c r="D1032" s="1014">
        <v>0.99867116478062656</v>
      </c>
      <c r="E1032" s="1014">
        <v>0.97969770161523628</v>
      </c>
      <c r="F1032" s="1014">
        <v>1.0110902472554792</v>
      </c>
      <c r="G1032" s="1014">
        <v>1.0065148654691711</v>
      </c>
      <c r="H1032" s="1014">
        <v>1.0213232592233796</v>
      </c>
      <c r="I1032" s="1014">
        <v>1.0418614042423424</v>
      </c>
      <c r="K1032">
        <v>2.4479164643164353</v>
      </c>
      <c r="L1032">
        <v>0</v>
      </c>
      <c r="M1032">
        <v>1.7636636910064128E-3</v>
      </c>
      <c r="N1032">
        <v>0.15099449121763023</v>
      </c>
      <c r="O1032">
        <v>2.1149854202291169E-2</v>
      </c>
      <c r="P1032">
        <v>2.8502064106824224E-2</v>
      </c>
      <c r="Q1032">
        <v>5.4220639870115319E-3</v>
      </c>
      <c r="R1032">
        <v>1.7408697841119183E-3</v>
      </c>
      <c r="S1032">
        <v>0.27356157824841176</v>
      </c>
      <c r="T1032">
        <v>1.3864073595100734</v>
      </c>
      <c r="U1032">
        <v>0.21363719865557362</v>
      </c>
      <c r="V1032">
        <v>0.24722795390003263</v>
      </c>
      <c r="W1032">
        <v>0.10040706256647035</v>
      </c>
      <c r="X1032">
        <v>1.5891558154227159E-2</v>
      </c>
      <c r="Y1032">
        <v>4.7380736747825421E-3</v>
      </c>
    </row>
    <row r="1033" spans="1:25">
      <c r="A1033" s="1010"/>
      <c r="B1033" s="1351">
        <v>783</v>
      </c>
      <c r="C1033" s="1014">
        <v>1.0059635963119913</v>
      </c>
      <c r="D1033" s="1014">
        <v>1.0118701785823436</v>
      </c>
      <c r="E1033" s="1014">
        <v>1.0185782516799362</v>
      </c>
      <c r="F1033" s="1014">
        <v>1.0119833385340502</v>
      </c>
      <c r="G1033" s="1014">
        <v>0.96048517779563714</v>
      </c>
      <c r="H1033" s="1014">
        <v>1.0272196547204431</v>
      </c>
      <c r="I1033" s="1014">
        <v>1.0175127936007744</v>
      </c>
      <c r="K1033">
        <v>2.4326618276993184</v>
      </c>
      <c r="L1033">
        <v>0</v>
      </c>
      <c r="M1033">
        <v>1.6088693866835658E-3</v>
      </c>
      <c r="N1033">
        <v>0.15492342207626073</v>
      </c>
      <c r="O1033">
        <v>2.0819343818529266E-2</v>
      </c>
      <c r="P1033">
        <v>2.9054742478858385E-2</v>
      </c>
      <c r="Q1033">
        <v>5.5501656993044712E-3</v>
      </c>
      <c r="R1033">
        <v>1.5881954260049123E-3</v>
      </c>
      <c r="S1033">
        <v>0.26254076665011428</v>
      </c>
      <c r="T1033">
        <v>1.3884827898538084</v>
      </c>
      <c r="U1033">
        <v>0.21077997405064078</v>
      </c>
      <c r="V1033">
        <v>0.23835069458690825</v>
      </c>
      <c r="W1033">
        <v>0.10066466017054178</v>
      </c>
      <c r="X1033">
        <v>1.7193397873923738E-2</v>
      </c>
      <c r="Y1033">
        <v>4.3225444011038951E-3</v>
      </c>
    </row>
    <row r="1034" spans="1:25">
      <c r="A1034" s="1010"/>
      <c r="B1034" s="1351">
        <v>784</v>
      </c>
      <c r="C1034" s="1014">
        <v>0.98419965137718468</v>
      </c>
      <c r="D1034" s="1014">
        <v>1.0086832768493175</v>
      </c>
      <c r="E1034" s="1014">
        <v>0.98578503548502949</v>
      </c>
      <c r="F1034" s="1014">
        <v>1.0300710632464074</v>
      </c>
      <c r="G1034" s="1014">
        <v>1.0314473061060316</v>
      </c>
      <c r="H1034" s="1014">
        <v>0.97928518493547645</v>
      </c>
      <c r="I1034" s="1014">
        <v>1.0192055826568804</v>
      </c>
      <c r="K1034">
        <v>2.4643444110008557</v>
      </c>
      <c r="L1034">
        <v>0</v>
      </c>
      <c r="M1034">
        <v>1.6792637856578737E-3</v>
      </c>
      <c r="N1034">
        <v>0.14635831221498058</v>
      </c>
      <c r="O1034">
        <v>2.127242341197692E-2</v>
      </c>
      <c r="P1034">
        <v>2.8954205766667296E-2</v>
      </c>
      <c r="Q1034">
        <v>5.487280784371688E-3</v>
      </c>
      <c r="R1034">
        <v>1.6566290224086328E-3</v>
      </c>
      <c r="S1034">
        <v>0.26472280569504014</v>
      </c>
      <c r="T1034">
        <v>1.4125689986382219</v>
      </c>
      <c r="U1034">
        <v>0.21532709276825288</v>
      </c>
      <c r="V1034">
        <v>0.25195631242467859</v>
      </c>
      <c r="W1034">
        <v>9.6967832571809853E-2</v>
      </c>
      <c r="X1034">
        <v>1.6242983396716003E-2</v>
      </c>
      <c r="Y1034">
        <v>4.5087980913858317E-3</v>
      </c>
    </row>
    <row r="1035" spans="1:25">
      <c r="A1035" s="1010"/>
      <c r="B1035" s="1351">
        <v>785</v>
      </c>
      <c r="C1035" s="1014">
        <v>1.0439182580124067</v>
      </c>
      <c r="D1035" s="1014">
        <v>0.97694809093042256</v>
      </c>
      <c r="E1035" s="1014">
        <v>0.99857527809833535</v>
      </c>
      <c r="F1035" s="1014">
        <v>1.0087899740573696</v>
      </c>
      <c r="G1035" s="1014">
        <v>0.99771264635010048</v>
      </c>
      <c r="H1035" s="1014">
        <v>1.0097892962907236</v>
      </c>
      <c r="I1035" s="1014">
        <v>0.97264305772618098</v>
      </c>
      <c r="K1035">
        <v>2.3884326303651018</v>
      </c>
      <c r="L1035">
        <v>0</v>
      </c>
      <c r="M1035">
        <v>1.6010444906635274E-3</v>
      </c>
      <c r="N1035">
        <v>0.14510179076127944</v>
      </c>
      <c r="O1035">
        <v>2.0205216659358594E-2</v>
      </c>
      <c r="P1035">
        <v>2.8268807498074516E-2</v>
      </c>
      <c r="Q1035">
        <v>5.2797272609159673E-3</v>
      </c>
      <c r="R1035">
        <v>1.5801159543495438E-3</v>
      </c>
      <c r="S1035">
        <v>0.24457082844286526</v>
      </c>
      <c r="T1035">
        <v>1.3836641865711394</v>
      </c>
      <c r="U1035">
        <v>0.20305087474707292</v>
      </c>
      <c r="V1035">
        <v>0.24252071352068261</v>
      </c>
      <c r="W1035">
        <v>9.5402808733441369E-2</v>
      </c>
      <c r="X1035">
        <v>1.6088049963926019E-2</v>
      </c>
      <c r="Y1035">
        <v>4.3005547426550978E-3</v>
      </c>
    </row>
    <row r="1036" spans="1:25">
      <c r="A1036" s="1010"/>
      <c r="B1036" s="1351">
        <v>786</v>
      </c>
      <c r="C1036" s="1014">
        <v>1.0238757466621335</v>
      </c>
      <c r="D1036" s="1014">
        <v>1.042332127377896</v>
      </c>
      <c r="E1036" s="1014">
        <v>0.9773102345992285</v>
      </c>
      <c r="F1036" s="1014">
        <v>1.0075372266477991</v>
      </c>
      <c r="G1036" s="1014">
        <v>0.9648545621118686</v>
      </c>
      <c r="H1036" s="1014">
        <v>1.015710426023601</v>
      </c>
      <c r="I1036" s="1014">
        <v>0.9896905462241361</v>
      </c>
      <c r="K1036">
        <v>2.3852277257131318</v>
      </c>
      <c r="L1036">
        <v>0</v>
      </c>
      <c r="M1036">
        <v>1.6915809816488625E-3</v>
      </c>
      <c r="N1036">
        <v>0.14377029238555047</v>
      </c>
      <c r="O1036">
        <v>2.0295582047304826E-2</v>
      </c>
      <c r="P1036">
        <v>2.7802936426510955E-2</v>
      </c>
      <c r="Q1036">
        <v>5.1904382333515676E-3</v>
      </c>
      <c r="R1036">
        <v>1.66959787323323E-3</v>
      </c>
      <c r="S1036">
        <v>0.24597924766318174</v>
      </c>
      <c r="T1036">
        <v>1.381483661204574</v>
      </c>
      <c r="U1036">
        <v>0.20695476697021714</v>
      </c>
      <c r="V1036">
        <v>0.23815327355402161</v>
      </c>
      <c r="W1036">
        <v>9.5741260374300419E-2</v>
      </c>
      <c r="X1036">
        <v>1.5334154934383979E-2</v>
      </c>
      <c r="Y1036">
        <v>4.5440950281498606E-3</v>
      </c>
    </row>
    <row r="1037" spans="1:25">
      <c r="A1037" s="1010"/>
      <c r="B1037" s="1351">
        <v>787</v>
      </c>
      <c r="C1037" s="1014">
        <v>0.98854132884732204</v>
      </c>
      <c r="D1037" s="1014">
        <v>1.0256187947093991</v>
      </c>
      <c r="E1037" s="1014">
        <v>1.0027856485288889</v>
      </c>
      <c r="F1037" s="1014">
        <v>0.98889470313738681</v>
      </c>
      <c r="G1037" s="1014">
        <v>0.9996548959832956</v>
      </c>
      <c r="H1037" s="1014">
        <v>0.99312408152059162</v>
      </c>
      <c r="I1037" s="1014">
        <v>1.0119608149650299</v>
      </c>
      <c r="K1037">
        <v>2.401716235728065</v>
      </c>
      <c r="L1037">
        <v>0</v>
      </c>
      <c r="M1037">
        <v>1.6308321834548124E-3</v>
      </c>
      <c r="N1037">
        <v>0.14966017480264865</v>
      </c>
      <c r="O1037">
        <v>2.1112896632264847E-2</v>
      </c>
      <c r="P1037">
        <v>2.8414222044801409E-2</v>
      </c>
      <c r="Q1037">
        <v>5.5402979066002415E-3</v>
      </c>
      <c r="R1037">
        <v>1.6091565409853529E-3</v>
      </c>
      <c r="S1037">
        <v>0.26085276987255901</v>
      </c>
      <c r="T1037">
        <v>1.3564657420929849</v>
      </c>
      <c r="U1037">
        <v>0.21444010769006114</v>
      </c>
      <c r="V1037">
        <v>0.24618549047191665</v>
      </c>
      <c r="W1037">
        <v>9.8154097759301548E-2</v>
      </c>
      <c r="X1037">
        <v>1.6532518451146345E-2</v>
      </c>
      <c r="Y1037">
        <v>4.3795936462509592E-3</v>
      </c>
    </row>
    <row r="1038" spans="1:25">
      <c r="A1038" s="1010"/>
      <c r="B1038" s="1351">
        <v>788</v>
      </c>
      <c r="C1038" s="1014">
        <v>1.0009061722584351</v>
      </c>
      <c r="D1038" s="1014">
        <v>0.98310813513639972</v>
      </c>
      <c r="E1038" s="1014">
        <v>0.97439082975860924</v>
      </c>
      <c r="F1038" s="1014">
        <v>1.0083492725318699</v>
      </c>
      <c r="G1038" s="1014">
        <v>0.98849859998003886</v>
      </c>
      <c r="H1038" s="1014">
        <v>0.9816051525918742</v>
      </c>
      <c r="I1038" s="1014">
        <v>0.99301752854637237</v>
      </c>
      <c r="K1038">
        <v>2.408590131445449</v>
      </c>
      <c r="L1038">
        <v>0</v>
      </c>
      <c r="M1038">
        <v>1.7042081159267253E-3</v>
      </c>
      <c r="N1038">
        <v>0.14350364096526944</v>
      </c>
      <c r="O1038">
        <v>2.1028315828397877E-2</v>
      </c>
      <c r="P1038">
        <v>2.8039371453263354E-2</v>
      </c>
      <c r="Q1038">
        <v>5.3618585770598528E-3</v>
      </c>
      <c r="R1038">
        <v>1.6812914191600488E-3</v>
      </c>
      <c r="S1038">
        <v>0.25701915421872001</v>
      </c>
      <c r="T1038">
        <v>1.3825337467941941</v>
      </c>
      <c r="U1038">
        <v>0.21169419487660784</v>
      </c>
      <c r="V1038">
        <v>0.24360210579759384</v>
      </c>
      <c r="W1038">
        <v>9.5732853558743974E-2</v>
      </c>
      <c r="X1038">
        <v>1.5521885066977418E-2</v>
      </c>
      <c r="Y1038">
        <v>4.5759210053862819E-3</v>
      </c>
    </row>
    <row r="1039" spans="1:25">
      <c r="A1039" s="1010"/>
      <c r="B1039" s="1351">
        <v>789</v>
      </c>
      <c r="C1039" s="1014">
        <v>1.0228888094089224</v>
      </c>
      <c r="D1039" s="1014">
        <v>0.99264756671220145</v>
      </c>
      <c r="E1039" s="1014">
        <v>1.0419211567637132</v>
      </c>
      <c r="F1039" s="1014">
        <v>0.96030085023560208</v>
      </c>
      <c r="G1039" s="1014">
        <v>1.0006660383649817</v>
      </c>
      <c r="H1039" s="1014">
        <v>0.9853099582231265</v>
      </c>
      <c r="I1039" s="1014">
        <v>1.0158483081663832</v>
      </c>
      <c r="K1039">
        <v>2.3485666621127907</v>
      </c>
      <c r="L1039">
        <v>0</v>
      </c>
      <c r="M1039">
        <v>1.4517482040243192E-3</v>
      </c>
      <c r="N1039">
        <v>0.14990196672219763</v>
      </c>
      <c r="O1039">
        <v>2.0576673735184008E-2</v>
      </c>
      <c r="P1039">
        <v>2.8513511077545035E-2</v>
      </c>
      <c r="Q1039">
        <v>5.6135280454658086E-3</v>
      </c>
      <c r="R1039">
        <v>1.4322997697406249E-3</v>
      </c>
      <c r="S1039">
        <v>0.25689030644447547</v>
      </c>
      <c r="T1039">
        <v>1.3180599586386801</v>
      </c>
      <c r="U1039">
        <v>0.20737066758970735</v>
      </c>
      <c r="V1039">
        <v>0.24410066968451086</v>
      </c>
      <c r="W1039">
        <v>9.6091206194395137E-2</v>
      </c>
      <c r="X1039">
        <v>1.7569374599172204E-2</v>
      </c>
      <c r="Y1039">
        <v>3.8982478157417815E-3</v>
      </c>
    </row>
    <row r="1040" spans="1:25">
      <c r="A1040" s="1010"/>
      <c r="B1040" s="1351">
        <v>790</v>
      </c>
      <c r="C1040" s="1014">
        <v>0.97399378018066518</v>
      </c>
      <c r="D1040" s="1014">
        <v>1.0161074033549968</v>
      </c>
      <c r="E1040" s="1014">
        <v>1.0264878623561655</v>
      </c>
      <c r="F1040" s="1014">
        <v>0.99753050521891951</v>
      </c>
      <c r="G1040" s="1014">
        <v>1.011517764082329</v>
      </c>
      <c r="H1040" s="1014">
        <v>1.0448831225457007</v>
      </c>
      <c r="I1040" s="1014">
        <v>1.0078142615148555</v>
      </c>
      <c r="K1040">
        <v>2.4538795425724222</v>
      </c>
      <c r="L1040">
        <v>0</v>
      </c>
      <c r="M1040">
        <v>1.6611237794730478E-3</v>
      </c>
      <c r="N1040">
        <v>0.16385318075500385</v>
      </c>
      <c r="O1040">
        <v>2.1488336182333961E-2</v>
      </c>
      <c r="P1040">
        <v>2.9294061884201181E-2</v>
      </c>
      <c r="Q1040">
        <v>5.7736696776453655E-3</v>
      </c>
      <c r="R1040">
        <v>1.640139188936397E-3</v>
      </c>
      <c r="S1040">
        <v>0.26963478698667775</v>
      </c>
      <c r="T1040">
        <v>1.3688243106295348</v>
      </c>
      <c r="U1040">
        <v>0.21772634963918841</v>
      </c>
      <c r="V1040">
        <v>0.24906962938923272</v>
      </c>
      <c r="W1040">
        <v>0.10597638581769615</v>
      </c>
      <c r="X1040">
        <v>1.7795898000892998E-2</v>
      </c>
      <c r="Y1040">
        <v>4.4639182005465489E-3</v>
      </c>
    </row>
    <row r="1041" spans="1:25">
      <c r="A1041" s="1010"/>
      <c r="B1041" s="1351">
        <v>791</v>
      </c>
      <c r="C1041" s="1014">
        <v>0.9805370100371904</v>
      </c>
      <c r="D1041" s="1014">
        <v>1.0075269779735478</v>
      </c>
      <c r="E1041" s="1014">
        <v>1.0056441714988804</v>
      </c>
      <c r="F1041" s="1014">
        <v>1.0020578796260615</v>
      </c>
      <c r="G1041" s="1014">
        <v>1.0457810331668107</v>
      </c>
      <c r="H1041" s="1014">
        <v>1.0395201839653387</v>
      </c>
      <c r="I1041" s="1014">
        <v>1.0201026077078517</v>
      </c>
      <c r="K1041">
        <v>2.4577274726955469</v>
      </c>
      <c r="L1041">
        <v>0</v>
      </c>
      <c r="M1041">
        <v>1.7174858273038961E-3</v>
      </c>
      <c r="N1041">
        <v>0.159074533093642</v>
      </c>
      <c r="O1041">
        <v>2.1370682228313391E-2</v>
      </c>
      <c r="P1041">
        <v>2.9008935229190198E-2</v>
      </c>
      <c r="Q1041">
        <v>5.6240431947660171E-3</v>
      </c>
      <c r="R1041">
        <v>1.695677294238506E-3</v>
      </c>
      <c r="S1041">
        <v>0.27158848405837871</v>
      </c>
      <c r="T1041">
        <v>1.3745836608411486</v>
      </c>
      <c r="U1041">
        <v>0.21620059657233112</v>
      </c>
      <c r="V1041">
        <v>0.25456638160242356</v>
      </c>
      <c r="W1041">
        <v>0.10415196066134169</v>
      </c>
      <c r="X1041">
        <v>1.6964929132027726E-2</v>
      </c>
      <c r="Y1041">
        <v>4.6150746150473978E-3</v>
      </c>
    </row>
    <row r="1042" spans="1:25">
      <c r="A1042" s="1010"/>
      <c r="B1042" s="1351">
        <v>792</v>
      </c>
      <c r="C1042" s="1014">
        <v>1.0041268423966874</v>
      </c>
      <c r="D1042" s="1014">
        <v>1.0483977117579688</v>
      </c>
      <c r="E1042" s="1014">
        <v>0.96374842601762889</v>
      </c>
      <c r="F1042" s="1014">
        <v>0.96621556567937961</v>
      </c>
      <c r="G1042" s="1014">
        <v>1.0249179329228966</v>
      </c>
      <c r="H1042" s="1014">
        <v>1.0059581734781793</v>
      </c>
      <c r="I1042" s="1014">
        <v>0.99197489105580905</v>
      </c>
      <c r="K1042">
        <v>2.3464833123142195</v>
      </c>
      <c r="L1042">
        <v>0</v>
      </c>
      <c r="M1042">
        <v>1.754556799760248E-3</v>
      </c>
      <c r="N1042">
        <v>0.14310517574070883</v>
      </c>
      <c r="O1042">
        <v>2.0659521348898105E-2</v>
      </c>
      <c r="P1042">
        <v>2.7016269526772583E-2</v>
      </c>
      <c r="Q1042">
        <v>5.2108033276601524E-3</v>
      </c>
      <c r="R1042">
        <v>1.7315342337521119E-3</v>
      </c>
      <c r="S1042">
        <v>0.2497598002138397</v>
      </c>
      <c r="T1042">
        <v>1.3245438403494236</v>
      </c>
      <c r="U1042">
        <v>0.21097915375190954</v>
      </c>
      <c r="V1042">
        <v>0.24966682683156211</v>
      </c>
      <c r="W1042">
        <v>9.6087873050906381E-2</v>
      </c>
      <c r="X1042">
        <v>1.4764405354379449E-2</v>
      </c>
      <c r="Y1042">
        <v>4.7126653841664985E-3</v>
      </c>
    </row>
    <row r="1043" spans="1:25">
      <c r="A1043" s="1010"/>
      <c r="B1043" s="1351">
        <v>793</v>
      </c>
      <c r="C1043" s="1014">
        <v>0.98283733736208423</v>
      </c>
      <c r="D1043" s="1014">
        <v>0.9946716594233731</v>
      </c>
      <c r="E1043" s="1014">
        <v>0.98112562340599319</v>
      </c>
      <c r="F1043" s="1014">
        <v>1.0078056238531499</v>
      </c>
      <c r="G1043" s="1014">
        <v>1.0161846154669671</v>
      </c>
      <c r="H1043" s="1014">
        <v>0.99702772850030841</v>
      </c>
      <c r="I1043" s="1014">
        <v>0.96602740702752243</v>
      </c>
      <c r="K1043">
        <v>2.4252099947849235</v>
      </c>
      <c r="L1043">
        <v>0</v>
      </c>
      <c r="M1043">
        <v>1.7339702265192225E-3</v>
      </c>
      <c r="N1043">
        <v>0.14904748384243255</v>
      </c>
      <c r="O1043">
        <v>2.1364423874846241E-2</v>
      </c>
      <c r="P1043">
        <v>2.8272469622834626E-2</v>
      </c>
      <c r="Q1043">
        <v>5.4850249785949523E-3</v>
      </c>
      <c r="R1043">
        <v>1.7110139938536441E-3</v>
      </c>
      <c r="S1043">
        <v>0.25447795904452364</v>
      </c>
      <c r="T1043">
        <v>1.381934481465082</v>
      </c>
      <c r="U1043">
        <v>0.21560939617151648</v>
      </c>
      <c r="V1043">
        <v>0.24945396065613892</v>
      </c>
      <c r="W1043">
        <v>9.9026966536031089E-2</v>
      </c>
      <c r="X1043">
        <v>1.5903968769930305E-2</v>
      </c>
      <c r="Y1043">
        <v>4.6568160556581337E-3</v>
      </c>
    </row>
    <row r="1044" spans="1:25">
      <c r="A1044" s="1010"/>
      <c r="B1044" s="1351">
        <v>794</v>
      </c>
      <c r="C1044" s="1014">
        <v>0.97731299172791908</v>
      </c>
      <c r="D1044" s="1014">
        <v>0.9987172568607795</v>
      </c>
      <c r="E1044" s="1014">
        <v>0.96598357432376103</v>
      </c>
      <c r="F1044" s="1014">
        <v>1.0094189026421243</v>
      </c>
      <c r="G1044" s="1014">
        <v>1.0147670793235575</v>
      </c>
      <c r="H1044" s="1014">
        <v>1.0210016381249594</v>
      </c>
      <c r="I1044" s="1014">
        <v>0.96278310605615225</v>
      </c>
      <c r="K1044">
        <v>2.4344155282760545</v>
      </c>
      <c r="L1044">
        <v>0</v>
      </c>
      <c r="M1044">
        <v>1.8407927552694027E-3</v>
      </c>
      <c r="N1044">
        <v>0.15118830466476552</v>
      </c>
      <c r="O1044">
        <v>2.1455769199306439E-2</v>
      </c>
      <c r="P1044">
        <v>2.8016285582483289E-2</v>
      </c>
      <c r="Q1044">
        <v>5.4240477699852045E-3</v>
      </c>
      <c r="R1044">
        <v>1.8169945242576745E-3</v>
      </c>
      <c r="S1044">
        <v>0.25642426602947138</v>
      </c>
      <c r="T1044">
        <v>1.3838178961788714</v>
      </c>
      <c r="U1044">
        <v>0.2167754133533267</v>
      </c>
      <c r="V1044">
        <v>0.24962698188920088</v>
      </c>
      <c r="W1044">
        <v>0.10137671467077718</v>
      </c>
      <c r="X1044">
        <v>1.5388387045931337E-2</v>
      </c>
      <c r="Y1044">
        <v>4.9452601229454454E-3</v>
      </c>
    </row>
    <row r="1045" spans="1:25">
      <c r="A1045" s="1010"/>
      <c r="B1045" s="1351">
        <v>795</v>
      </c>
      <c r="C1045" s="1014">
        <v>1.0177462006158147</v>
      </c>
      <c r="D1045" s="1014">
        <v>0.99234051593844386</v>
      </c>
      <c r="E1045" s="1014">
        <v>1.018258201975061</v>
      </c>
      <c r="F1045" s="1014">
        <v>1.0098400279231405</v>
      </c>
      <c r="G1045" s="1014">
        <v>1.0064487945158016</v>
      </c>
      <c r="H1045" s="1014">
        <v>1.0143178755307414</v>
      </c>
      <c r="I1045" s="1014">
        <v>1.0333681246723521</v>
      </c>
      <c r="K1045">
        <v>2.4314063250517903</v>
      </c>
      <c r="L1045">
        <v>0</v>
      </c>
      <c r="M1045">
        <v>1.5780674149710515E-3</v>
      </c>
      <c r="N1045">
        <v>0.15178559673814396</v>
      </c>
      <c r="O1045">
        <v>2.0666527148495272E-2</v>
      </c>
      <c r="P1045">
        <v>2.9105896512188714E-2</v>
      </c>
      <c r="Q1045">
        <v>5.5076725544758471E-3</v>
      </c>
      <c r="R1045">
        <v>1.5575313281617938E-3</v>
      </c>
      <c r="S1045">
        <v>0.26499601330719152</v>
      </c>
      <c r="T1045">
        <v>1.3855350638677175</v>
      </c>
      <c r="U1045">
        <v>0.2083386639125997</v>
      </c>
      <c r="V1045">
        <v>0.24547875556257764</v>
      </c>
      <c r="W1045">
        <v>9.8644286030116865E-2</v>
      </c>
      <c r="X1045">
        <v>1.7129298669896643E-2</v>
      </c>
      <c r="Y1045">
        <v>4.2390868351920626E-3</v>
      </c>
    </row>
    <row r="1046" spans="1:25">
      <c r="A1046" s="1010"/>
      <c r="B1046" s="1351">
        <v>796</v>
      </c>
      <c r="C1046" s="1014">
        <v>0.99295437279695775</v>
      </c>
      <c r="D1046" s="1014">
        <v>0.99098855304050948</v>
      </c>
      <c r="E1046" s="1014">
        <v>0.99592115084177457</v>
      </c>
      <c r="F1046" s="1014">
        <v>1.0263097483320467</v>
      </c>
      <c r="G1046" s="1014">
        <v>1.0061436174397529</v>
      </c>
      <c r="H1046" s="1014">
        <v>1.0221331235769331</v>
      </c>
      <c r="I1046" s="1014">
        <v>0.97214025474782395</v>
      </c>
      <c r="K1046">
        <v>2.4556936383930608</v>
      </c>
      <c r="L1046">
        <v>0</v>
      </c>
      <c r="M1046">
        <v>1.70782710290881E-3</v>
      </c>
      <c r="N1046">
        <v>0.15356758601096748</v>
      </c>
      <c r="O1046">
        <v>2.1173901983367549E-2</v>
      </c>
      <c r="P1046">
        <v>2.8899789233155625E-2</v>
      </c>
      <c r="Q1046">
        <v>5.5180860098803207E-3</v>
      </c>
      <c r="R1046">
        <v>1.6857723265921391E-3</v>
      </c>
      <c r="S1046">
        <v>0.256164919378574</v>
      </c>
      <c r="T1046">
        <v>1.4076355637107592</v>
      </c>
      <c r="U1046">
        <v>0.21346343070642929</v>
      </c>
      <c r="V1046">
        <v>0.24703772942957464</v>
      </c>
      <c r="W1046">
        <v>0.10112872275675275</v>
      </c>
      <c r="X1046">
        <v>1.6537847391632832E-2</v>
      </c>
      <c r="Y1046">
        <v>4.5881165582856934E-3</v>
      </c>
    </row>
    <row r="1047" spans="1:25">
      <c r="A1047" s="1010"/>
      <c r="B1047" s="1351">
        <v>797</v>
      </c>
      <c r="C1047" s="1014">
        <v>1.0118551625654586</v>
      </c>
      <c r="D1047" s="1014">
        <v>0.99731483333412962</v>
      </c>
      <c r="E1047" s="1014">
        <v>0.97123462481919642</v>
      </c>
      <c r="F1047" s="1014">
        <v>1.0318060349397902</v>
      </c>
      <c r="G1047" s="1014">
        <v>1.0401513168004923</v>
      </c>
      <c r="H1047" s="1014">
        <v>0.99582700270564972</v>
      </c>
      <c r="I1047" s="1014">
        <v>1.0299010077551931</v>
      </c>
      <c r="K1047">
        <v>2.4522765047205528</v>
      </c>
      <c r="L1047">
        <v>0</v>
      </c>
      <c r="M1047">
        <v>1.715951417892539E-3</v>
      </c>
      <c r="N1047">
        <v>0.1431463495629007</v>
      </c>
      <c r="O1047">
        <v>2.0733159731647292E-2</v>
      </c>
      <c r="P1047">
        <v>2.8558301310166987E-2</v>
      </c>
      <c r="Q1047">
        <v>5.2695990192571972E-3</v>
      </c>
      <c r="R1047">
        <v>1.6932063463107512E-3</v>
      </c>
      <c r="S1047">
        <v>0.26298705061990779</v>
      </c>
      <c r="T1047">
        <v>1.4146249531321122</v>
      </c>
      <c r="U1047">
        <v>0.20939289835641797</v>
      </c>
      <c r="V1047">
        <v>0.25176732094468424</v>
      </c>
      <c r="W1047">
        <v>9.5677709103455924E-2</v>
      </c>
      <c r="X1047">
        <v>1.5533558502246643E-2</v>
      </c>
      <c r="Y1047">
        <v>4.6083495093358117E-3</v>
      </c>
    </row>
    <row r="1048" spans="1:25">
      <c r="A1048" s="1010"/>
      <c r="B1048" s="1351">
        <v>798</v>
      </c>
      <c r="C1048" s="1014">
        <v>0.97278139385310125</v>
      </c>
      <c r="D1048" s="1014">
        <v>1.0091157102770947</v>
      </c>
      <c r="E1048" s="1014">
        <v>1.0010262067983113</v>
      </c>
      <c r="F1048" s="1014">
        <v>1.0439947571876451</v>
      </c>
      <c r="G1048" s="1014">
        <v>1.0005482038272815</v>
      </c>
      <c r="H1048" s="1014">
        <v>1.0293103189896762</v>
      </c>
      <c r="I1048" s="1014">
        <v>1.0206296171393745</v>
      </c>
      <c r="K1048">
        <v>2.5102512394972787</v>
      </c>
      <c r="L1048">
        <v>0</v>
      </c>
      <c r="M1048">
        <v>1.7300834118854781E-3</v>
      </c>
      <c r="N1048">
        <v>0.15800156741365615</v>
      </c>
      <c r="O1048">
        <v>2.1530450969234161E-2</v>
      </c>
      <c r="P1048">
        <v>2.9634410204747722E-2</v>
      </c>
      <c r="Q1048">
        <v>5.63989682286389E-3</v>
      </c>
      <c r="R1048">
        <v>1.7078970070217919E-3</v>
      </c>
      <c r="S1048">
        <v>0.27273173181299404</v>
      </c>
      <c r="T1048">
        <v>1.4320066806269338</v>
      </c>
      <c r="U1048">
        <v>0.21790804632850364</v>
      </c>
      <c r="V1048">
        <v>0.24736687526321002</v>
      </c>
      <c r="W1048">
        <v>0.10373302635949901</v>
      </c>
      <c r="X1048">
        <v>1.7072407455482601E-2</v>
      </c>
      <c r="Y1048">
        <v>4.6483326450162642E-3</v>
      </c>
    </row>
    <row r="1049" spans="1:25">
      <c r="A1049" s="1010"/>
      <c r="B1049" s="1351">
        <v>799</v>
      </c>
      <c r="C1049" s="1014">
        <v>0.99298291055422616</v>
      </c>
      <c r="D1049" s="1014">
        <v>1.0431342676895592</v>
      </c>
      <c r="E1049" s="1014">
        <v>1.0063361888037059</v>
      </c>
      <c r="F1049" s="1014">
        <v>0.9903667771511262</v>
      </c>
      <c r="G1049" s="1014">
        <v>1.0004736055987635</v>
      </c>
      <c r="H1049" s="1014">
        <v>0.98416825175177958</v>
      </c>
      <c r="I1049" s="1014">
        <v>0.97289167538904853</v>
      </c>
      <c r="K1049">
        <v>2.3846567466683717</v>
      </c>
      <c r="L1049">
        <v>0</v>
      </c>
      <c r="M1049">
        <v>1.5911438290161573E-3</v>
      </c>
      <c r="N1049">
        <v>0.14757414284934639</v>
      </c>
      <c r="O1049">
        <v>2.0942654999402809E-2</v>
      </c>
      <c r="P1049">
        <v>2.8310889538523853E-2</v>
      </c>
      <c r="Q1049">
        <v>5.5152232403796455E-3</v>
      </c>
      <c r="R1049">
        <v>1.5698032447139354E-3</v>
      </c>
      <c r="S1049">
        <v>0.24685569285059983</v>
      </c>
      <c r="T1049">
        <v>1.358561106154538</v>
      </c>
      <c r="U1049">
        <v>0.21349315477462733</v>
      </c>
      <c r="V1049">
        <v>0.2460303135419678</v>
      </c>
      <c r="W1049">
        <v>9.6582686263696149E-2</v>
      </c>
      <c r="X1049">
        <v>1.6539736092981289E-2</v>
      </c>
      <c r="Y1049">
        <v>4.2724869466107896E-3</v>
      </c>
    </row>
    <row r="1050" spans="1:25">
      <c r="A1050" s="1010"/>
      <c r="B1050" s="1351">
        <v>800</v>
      </c>
      <c r="C1050" s="1014">
        <v>0.98566498822466242</v>
      </c>
      <c r="D1050" s="1014">
        <v>1.0451855093118485</v>
      </c>
      <c r="E1050" s="1014">
        <v>1.0191105668935854</v>
      </c>
      <c r="F1050" s="1014">
        <v>0.96912498419307558</v>
      </c>
      <c r="G1050" s="1014">
        <v>0.99917924349304876</v>
      </c>
      <c r="H1050" s="1014">
        <v>0.97181260455712015</v>
      </c>
      <c r="I1050" s="1014">
        <v>1.0092149770597083</v>
      </c>
      <c r="K1050">
        <v>2.368896264161322</v>
      </c>
      <c r="L1050">
        <v>0</v>
      </c>
      <c r="M1050">
        <v>1.5406958557084075E-3</v>
      </c>
      <c r="N1050">
        <v>0.14848693831029472</v>
      </c>
      <c r="O1050">
        <v>2.1097559069775236E-2</v>
      </c>
      <c r="P1050">
        <v>2.8341504019839484E-2</v>
      </c>
      <c r="Q1050">
        <v>5.6273133280138922E-3</v>
      </c>
      <c r="R1050">
        <v>1.5197691626122685E-3</v>
      </c>
      <c r="S1050">
        <v>0.25675966052244648</v>
      </c>
      <c r="T1050">
        <v>1.3296905628330362</v>
      </c>
      <c r="U1050">
        <v>0.2151225904152812</v>
      </c>
      <c r="V1050">
        <v>0.24623093596301623</v>
      </c>
      <c r="W1050">
        <v>9.6452352872659644E-2</v>
      </c>
      <c r="X1050">
        <v>1.6971462851192311E-2</v>
      </c>
      <c r="Y1050">
        <v>4.1363106688607843E-3</v>
      </c>
    </row>
    <row r="1051" spans="1:25">
      <c r="A1051" s="1010"/>
      <c r="B1051" s="1351">
        <v>801</v>
      </c>
      <c r="C1051" s="1014">
        <v>1.0342664541906885</v>
      </c>
      <c r="D1051" s="1014">
        <v>0.97820498453293625</v>
      </c>
      <c r="E1051" s="1014">
        <v>0.97802195748980414</v>
      </c>
      <c r="F1051" s="1014">
        <v>1.0186569931361857</v>
      </c>
      <c r="G1051" s="1014">
        <v>0.97899417474828343</v>
      </c>
      <c r="H1051" s="1014">
        <v>1.0340648846045886</v>
      </c>
      <c r="I1051" s="1014">
        <v>1.000595315102347</v>
      </c>
      <c r="K1051">
        <v>2.4160307608863252</v>
      </c>
      <c r="L1051">
        <v>0</v>
      </c>
      <c r="M1051">
        <v>1.7262884217395442E-3</v>
      </c>
      <c r="N1051">
        <v>0.14707084564716891</v>
      </c>
      <c r="O1051">
        <v>2.0374776345270944E-2</v>
      </c>
      <c r="P1051">
        <v>2.8148614268455659E-2</v>
      </c>
      <c r="Q1051">
        <v>5.2144672112633761E-3</v>
      </c>
      <c r="R1051">
        <v>1.7042524713592249E-3</v>
      </c>
      <c r="S1051">
        <v>0.25562466929088967</v>
      </c>
      <c r="T1051">
        <v>1.3967461260385894</v>
      </c>
      <c r="U1051">
        <v>0.20487794975433596</v>
      </c>
      <c r="V1051">
        <v>0.2399549043803143</v>
      </c>
      <c r="W1051">
        <v>9.7897046182480449E-2</v>
      </c>
      <c r="X1051">
        <v>1.5504984297571365E-2</v>
      </c>
      <c r="Y1051">
        <v>4.6384134203636138E-3</v>
      </c>
    </row>
    <row r="1052" spans="1:25">
      <c r="A1052" s="1010"/>
      <c r="B1052" s="1351">
        <v>802</v>
      </c>
      <c r="C1052" s="1014">
        <v>1.0209209015349368</v>
      </c>
      <c r="D1052" s="1014">
        <v>1.022031569095994</v>
      </c>
      <c r="E1052" s="1014">
        <v>1.0216352154168651</v>
      </c>
      <c r="F1052" s="1014">
        <v>0.99991115172065481</v>
      </c>
      <c r="G1052" s="1014">
        <v>0.99591790480887388</v>
      </c>
      <c r="H1052" s="1014">
        <v>1.0345716576105974</v>
      </c>
      <c r="I1052" s="1014">
        <v>0.99826130023969628</v>
      </c>
      <c r="K1052">
        <v>2.4060611639744138</v>
      </c>
      <c r="L1052">
        <v>0</v>
      </c>
      <c r="M1052">
        <v>1.5830372761896781E-3</v>
      </c>
      <c r="N1052">
        <v>0.15386247920153537</v>
      </c>
      <c r="O1052">
        <v>2.0471261336968954E-2</v>
      </c>
      <c r="P1052">
        <v>2.8789648946563353E-2</v>
      </c>
      <c r="Q1052">
        <v>5.4739809902919021E-3</v>
      </c>
      <c r="R1052">
        <v>1.5628398149568985E-3</v>
      </c>
      <c r="S1052">
        <v>0.25317813179934723</v>
      </c>
      <c r="T1052">
        <v>1.371985625187661</v>
      </c>
      <c r="U1052">
        <v>0.20770214607612691</v>
      </c>
      <c r="V1052">
        <v>0.24347874806212205</v>
      </c>
      <c r="W1052">
        <v>9.9796661166347153E-2</v>
      </c>
      <c r="X1052">
        <v>1.7089143882374515E-2</v>
      </c>
      <c r="Y1052">
        <v>4.2535347863061372E-3</v>
      </c>
    </row>
    <row r="1053" spans="1:25">
      <c r="A1053" s="1010"/>
      <c r="B1053" s="1351">
        <v>803</v>
      </c>
      <c r="C1053" s="1014">
        <v>1.0202980996743292</v>
      </c>
      <c r="D1053" s="1014">
        <v>1.0069751708207293</v>
      </c>
      <c r="E1053" s="1014">
        <v>1.0262564600315667</v>
      </c>
      <c r="F1053" s="1014">
        <v>0.98877049857249977</v>
      </c>
      <c r="G1053" s="1014">
        <v>1.0029535640445419</v>
      </c>
      <c r="H1053" s="1014">
        <v>1.0004391935651438</v>
      </c>
      <c r="I1053" s="1014">
        <v>1.0204846889683512</v>
      </c>
      <c r="K1053">
        <v>2.3904021535581728</v>
      </c>
      <c r="L1053">
        <v>0</v>
      </c>
      <c r="M1053">
        <v>1.5220396701954822E-3</v>
      </c>
      <c r="N1053">
        <v>0.14994393422370966</v>
      </c>
      <c r="O1053">
        <v>2.0553760662201163E-2</v>
      </c>
      <c r="P1053">
        <v>2.8761958222312145E-2</v>
      </c>
      <c r="Q1053">
        <v>5.5212940853201749E-3</v>
      </c>
      <c r="R1053">
        <v>1.5019579231224001E-3</v>
      </c>
      <c r="S1053">
        <v>0.25802133467820637</v>
      </c>
      <c r="T1053">
        <v>1.3567987416574467</v>
      </c>
      <c r="U1053">
        <v>0.20784446844602394</v>
      </c>
      <c r="V1053">
        <v>0.24470052618001673</v>
      </c>
      <c r="W1053">
        <v>9.699327685077111E-2</v>
      </c>
      <c r="X1053">
        <v>1.7195105952795064E-2</v>
      </c>
      <c r="Y1053">
        <v>4.0878343464428816E-3</v>
      </c>
    </row>
    <row r="1054" spans="1:25">
      <c r="A1054" s="1010"/>
      <c r="B1054" s="1351">
        <v>804</v>
      </c>
      <c r="C1054" s="1014">
        <v>1.0019615317866368</v>
      </c>
      <c r="D1054" s="1014">
        <v>0.97338091856770126</v>
      </c>
      <c r="E1054" s="1014">
        <v>0.99976819787037374</v>
      </c>
      <c r="F1054" s="1014">
        <v>0.96627997956500722</v>
      </c>
      <c r="G1054" s="1014">
        <v>1.0067950497897264</v>
      </c>
      <c r="H1054" s="1014">
        <v>1.0000613926283599</v>
      </c>
      <c r="I1054" s="1014">
        <v>0.99329960255990335</v>
      </c>
      <c r="K1054">
        <v>2.3670544154307551</v>
      </c>
      <c r="L1054">
        <v>0</v>
      </c>
      <c r="M1054">
        <v>1.6492623110833822E-3</v>
      </c>
      <c r="N1054">
        <v>0.1499921295702214</v>
      </c>
      <c r="O1054">
        <v>2.1069044728317037E-2</v>
      </c>
      <c r="P1054">
        <v>2.7879113033861855E-2</v>
      </c>
      <c r="Q1054">
        <v>5.5120585534668013E-3</v>
      </c>
      <c r="R1054">
        <v>1.6274937716281121E-3</v>
      </c>
      <c r="S1054">
        <v>0.25988767817772446</v>
      </c>
      <c r="T1054">
        <v>1.3253820736218738</v>
      </c>
      <c r="U1054">
        <v>0.21155761561524056</v>
      </c>
      <c r="V1054">
        <v>0.24657020618383541</v>
      </c>
      <c r="W1054">
        <v>9.8548210137704095E-2</v>
      </c>
      <c r="X1054">
        <v>1.6248552804772127E-2</v>
      </c>
      <c r="Y1054">
        <v>4.4295015431940919E-3</v>
      </c>
    </row>
    <row r="1055" spans="1:25">
      <c r="A1055" s="1010"/>
      <c r="B1055" s="1351">
        <v>805</v>
      </c>
      <c r="C1055" s="1014">
        <v>1.0339868071488594</v>
      </c>
      <c r="D1055" s="1014">
        <v>1.0132591007788738</v>
      </c>
      <c r="E1055" s="1014">
        <v>0.9992369896016533</v>
      </c>
      <c r="F1055" s="1014">
        <v>1.0096426155900502</v>
      </c>
      <c r="G1055" s="1014">
        <v>0.97480780577744297</v>
      </c>
      <c r="H1055" s="1014">
        <v>1.0199162364041203</v>
      </c>
      <c r="I1055" s="1014">
        <v>0.99865366387962407</v>
      </c>
      <c r="K1055">
        <v>2.396595044106963</v>
      </c>
      <c r="L1055">
        <v>0</v>
      </c>
      <c r="M1055">
        <v>1.6173568250756861E-3</v>
      </c>
      <c r="N1055">
        <v>0.14689284012236914</v>
      </c>
      <c r="O1055">
        <v>2.0236588908306586E-2</v>
      </c>
      <c r="P1055">
        <v>2.8350916661477869E-2</v>
      </c>
      <c r="Q1055">
        <v>5.2914454962774502E-3</v>
      </c>
      <c r="R1055">
        <v>1.5964249777482688E-3</v>
      </c>
      <c r="S1055">
        <v>0.24976877715348564</v>
      </c>
      <c r="T1055">
        <v>1.3848481228352514</v>
      </c>
      <c r="U1055">
        <v>0.2050033670496296</v>
      </c>
      <c r="V1055">
        <v>0.23918082348119538</v>
      </c>
      <c r="W1055">
        <v>9.6542394737403892E-2</v>
      </c>
      <c r="X1055">
        <v>1.6155756980814371E-2</v>
      </c>
      <c r="Y1055">
        <v>4.3449425280783077E-3</v>
      </c>
    </row>
    <row r="1056" spans="1:25">
      <c r="A1056" s="1010"/>
      <c r="B1056" s="1351">
        <v>806</v>
      </c>
      <c r="C1056" s="1014">
        <v>0.96440562879344516</v>
      </c>
      <c r="D1056" s="1014">
        <v>0.99664379906009759</v>
      </c>
      <c r="E1056" s="1014">
        <v>1.0073338281527278</v>
      </c>
      <c r="F1056" s="1014">
        <v>0.99908594610835832</v>
      </c>
      <c r="G1056" s="1014">
        <v>1.0118847442449159</v>
      </c>
      <c r="H1056" s="1014">
        <v>1.0023278948467345</v>
      </c>
      <c r="I1056" s="1014">
        <v>1.0189110533515846</v>
      </c>
      <c r="K1056">
        <v>2.451162613501197</v>
      </c>
      <c r="L1056">
        <v>0</v>
      </c>
      <c r="M1056">
        <v>1.681854082237317E-3</v>
      </c>
      <c r="N1056">
        <v>0.15649643161487062</v>
      </c>
      <c r="O1056">
        <v>2.1781287308318652E-2</v>
      </c>
      <c r="P1056">
        <v>2.9007379236886864E-2</v>
      </c>
      <c r="Q1056">
        <v>5.7418093976534038E-3</v>
      </c>
      <c r="R1056">
        <v>1.6597055620412146E-3</v>
      </c>
      <c r="S1056">
        <v>0.27397034667293368</v>
      </c>
      <c r="T1056">
        <v>1.3705434374380614</v>
      </c>
      <c r="U1056">
        <v>0.21982292685456781</v>
      </c>
      <c r="V1056">
        <v>0.24983720108545379</v>
      </c>
      <c r="W1056">
        <v>0.10236166079413911</v>
      </c>
      <c r="X1056">
        <v>1.7105110200424389E-2</v>
      </c>
      <c r="Y1056">
        <v>4.5171714180847009E-3</v>
      </c>
    </row>
    <row r="1057" spans="1:25">
      <c r="A1057" s="1010"/>
      <c r="B1057" s="1351">
        <v>807</v>
      </c>
      <c r="C1057" s="1014">
        <v>0.99306922394882347</v>
      </c>
      <c r="D1057" s="1014">
        <v>0.99756823140353623</v>
      </c>
      <c r="E1057" s="1014">
        <v>1.011857275598623</v>
      </c>
      <c r="F1057" s="1014">
        <v>1.0374941604647674</v>
      </c>
      <c r="G1057" s="1014">
        <v>0.98953394269677608</v>
      </c>
      <c r="H1057" s="1014">
        <v>1.0239081751503145</v>
      </c>
      <c r="I1057" s="1014">
        <v>0.99442696457673896</v>
      </c>
      <c r="K1057">
        <v>2.4779369768425239</v>
      </c>
      <c r="L1057">
        <v>0</v>
      </c>
      <c r="M1057">
        <v>1.6525329093189742E-3</v>
      </c>
      <c r="N1057">
        <v>0.15592630883723402</v>
      </c>
      <c r="O1057">
        <v>2.1151315238890311E-2</v>
      </c>
      <c r="P1057">
        <v>2.9492933243611349E-2</v>
      </c>
      <c r="Q1057">
        <v>5.6010163959490473E-3</v>
      </c>
      <c r="R1057">
        <v>1.6312291952335486E-3</v>
      </c>
      <c r="S1057">
        <v>0.26142568643877601</v>
      </c>
      <c r="T1057">
        <v>1.42333342006653</v>
      </c>
      <c r="U1057">
        <v>0.21349362969138985</v>
      </c>
      <c r="V1057">
        <v>0.2441377218638465</v>
      </c>
      <c r="W1057">
        <v>0.10171698736745276</v>
      </c>
      <c r="X1057">
        <v>1.7239593278063153E-2</v>
      </c>
      <c r="Y1057">
        <v>4.4396681348660297E-3</v>
      </c>
    </row>
    <row r="1058" spans="1:25">
      <c r="A1058" s="1010"/>
      <c r="B1058" s="1351">
        <v>808</v>
      </c>
      <c r="C1058" s="1014">
        <v>0.99643479816939895</v>
      </c>
      <c r="D1058" s="1014">
        <v>1.0119821801817641</v>
      </c>
      <c r="E1058" s="1014">
        <v>0.98464345625825467</v>
      </c>
      <c r="F1058" s="1014">
        <v>1.0194050016306178</v>
      </c>
      <c r="G1058" s="1014">
        <v>0.98689326521860443</v>
      </c>
      <c r="H1058" s="1014">
        <v>1.0332596433643801</v>
      </c>
      <c r="I1058" s="1014">
        <v>0.97339476787991241</v>
      </c>
      <c r="K1058">
        <v>2.4368270565715644</v>
      </c>
      <c r="L1058">
        <v>0</v>
      </c>
      <c r="M1058">
        <v>1.7529421221084377E-3</v>
      </c>
      <c r="N1058">
        <v>0.15236191103608571</v>
      </c>
      <c r="O1058">
        <v>2.099537665843507E-2</v>
      </c>
      <c r="P1058">
        <v>2.8435081437592883E-2</v>
      </c>
      <c r="Q1058">
        <v>5.4095536556494688E-3</v>
      </c>
      <c r="R1058">
        <v>1.7305485008802862E-3</v>
      </c>
      <c r="S1058">
        <v>0.25377353794478374</v>
      </c>
      <c r="T1058">
        <v>1.3979171980625751</v>
      </c>
      <c r="U1058">
        <v>0.21267920093779008</v>
      </c>
      <c r="V1058">
        <v>0.24357054809675296</v>
      </c>
      <c r="W1058">
        <v>0.10101476025012114</v>
      </c>
      <c r="X1058">
        <v>1.5982299568769277E-2</v>
      </c>
      <c r="Y1058">
        <v>4.7099825442361428E-3</v>
      </c>
    </row>
    <row r="1059" spans="1:25">
      <c r="A1059" s="1010"/>
      <c r="B1059" s="1351">
        <v>809</v>
      </c>
      <c r="C1059" s="1014">
        <v>1.0172958587275855</v>
      </c>
      <c r="D1059" s="1014">
        <v>1.0067711430350319</v>
      </c>
      <c r="E1059" s="1014">
        <v>0.98807093047715489</v>
      </c>
      <c r="F1059" s="1014">
        <v>0.99294481525401279</v>
      </c>
      <c r="G1059" s="1014">
        <v>0.99517079793996588</v>
      </c>
      <c r="H1059" s="1014">
        <v>0.96771866901232051</v>
      </c>
      <c r="I1059" s="1014">
        <v>1.0336476093876512</v>
      </c>
      <c r="K1059">
        <v>2.3797990197792149</v>
      </c>
      <c r="L1059">
        <v>0</v>
      </c>
      <c r="M1059">
        <v>1.5985308532815517E-3</v>
      </c>
      <c r="N1059">
        <v>0.14026546740663259</v>
      </c>
      <c r="O1059">
        <v>2.0590435694720709E-2</v>
      </c>
      <c r="P1059">
        <v>2.8032523910449657E-2</v>
      </c>
      <c r="Q1059">
        <v>5.3236672595208768E-3</v>
      </c>
      <c r="R1059">
        <v>1.5767267554498566E-3</v>
      </c>
      <c r="S1059">
        <v>0.2590078026320175</v>
      </c>
      <c r="T1059">
        <v>1.3617055615079316</v>
      </c>
      <c r="U1059">
        <v>0.20832941102411345</v>
      </c>
      <c r="V1059">
        <v>0.2436885585250988</v>
      </c>
      <c r="W1059">
        <v>9.2803614809526133E-2</v>
      </c>
      <c r="X1059">
        <v>1.5782450646533094E-2</v>
      </c>
      <c r="Y1059">
        <v>4.2913304604992658E-3</v>
      </c>
    </row>
    <row r="1060" spans="1:25">
      <c r="A1060" s="1010"/>
      <c r="B1060" s="1351">
        <v>810</v>
      </c>
      <c r="C1060" s="1014">
        <v>0.98667951981186497</v>
      </c>
      <c r="D1060" s="1014">
        <v>0.98912738886168894</v>
      </c>
      <c r="E1060" s="1014">
        <v>0.95738610384386069</v>
      </c>
      <c r="F1060" s="1014">
        <v>0.99707005513855307</v>
      </c>
      <c r="G1060" s="1014">
        <v>0.97797186419513082</v>
      </c>
      <c r="H1060" s="1014">
        <v>0.9801918321786226</v>
      </c>
      <c r="I1060" s="1014">
        <v>1.0056563939767089</v>
      </c>
      <c r="K1060">
        <v>2.4000891327615634</v>
      </c>
      <c r="L1060">
        <v>0</v>
      </c>
      <c r="M1060">
        <v>1.7855289128447735E-3</v>
      </c>
      <c r="N1060">
        <v>0.1428008339851306</v>
      </c>
      <c r="O1060">
        <v>2.1291489121003367E-2</v>
      </c>
      <c r="P1060">
        <v>2.7573163528387158E-2</v>
      </c>
      <c r="Q1060">
        <v>5.3352087935637253E-3</v>
      </c>
      <c r="R1060">
        <v>1.7614840653886231E-3</v>
      </c>
      <c r="S1060">
        <v>0.26296836016583969</v>
      </c>
      <c r="T1060">
        <v>1.3667048863230762</v>
      </c>
      <c r="U1060">
        <v>0.21468797168462411</v>
      </c>
      <c r="V1060">
        <v>0.242762618234873</v>
      </c>
      <c r="W1060">
        <v>9.6258340432793479E-2</v>
      </c>
      <c r="X1060">
        <v>1.4936126386808543E-2</v>
      </c>
      <c r="Y1060">
        <v>4.7941789529217359E-3</v>
      </c>
    </row>
    <row r="1061" spans="1:25">
      <c r="A1061" s="1010"/>
      <c r="B1061" s="1351">
        <v>811</v>
      </c>
      <c r="C1061" s="1014">
        <v>0.96925733445858175</v>
      </c>
      <c r="D1061" s="1014">
        <v>1.0066099153360444</v>
      </c>
      <c r="E1061" s="1014">
        <v>1.0077095995752032</v>
      </c>
      <c r="F1061" s="1014">
        <v>0.98600356276195888</v>
      </c>
      <c r="G1061" s="1014">
        <v>1.0139310377731352</v>
      </c>
      <c r="H1061" s="1014">
        <v>0.99978778685823377</v>
      </c>
      <c r="I1061" s="1014">
        <v>0.9700365411682953</v>
      </c>
      <c r="K1061">
        <v>2.4128300293590423</v>
      </c>
      <c r="L1061">
        <v>0</v>
      </c>
      <c r="M1061">
        <v>1.6642454644287654E-3</v>
      </c>
      <c r="N1061">
        <v>0.15502850510298508</v>
      </c>
      <c r="O1061">
        <v>2.1625127581663479E-2</v>
      </c>
      <c r="P1061">
        <v>2.8535581458896411E-2</v>
      </c>
      <c r="Q1061">
        <v>5.7027885156437363E-3</v>
      </c>
      <c r="R1061">
        <v>1.6422731516203301E-3</v>
      </c>
      <c r="S1061">
        <v>0.25802125446990082</v>
      </c>
      <c r="T1061">
        <v>1.3526050844111326</v>
      </c>
      <c r="U1061">
        <v>0.21872390998075647</v>
      </c>
      <c r="V1061">
        <v>0.24986134523071934</v>
      </c>
      <c r="W1061">
        <v>0.10137900464354466</v>
      </c>
      <c r="X1061">
        <v>1.6899674133097082E-2</v>
      </c>
      <c r="Y1061">
        <v>4.469726143511603E-3</v>
      </c>
    </row>
    <row r="1062" spans="1:25">
      <c r="A1062" s="1010"/>
      <c r="B1062" s="1351">
        <v>812</v>
      </c>
      <c r="C1062" s="1014">
        <v>0.98815467840497839</v>
      </c>
      <c r="D1062" s="1014">
        <v>1.0386594748216282</v>
      </c>
      <c r="E1062" s="1014">
        <v>0.99885633125731421</v>
      </c>
      <c r="F1062" s="1014">
        <v>0.97305349582701584</v>
      </c>
      <c r="G1062" s="1014">
        <v>1.004659583983845</v>
      </c>
      <c r="H1062" s="1014">
        <v>1.007338944361079</v>
      </c>
      <c r="I1062" s="1014">
        <v>0.97833637726924538</v>
      </c>
      <c r="K1062">
        <v>2.3733889844405107</v>
      </c>
      <c r="L1062">
        <v>0</v>
      </c>
      <c r="M1062">
        <v>1.6637356075406792E-3</v>
      </c>
      <c r="N1062">
        <v>0.15090669047470212</v>
      </c>
      <c r="O1062">
        <v>2.1059912375441751E-2</v>
      </c>
      <c r="P1062">
        <v>2.7924301733430794E-2</v>
      </c>
      <c r="Q1062">
        <v>5.5046196464299795E-3</v>
      </c>
      <c r="R1062">
        <v>1.6419346833071479E-3</v>
      </c>
      <c r="S1062">
        <v>0.25185973996773542</v>
      </c>
      <c r="T1062">
        <v>1.3346536680191412</v>
      </c>
      <c r="U1062">
        <v>0.21451042088659261</v>
      </c>
      <c r="V1062">
        <v>0.24707888551763812</v>
      </c>
      <c r="W1062">
        <v>9.9202876232987944E-2</v>
      </c>
      <c r="X1062">
        <v>1.6240865566303445E-2</v>
      </c>
      <c r="Y1062">
        <v>4.4688049443391709E-3</v>
      </c>
    </row>
    <row r="1063" spans="1:25">
      <c r="A1063" s="1010"/>
      <c r="B1063" s="1351">
        <v>813</v>
      </c>
      <c r="C1063" s="1014">
        <v>0.96187609109616334</v>
      </c>
      <c r="D1063" s="1014">
        <v>0.9606088697579328</v>
      </c>
      <c r="E1063" s="1014">
        <v>0.97947722324456965</v>
      </c>
      <c r="F1063" s="1014">
        <v>1.0360795087108521</v>
      </c>
      <c r="G1063" s="1014">
        <v>0.983469453693261</v>
      </c>
      <c r="H1063" s="1014">
        <v>1.0057549933659342</v>
      </c>
      <c r="I1063" s="1014">
        <v>0.9662245943168486</v>
      </c>
      <c r="K1063">
        <v>2.4866737141074187</v>
      </c>
      <c r="L1063">
        <v>0</v>
      </c>
      <c r="M1063">
        <v>1.8071690799618303E-3</v>
      </c>
      <c r="N1063">
        <v>0.15458464868122701</v>
      </c>
      <c r="O1063">
        <v>2.1996845949822864E-2</v>
      </c>
      <c r="P1063">
        <v>2.8911316768386722E-2</v>
      </c>
      <c r="Q1063">
        <v>5.6379384315749358E-3</v>
      </c>
      <c r="R1063">
        <v>1.7834513670269096E-3</v>
      </c>
      <c r="S1063">
        <v>0.2654224964692683</v>
      </c>
      <c r="T1063">
        <v>1.4206677252012303</v>
      </c>
      <c r="U1063">
        <v>0.22030212624994036</v>
      </c>
      <c r="V1063">
        <v>0.24525301941113301</v>
      </c>
      <c r="W1063">
        <v>0.1028081060627823</v>
      </c>
      <c r="X1063">
        <v>1.6259241888525882E-2</v>
      </c>
      <c r="Y1063">
        <v>4.853966706462114E-3</v>
      </c>
    </row>
    <row r="1064" spans="1:25">
      <c r="A1064" s="1010"/>
      <c r="B1064" s="1351">
        <v>814</v>
      </c>
      <c r="C1064" s="1014">
        <v>1.0349692310461609</v>
      </c>
      <c r="D1064" s="1014">
        <v>0.96695141755840797</v>
      </c>
      <c r="E1064" s="1014">
        <v>1.002354044330749</v>
      </c>
      <c r="F1064" s="1014">
        <v>1.0061629471033455</v>
      </c>
      <c r="G1064" s="1014">
        <v>1.0434903847150041</v>
      </c>
      <c r="H1064" s="1014">
        <v>0.99300076205445853</v>
      </c>
      <c r="I1064" s="1014">
        <v>0.96753934536454</v>
      </c>
      <c r="K1064">
        <v>2.3956046784186964</v>
      </c>
      <c r="L1064">
        <v>0</v>
      </c>
      <c r="M1064">
        <v>1.5792089398757752E-3</v>
      </c>
      <c r="N1064">
        <v>0.14473369256595689</v>
      </c>
      <c r="O1064">
        <v>2.0428532667618522E-2</v>
      </c>
      <c r="P1064">
        <v>2.8448883830034532E-2</v>
      </c>
      <c r="Q1064">
        <v>5.358390044627139E-3</v>
      </c>
      <c r="R1064">
        <v>1.5582168232513142E-3</v>
      </c>
      <c r="S1064">
        <v>0.24534969918182856</v>
      </c>
      <c r="T1064">
        <v>1.3801431755105993</v>
      </c>
      <c r="U1064">
        <v>0.20481906779353706</v>
      </c>
      <c r="V1064">
        <v>0.25084088108342523</v>
      </c>
      <c r="W1064">
        <v>9.4947385381181817E-2</v>
      </c>
      <c r="X1064">
        <v>1.6315009949660387E-2</v>
      </c>
      <c r="Y1064">
        <v>4.2409525268523431E-3</v>
      </c>
    </row>
    <row r="1065" spans="1:25">
      <c r="A1065" s="1010"/>
      <c r="B1065" s="1351">
        <v>815</v>
      </c>
      <c r="C1065" s="1014">
        <v>0.97113818538390506</v>
      </c>
      <c r="D1065" s="1014">
        <v>0.98056760355395323</v>
      </c>
      <c r="E1065" s="1014">
        <v>1.0125626063870945</v>
      </c>
      <c r="F1065" s="1014">
        <v>0.99707339116836868</v>
      </c>
      <c r="G1065" s="1014">
        <v>1.0416434015738121</v>
      </c>
      <c r="H1065" s="1014">
        <v>1.0199103866945585</v>
      </c>
      <c r="I1065" s="1014">
        <v>0.99844270687520464</v>
      </c>
      <c r="K1065">
        <v>2.4529392556206995</v>
      </c>
      <c r="L1065">
        <v>0</v>
      </c>
      <c r="M1065">
        <v>1.6871563445326277E-3</v>
      </c>
      <c r="N1065">
        <v>0.15952436008321327</v>
      </c>
      <c r="O1065">
        <v>2.171140293018772E-2</v>
      </c>
      <c r="P1065">
        <v>2.9076488516173109E-2</v>
      </c>
      <c r="Q1065">
        <v>5.7533817403808696E-3</v>
      </c>
      <c r="R1065">
        <v>1.6653210259281795E-3</v>
      </c>
      <c r="S1065">
        <v>0.27038063441611043</v>
      </c>
      <c r="T1065">
        <v>1.3678956017286468</v>
      </c>
      <c r="U1065">
        <v>0.21831740515719952</v>
      </c>
      <c r="V1065">
        <v>0.25445008501666655</v>
      </c>
      <c r="W1065">
        <v>0.10402094278873783</v>
      </c>
      <c r="X1065">
        <v>1.7298333702341576E-2</v>
      </c>
      <c r="Y1065">
        <v>4.5324548596478477E-3</v>
      </c>
    </row>
    <row r="1066" spans="1:25">
      <c r="A1066" s="1010"/>
      <c r="B1066" s="1351">
        <v>816</v>
      </c>
      <c r="C1066" s="1014">
        <v>0.99200628322098749</v>
      </c>
      <c r="D1066" s="1014">
        <v>0.97465924101588652</v>
      </c>
      <c r="E1066" s="1014">
        <v>1.0409978354288913</v>
      </c>
      <c r="F1066" s="1014">
        <v>0.98657735224195331</v>
      </c>
      <c r="G1066" s="1014">
        <v>1.0032345651023091</v>
      </c>
      <c r="H1066" s="1014">
        <v>1.0197369125447591</v>
      </c>
      <c r="I1066" s="1014">
        <v>1.0013829887579047</v>
      </c>
      <c r="K1066">
        <v>2.4230792258745129</v>
      </c>
      <c r="L1066">
        <v>0</v>
      </c>
      <c r="M1066">
        <v>1.5584930339926709E-3</v>
      </c>
      <c r="N1066">
        <v>0.16055067362348147</v>
      </c>
      <c r="O1066">
        <v>2.1302164496798552E-2</v>
      </c>
      <c r="P1066">
        <v>2.9260333043067726E-2</v>
      </c>
      <c r="Q1066">
        <v>5.8061798101919507E-3</v>
      </c>
      <c r="R1066">
        <v>1.5383194554443634E-3</v>
      </c>
      <c r="S1066">
        <v>0.26650409130132618</v>
      </c>
      <c r="T1066">
        <v>1.3541058863608029</v>
      </c>
      <c r="U1066">
        <v>0.2138232018311009</v>
      </c>
      <c r="V1066">
        <v>0.24644219269008669</v>
      </c>
      <c r="W1066">
        <v>0.10297199618487884</v>
      </c>
      <c r="X1066">
        <v>1.8145881660477165E-2</v>
      </c>
      <c r="Y1066">
        <v>4.1867984508473588E-3</v>
      </c>
    </row>
    <row r="1067" spans="1:25">
      <c r="A1067" s="1010"/>
      <c r="B1067" s="1351">
        <v>817</v>
      </c>
      <c r="C1067" s="1014">
        <v>0.99801858581172753</v>
      </c>
      <c r="D1067" s="1014">
        <v>1.0220700479559395</v>
      </c>
      <c r="E1067" s="1014">
        <v>0.98242345525429675</v>
      </c>
      <c r="F1067" s="1014">
        <v>0.9853125767576818</v>
      </c>
      <c r="G1067" s="1014">
        <v>1.0094411480827397</v>
      </c>
      <c r="H1067" s="1014">
        <v>1.0464761974515513</v>
      </c>
      <c r="I1067" s="1014">
        <v>1.0210971470193637</v>
      </c>
      <c r="K1067">
        <v>2.4064230778727635</v>
      </c>
      <c r="L1067">
        <v>0</v>
      </c>
      <c r="M1067">
        <v>1.7768253872650504E-3</v>
      </c>
      <c r="N1067">
        <v>0.15342925325050946</v>
      </c>
      <c r="O1067">
        <v>2.0914899652156021E-2</v>
      </c>
      <c r="P1067">
        <v>2.7962537970372285E-2</v>
      </c>
      <c r="Q1067">
        <v>5.3766965631458878E-3</v>
      </c>
      <c r="R1067">
        <v>1.7544133356175689E-3</v>
      </c>
      <c r="S1067">
        <v>0.26560974824012346</v>
      </c>
      <c r="T1067">
        <v>1.3511188681256492</v>
      </c>
      <c r="U1067">
        <v>0.21233410998950403</v>
      </c>
      <c r="V1067">
        <v>0.24733158612596581</v>
      </c>
      <c r="W1067">
        <v>0.1018584672363371</v>
      </c>
      <c r="X1067">
        <v>1.5734388013296345E-2</v>
      </c>
      <c r="Y1067">
        <v>4.7749347573503706E-3</v>
      </c>
    </row>
    <row r="1068" spans="1:25">
      <c r="A1068" s="1010"/>
      <c r="B1068" s="1351">
        <v>818</v>
      </c>
      <c r="C1068" s="1014">
        <v>1.0094084314272713</v>
      </c>
      <c r="D1068" s="1014">
        <v>1.0353657238480718</v>
      </c>
      <c r="E1068" s="1014">
        <v>1.0229020062401943</v>
      </c>
      <c r="F1068" s="1014">
        <v>1.0011347940872355</v>
      </c>
      <c r="G1068" s="1014">
        <v>1.006048639107147</v>
      </c>
      <c r="H1068" s="1014">
        <v>1.030816389601017</v>
      </c>
      <c r="I1068" s="1014">
        <v>0.97376667826384344</v>
      </c>
      <c r="K1068">
        <v>2.409117934177881</v>
      </c>
      <c r="L1068">
        <v>0</v>
      </c>
      <c r="M1068">
        <v>1.5865489432359361E-3</v>
      </c>
      <c r="N1068">
        <v>0.15478684559622491</v>
      </c>
      <c r="O1068">
        <v>2.0646608920396346E-2</v>
      </c>
      <c r="P1068">
        <v>2.8833161009874281E-2</v>
      </c>
      <c r="Q1068">
        <v>5.5278171655687202E-3</v>
      </c>
      <c r="R1068">
        <v>1.5662329351280051E-3</v>
      </c>
      <c r="S1068">
        <v>0.24789204432095099</v>
      </c>
      <c r="T1068">
        <v>1.3736921435541585</v>
      </c>
      <c r="U1068">
        <v>0.21007532777651799</v>
      </c>
      <c r="V1068">
        <v>0.24590053371571446</v>
      </c>
      <c r="W1068">
        <v>0.10032196636966428</v>
      </c>
      <c r="X1068">
        <v>1.7199032016051139E-2</v>
      </c>
      <c r="Y1068">
        <v>4.2627697408701261E-3</v>
      </c>
    </row>
    <row r="1069" spans="1:25">
      <c r="A1069" s="1010"/>
      <c r="B1069" s="1351">
        <v>819</v>
      </c>
      <c r="C1069" s="1014">
        <v>0.97928217607635981</v>
      </c>
      <c r="D1069" s="1014">
        <v>1.0123582381130232</v>
      </c>
      <c r="E1069" s="1014">
        <v>1.0130166704783909</v>
      </c>
      <c r="F1069" s="1014">
        <v>0.99249588322806204</v>
      </c>
      <c r="G1069" s="1014">
        <v>0.99266443104187152</v>
      </c>
      <c r="H1069" s="1014">
        <v>1.0067785542307122</v>
      </c>
      <c r="I1069" s="1014">
        <v>1.017196007738157</v>
      </c>
      <c r="K1069">
        <v>2.4249372911249871</v>
      </c>
      <c r="L1069">
        <v>0</v>
      </c>
      <c r="M1069">
        <v>1.6384837125711733E-3</v>
      </c>
      <c r="N1069">
        <v>0.15510819607820664</v>
      </c>
      <c r="O1069">
        <v>2.1380548614395877E-2</v>
      </c>
      <c r="P1069">
        <v>2.8815292890060171E-2</v>
      </c>
      <c r="Q1069">
        <v>5.668275772471836E-3</v>
      </c>
      <c r="R1069">
        <v>1.6170017284559812E-3</v>
      </c>
      <c r="S1069">
        <v>0.26769586946896273</v>
      </c>
      <c r="T1069">
        <v>1.3616254415131386</v>
      </c>
      <c r="U1069">
        <v>0.2165034032259775</v>
      </c>
      <c r="V1069">
        <v>0.24555283125359292</v>
      </c>
      <c r="W1069">
        <v>0.10111428006960048</v>
      </c>
      <c r="X1069">
        <v>1.7093688562315447E-2</v>
      </c>
      <c r="Y1069">
        <v>4.4009456603806537E-3</v>
      </c>
    </row>
    <row r="1070" spans="1:25">
      <c r="A1070" s="1010"/>
      <c r="B1070" s="1351">
        <v>820</v>
      </c>
      <c r="C1070" s="1014">
        <v>0.9735571115962951</v>
      </c>
      <c r="D1070" s="1014">
        <v>1.0317017372602002</v>
      </c>
      <c r="E1070" s="1014">
        <v>0.98860250401810612</v>
      </c>
      <c r="F1070" s="1014">
        <v>0.966561215217561</v>
      </c>
      <c r="G1070" s="1014">
        <v>0.98699868196920004</v>
      </c>
      <c r="H1070" s="1014">
        <v>0.97358854759235935</v>
      </c>
      <c r="I1070" s="1014">
        <v>1.0091479492164572</v>
      </c>
      <c r="K1070">
        <v>2.3686806064907242</v>
      </c>
      <c r="L1070">
        <v>0</v>
      </c>
      <c r="M1070">
        <v>1.6696215999544572E-3</v>
      </c>
      <c r="N1070">
        <v>0.14675134040640833</v>
      </c>
      <c r="O1070">
        <v>2.1400381769465078E-2</v>
      </c>
      <c r="P1070">
        <v>2.773348588055791E-2</v>
      </c>
      <c r="Q1070">
        <v>5.5360556635837641E-3</v>
      </c>
      <c r="R1070">
        <v>1.6469851240241908E-3</v>
      </c>
      <c r="S1070">
        <v>0.26152681892952712</v>
      </c>
      <c r="T1070">
        <v>1.3255346822642777</v>
      </c>
      <c r="U1070">
        <v>0.21769083522085522</v>
      </c>
      <c r="V1070">
        <v>0.24504560946393658</v>
      </c>
      <c r="W1070">
        <v>9.7063897353475079E-2</v>
      </c>
      <c r="X1070">
        <v>1.5937585435469775E-2</v>
      </c>
      <c r="Y1070">
        <v>4.4825505790936273E-3</v>
      </c>
    </row>
    <row r="1071" spans="1:25">
      <c r="A1071" s="1010"/>
      <c r="B1071" s="1351">
        <v>821</v>
      </c>
      <c r="C1071" s="1014">
        <v>1.013791401063407</v>
      </c>
      <c r="D1071" s="1014">
        <v>0.96836993186446774</v>
      </c>
      <c r="E1071" s="1014">
        <v>1.0086153963627968</v>
      </c>
      <c r="F1071" s="1014">
        <v>1.0016250018797241</v>
      </c>
      <c r="G1071" s="1014">
        <v>1.0073215478113249</v>
      </c>
      <c r="H1071" s="1014">
        <v>1.0305230806050827</v>
      </c>
      <c r="I1071" s="1014">
        <v>0.97848858791378979</v>
      </c>
      <c r="K1071">
        <v>2.4166198672229409</v>
      </c>
      <c r="L1071">
        <v>0</v>
      </c>
      <c r="M1071">
        <v>1.6509773920996796E-3</v>
      </c>
      <c r="N1071">
        <v>0.15427528184490108</v>
      </c>
      <c r="O1071">
        <v>2.0852686032270404E-2</v>
      </c>
      <c r="P1071">
        <v>2.8639006112871235E-2</v>
      </c>
      <c r="Q1071">
        <v>5.504073591240187E-3</v>
      </c>
      <c r="R1071">
        <v>1.6298303504073291E-3</v>
      </c>
      <c r="S1071">
        <v>0.25627538072246353</v>
      </c>
      <c r="T1071">
        <v>1.3740543147173738</v>
      </c>
      <c r="U1071">
        <v>0.20911881269844151</v>
      </c>
      <c r="V1071">
        <v>0.24590148254693814</v>
      </c>
      <c r="W1071">
        <v>0.10083249365626271</v>
      </c>
      <c r="X1071">
        <v>1.6751621401491154E-2</v>
      </c>
      <c r="Y1071">
        <v>4.4358609403781328E-3</v>
      </c>
    </row>
    <row r="1072" spans="1:25">
      <c r="A1072" s="1010"/>
      <c r="B1072" s="1351">
        <v>822</v>
      </c>
      <c r="C1072" s="1014">
        <v>0.98615966594348936</v>
      </c>
      <c r="D1072" s="1014">
        <v>0.98206125908183273</v>
      </c>
      <c r="E1072" s="1014">
        <v>0.99623305362030845</v>
      </c>
      <c r="F1072" s="1014">
        <v>0.98682725096415158</v>
      </c>
      <c r="G1072" s="1014">
        <v>1.0152473409350404</v>
      </c>
      <c r="H1072" s="1014">
        <v>1.0110290103550266</v>
      </c>
      <c r="I1072" s="1014">
        <v>0.99432812450015162</v>
      </c>
      <c r="K1072">
        <v>2.4119054456076188</v>
      </c>
      <c r="L1072">
        <v>0</v>
      </c>
      <c r="M1072">
        <v>1.7032010533647596E-3</v>
      </c>
      <c r="N1072">
        <v>0.15327401359126827</v>
      </c>
      <c r="O1072">
        <v>2.1362488893824867E-2</v>
      </c>
      <c r="P1072">
        <v>2.8324254704252261E-2</v>
      </c>
      <c r="Q1072">
        <v>5.5689827470002933E-3</v>
      </c>
      <c r="R1072">
        <v>1.680964446495367E-3</v>
      </c>
      <c r="S1072">
        <v>0.26406098579909887</v>
      </c>
      <c r="T1072">
        <v>1.3534899797394266</v>
      </c>
      <c r="U1072">
        <v>0.21493528864567482</v>
      </c>
      <c r="V1072">
        <v>0.24902433911148866</v>
      </c>
      <c r="W1072">
        <v>0.10091662926558798</v>
      </c>
      <c r="X1072">
        <v>1.6395688623285005E-2</v>
      </c>
      <c r="Y1072">
        <v>4.5750310935795272E-3</v>
      </c>
    </row>
    <row r="1073" spans="1:25">
      <c r="A1073" s="1010"/>
      <c r="B1073" s="1351">
        <v>823</v>
      </c>
      <c r="C1073" s="1014">
        <v>1.0072043306661742</v>
      </c>
      <c r="D1073" s="1014">
        <v>0.96607721973956939</v>
      </c>
      <c r="E1073" s="1014">
        <v>0.99798850173663922</v>
      </c>
      <c r="F1073" s="1014">
        <v>1.0026286094357955</v>
      </c>
      <c r="G1073" s="1014">
        <v>0.96435458991993173</v>
      </c>
      <c r="H1073" s="1014">
        <v>0.98562231789184129</v>
      </c>
      <c r="I1073" s="1014">
        <v>0.99723931244789044</v>
      </c>
      <c r="K1073">
        <v>2.4032374495442279</v>
      </c>
      <c r="L1073">
        <v>0</v>
      </c>
      <c r="M1073">
        <v>1.625659775672078E-3</v>
      </c>
      <c r="N1073">
        <v>0.14702390814185207</v>
      </c>
      <c r="O1073">
        <v>2.0992950684411735E-2</v>
      </c>
      <c r="P1073">
        <v>2.8394901123697781E-2</v>
      </c>
      <c r="Q1073">
        <v>5.4823286275621826E-3</v>
      </c>
      <c r="R1073">
        <v>1.6038884261813911E-3</v>
      </c>
      <c r="S1073">
        <v>0.25930892589255439</v>
      </c>
      <c r="T1073">
        <v>1.3752004909503834</v>
      </c>
      <c r="U1073">
        <v>0.21045035630046607</v>
      </c>
      <c r="V1073">
        <v>0.23900450692342154</v>
      </c>
      <c r="W1073">
        <v>9.6700343381725964E-2</v>
      </c>
      <c r="X1073">
        <v>1.6335253293255917E-2</v>
      </c>
      <c r="Y1073">
        <v>4.3652555743881535E-3</v>
      </c>
    </row>
    <row r="1074" spans="1:25">
      <c r="A1074" s="1010"/>
      <c r="B1074" s="1351">
        <v>824</v>
      </c>
      <c r="C1074" s="1014">
        <v>0.99130679218127726</v>
      </c>
      <c r="D1074" s="1014">
        <v>1.0291202238480763</v>
      </c>
      <c r="E1074" s="1014">
        <v>0.97142475068519629</v>
      </c>
      <c r="F1074" s="1014">
        <v>0.98630760259471895</v>
      </c>
      <c r="G1074" s="1014">
        <v>1.0285947020312451</v>
      </c>
      <c r="H1074" s="1014">
        <v>0.95670083656091198</v>
      </c>
      <c r="I1074" s="1014">
        <v>1.0440936362737603</v>
      </c>
      <c r="K1074">
        <v>2.3879263518755525</v>
      </c>
      <c r="L1074">
        <v>0</v>
      </c>
      <c r="M1074">
        <v>1.6704657247693837E-3</v>
      </c>
      <c r="N1074">
        <v>0.13935552527770845</v>
      </c>
      <c r="O1074">
        <v>2.1017396697800457E-2</v>
      </c>
      <c r="P1074">
        <v>2.7797319758236638E-2</v>
      </c>
      <c r="Q1074">
        <v>5.3428788722789432E-3</v>
      </c>
      <c r="R1074">
        <v>1.6474180225718013E-3</v>
      </c>
      <c r="S1074">
        <v>0.26442469888101533</v>
      </c>
      <c r="T1074">
        <v>1.3522498014623026</v>
      </c>
      <c r="U1074">
        <v>0.21373396585688179</v>
      </c>
      <c r="V1074">
        <v>0.25106903895770044</v>
      </c>
      <c r="W1074">
        <v>9.3133190532753915E-2</v>
      </c>
      <c r="X1074">
        <v>1.5341854494836498E-2</v>
      </c>
      <c r="Y1074">
        <v>4.4837287862352568E-3</v>
      </c>
    </row>
    <row r="1075" spans="1:25">
      <c r="A1075" s="1010"/>
      <c r="B1075" s="1351">
        <v>825</v>
      </c>
      <c r="C1075" s="1014">
        <v>0.98192242314485645</v>
      </c>
      <c r="D1075" s="1014">
        <v>0.95830332843889943</v>
      </c>
      <c r="E1075" s="1014">
        <v>0.97856075684795074</v>
      </c>
      <c r="F1075" s="1014">
        <v>1.0141125055688636</v>
      </c>
      <c r="G1075" s="1014">
        <v>1.022500859233026</v>
      </c>
      <c r="H1075" s="1014">
        <v>0.97463400951434909</v>
      </c>
      <c r="I1075" s="1014">
        <v>0.95964941959209416</v>
      </c>
      <c r="K1075">
        <v>2.4330095045239366</v>
      </c>
      <c r="L1075">
        <v>0</v>
      </c>
      <c r="M1075">
        <v>1.7196599554278325E-3</v>
      </c>
      <c r="N1075">
        <v>0.14662949750846299</v>
      </c>
      <c r="O1075">
        <v>2.1558542844856123E-2</v>
      </c>
      <c r="P1075">
        <v>2.8370355302041926E-2</v>
      </c>
      <c r="Q1075">
        <v>5.5204509439658565E-3</v>
      </c>
      <c r="R1075">
        <v>1.6963700762894763E-3</v>
      </c>
      <c r="S1075">
        <v>0.25593102616441948</v>
      </c>
      <c r="T1075">
        <v>1.3905266515783712</v>
      </c>
      <c r="U1075">
        <v>0.2158013921898943</v>
      </c>
      <c r="V1075">
        <v>0.25060191671566212</v>
      </c>
      <c r="W1075">
        <v>9.7571472706603421E-2</v>
      </c>
      <c r="X1075">
        <v>1.5904528309385654E-2</v>
      </c>
      <c r="Y1075">
        <v>4.6169601394145943E-3</v>
      </c>
    </row>
    <row r="1076" spans="1:25">
      <c r="A1076" s="1010"/>
      <c r="B1076" s="1351">
        <v>826</v>
      </c>
      <c r="C1076" s="1014">
        <v>0.98864311494235246</v>
      </c>
      <c r="D1076" s="1014">
        <v>1.041558209533628</v>
      </c>
      <c r="E1076" s="1014">
        <v>1.0005362232359603</v>
      </c>
      <c r="F1076" s="1014">
        <v>1.0057832604584955</v>
      </c>
      <c r="G1076" s="1014">
        <v>1.0068946634389417</v>
      </c>
      <c r="H1076" s="1014">
        <v>1.0433322431167891</v>
      </c>
      <c r="I1076" s="1014">
        <v>1.0358573163156586</v>
      </c>
      <c r="K1076">
        <v>2.4465467348455765</v>
      </c>
      <c r="L1076">
        <v>0</v>
      </c>
      <c r="M1076">
        <v>1.7152883828181207E-3</v>
      </c>
      <c r="N1076">
        <v>0.15644599348755969</v>
      </c>
      <c r="O1076">
        <v>2.1037723256470801E-2</v>
      </c>
      <c r="P1076">
        <v>2.8814941037445488E-2</v>
      </c>
      <c r="Q1076">
        <v>5.5081145498640377E-3</v>
      </c>
      <c r="R1076">
        <v>1.6935873334146946E-3</v>
      </c>
      <c r="S1076">
        <v>0.2693621044443652</v>
      </c>
      <c r="T1076">
        <v>1.3795828081059105</v>
      </c>
      <c r="U1076">
        <v>0.21441025052638349</v>
      </c>
      <c r="V1076">
        <v>0.24742333296415261</v>
      </c>
      <c r="W1076">
        <v>0.10274164043731063</v>
      </c>
      <c r="X1076">
        <v>1.6632140654877267E-2</v>
      </c>
      <c r="Y1076">
        <v>4.6093864306403828E-3</v>
      </c>
    </row>
    <row r="1077" spans="1:25">
      <c r="A1077" s="1010"/>
      <c r="B1077" s="1351">
        <v>827</v>
      </c>
      <c r="C1077" s="1014">
        <v>1.0234440575602184</v>
      </c>
      <c r="D1077" s="1014">
        <v>0.99797272030991357</v>
      </c>
      <c r="E1077" s="1014">
        <v>1.0173805408965935</v>
      </c>
      <c r="F1077" s="1014">
        <v>0.96608620198472739</v>
      </c>
      <c r="G1077" s="1014">
        <v>0.97903542887132122</v>
      </c>
      <c r="H1077" s="1014">
        <v>1.0005225970344325</v>
      </c>
      <c r="I1077" s="1014">
        <v>0.98305264981708562</v>
      </c>
      <c r="K1077">
        <v>2.3418252807927908</v>
      </c>
      <c r="L1077">
        <v>0</v>
      </c>
      <c r="M1077">
        <v>1.5488373712085801E-3</v>
      </c>
      <c r="N1077">
        <v>0.14855312681477278</v>
      </c>
      <c r="O1077">
        <v>2.0525325599196353E-2</v>
      </c>
      <c r="P1077">
        <v>2.7948451311461339E-2</v>
      </c>
      <c r="Q1077">
        <v>5.4652656708559519E-3</v>
      </c>
      <c r="R1077">
        <v>1.5284037595348647E-3</v>
      </c>
      <c r="S1077">
        <v>0.24884583546319808</v>
      </c>
      <c r="T1077">
        <v>1.3254849149097618</v>
      </c>
      <c r="U1077">
        <v>0.20717583324123451</v>
      </c>
      <c r="V1077">
        <v>0.24046133478262063</v>
      </c>
      <c r="W1077">
        <v>9.6593199684824854E-2</v>
      </c>
      <c r="X1077">
        <v>1.6632615731244839E-2</v>
      </c>
      <c r="Y1077">
        <v>4.1598111952899797E-3</v>
      </c>
    </row>
    <row r="1078" spans="1:25">
      <c r="A1078" s="1010"/>
      <c r="B1078" s="1351">
        <v>828</v>
      </c>
      <c r="C1078" s="1014">
        <v>0.99648964173860954</v>
      </c>
      <c r="D1078" s="1014">
        <v>1.0023265031504895</v>
      </c>
      <c r="E1078" s="1014">
        <v>1.0348131252446375</v>
      </c>
      <c r="F1078" s="1014">
        <v>1.0114221329732225</v>
      </c>
      <c r="G1078" s="1014">
        <v>1.0278912395889579</v>
      </c>
      <c r="H1078" s="1014">
        <v>1.0238400847415057</v>
      </c>
      <c r="I1078" s="1014">
        <v>1.0380381241365755</v>
      </c>
      <c r="K1078">
        <v>2.4621709076828275</v>
      </c>
      <c r="L1078">
        <v>0</v>
      </c>
      <c r="M1078">
        <v>1.5682656183058454E-3</v>
      </c>
      <c r="N1078">
        <v>0.15858324544032473</v>
      </c>
      <c r="O1078">
        <v>2.1071994044963464E-2</v>
      </c>
      <c r="P1078">
        <v>2.9717052932415573E-2</v>
      </c>
      <c r="Q1078">
        <v>5.7085820375746346E-3</v>
      </c>
      <c r="R1078">
        <v>1.5480468958370107E-3</v>
      </c>
      <c r="S1078">
        <v>0.27150101097991641</v>
      </c>
      <c r="T1078">
        <v>1.3880697846550962</v>
      </c>
      <c r="U1078">
        <v>0.21283984347580756</v>
      </c>
      <c r="V1078">
        <v>0.250386974916949</v>
      </c>
      <c r="W1078">
        <v>0.1020736909041617</v>
      </c>
      <c r="X1078">
        <v>1.8025673681141198E-2</v>
      </c>
      <c r="Y1078">
        <v>4.2132733369462808E-3</v>
      </c>
    </row>
    <row r="1079" spans="1:25">
      <c r="A1079" s="1010"/>
      <c r="B1079" s="1351">
        <v>829</v>
      </c>
      <c r="C1079" s="1014">
        <v>1.0346864408878444</v>
      </c>
      <c r="D1079" s="1014">
        <v>0.98500242320046605</v>
      </c>
      <c r="E1079" s="1014">
        <v>0.99574991487869813</v>
      </c>
      <c r="F1079" s="1014">
        <v>1.0458813067654142</v>
      </c>
      <c r="G1079" s="1014">
        <v>1.0458196156001638</v>
      </c>
      <c r="H1079" s="1014">
        <v>1.029654551141046</v>
      </c>
      <c r="I1079" s="1014">
        <v>0.96731198731815637</v>
      </c>
      <c r="K1079">
        <v>2.4585810834228372</v>
      </c>
      <c r="L1079">
        <v>0</v>
      </c>
      <c r="M1079">
        <v>1.6537946076664502E-3</v>
      </c>
      <c r="N1079">
        <v>0.14864625884255447</v>
      </c>
      <c r="O1079">
        <v>2.0346887184763272E-2</v>
      </c>
      <c r="P1079">
        <v>2.9062795899810916E-2</v>
      </c>
      <c r="Q1079">
        <v>5.3016447047760295E-3</v>
      </c>
      <c r="R1079">
        <v>1.6325936125255475E-3</v>
      </c>
      <c r="S1079">
        <v>0.24595342116860938</v>
      </c>
      <c r="T1079">
        <v>1.434475072651842</v>
      </c>
      <c r="U1079">
        <v>0.2048532324726994</v>
      </c>
      <c r="V1079">
        <v>0.25128045754670125</v>
      </c>
      <c r="W1079">
        <v>9.7897881355324318E-2</v>
      </c>
      <c r="X1079">
        <v>1.6341250961942218E-2</v>
      </c>
      <c r="Y1079">
        <v>4.4433816289548124E-3</v>
      </c>
    </row>
    <row r="1080" spans="1:25">
      <c r="A1080" s="1010"/>
      <c r="B1080" s="1351">
        <v>830</v>
      </c>
      <c r="C1080" s="1014">
        <v>0.98478156956431817</v>
      </c>
      <c r="D1080" s="1014">
        <v>0.98600598446139309</v>
      </c>
      <c r="E1080" s="1014">
        <v>0.98704063764227978</v>
      </c>
      <c r="F1080" s="1014">
        <v>1.0032547776627396</v>
      </c>
      <c r="G1080" s="1014">
        <v>0.97962403316885227</v>
      </c>
      <c r="H1080" s="1014">
        <v>1.0209125211608761</v>
      </c>
      <c r="I1080" s="1014">
        <v>0.98039273663126392</v>
      </c>
      <c r="K1080">
        <v>2.4262158411964494</v>
      </c>
      <c r="L1080">
        <v>0</v>
      </c>
      <c r="M1080">
        <v>1.7538215686625138E-3</v>
      </c>
      <c r="N1080">
        <v>0.15352350511694773</v>
      </c>
      <c r="O1080">
        <v>2.1367319222292097E-2</v>
      </c>
      <c r="P1080">
        <v>2.8312427346489356E-2</v>
      </c>
      <c r="Q1080">
        <v>5.5187729074750282E-3</v>
      </c>
      <c r="R1080">
        <v>1.7311457437584707E-3</v>
      </c>
      <c r="S1080">
        <v>0.26096424971244103</v>
      </c>
      <c r="T1080">
        <v>1.3758221479807338</v>
      </c>
      <c r="U1080">
        <v>0.2152042024649678</v>
      </c>
      <c r="V1080">
        <v>0.243060976838884</v>
      </c>
      <c r="W1080">
        <v>0.1016383429219089</v>
      </c>
      <c r="X1080">
        <v>1.6114964466742824E-2</v>
      </c>
      <c r="Y1080">
        <v>4.7116080424695001E-3</v>
      </c>
    </row>
    <row r="1081" spans="1:25">
      <c r="A1081" s="1010"/>
      <c r="B1081" s="1351">
        <v>831</v>
      </c>
      <c r="C1081" s="1014">
        <v>1.0015272332831573</v>
      </c>
      <c r="D1081" s="1014">
        <v>1.0091537428308794</v>
      </c>
      <c r="E1081" s="1014">
        <v>0.98988050994787269</v>
      </c>
      <c r="F1081" s="1014">
        <v>1.001673504723851</v>
      </c>
      <c r="G1081" s="1014">
        <v>0.99881845763350141</v>
      </c>
      <c r="H1081" s="1014">
        <v>0.98699219929977955</v>
      </c>
      <c r="I1081" s="1014">
        <v>0.97382249069146398</v>
      </c>
      <c r="K1081">
        <v>2.3963564291765489</v>
      </c>
      <c r="L1081">
        <v>0</v>
      </c>
      <c r="M1081">
        <v>1.6489858232107007E-3</v>
      </c>
      <c r="N1081">
        <v>0.1455258657917404</v>
      </c>
      <c r="O1081">
        <v>2.0904944668776876E-2</v>
      </c>
      <c r="P1081">
        <v>2.8166046400630189E-2</v>
      </c>
      <c r="Q1081">
        <v>5.4148844307941556E-3</v>
      </c>
      <c r="R1081">
        <v>1.6269327347228078E-3</v>
      </c>
      <c r="S1081">
        <v>0.24916917111039533</v>
      </c>
      <c r="T1081">
        <v>1.3737150349901572</v>
      </c>
      <c r="U1081">
        <v>0.21161563537491196</v>
      </c>
      <c r="V1081">
        <v>0.24527060818014287</v>
      </c>
      <c r="W1081">
        <v>9.6179639177907977E-2</v>
      </c>
      <c r="X1081">
        <v>1.5988677553898344E-2</v>
      </c>
      <c r="Y1081">
        <v>4.42797458568362E-3</v>
      </c>
    </row>
    <row r="1082" spans="1:25">
      <c r="A1082" s="1010"/>
      <c r="B1082" s="1351">
        <v>832</v>
      </c>
      <c r="C1082" s="1014">
        <v>0.99544817651048401</v>
      </c>
      <c r="D1082" s="1014">
        <v>0.9996080252296492</v>
      </c>
      <c r="E1082" s="1014">
        <v>0.9856774666247089</v>
      </c>
      <c r="F1082" s="1014">
        <v>1.001275476384283</v>
      </c>
      <c r="G1082" s="1014">
        <v>0.99219185811646127</v>
      </c>
      <c r="H1082" s="1014">
        <v>0.99970899280846959</v>
      </c>
      <c r="I1082" s="1014">
        <v>1.0100635190865466</v>
      </c>
      <c r="K1082">
        <v>2.4142183180691199</v>
      </c>
      <c r="L1082">
        <v>0</v>
      </c>
      <c r="M1082">
        <v>1.6986663948649504E-3</v>
      </c>
      <c r="N1082">
        <v>0.14804252587403566</v>
      </c>
      <c r="O1082">
        <v>2.1073834472370968E-2</v>
      </c>
      <c r="P1082">
        <v>2.8253332523778322E-2</v>
      </c>
      <c r="Q1082">
        <v>5.4354617994331594E-3</v>
      </c>
      <c r="R1082">
        <v>1.6762378697952188E-3</v>
      </c>
      <c r="S1082">
        <v>0.26232509365493289</v>
      </c>
      <c r="T1082">
        <v>1.3730783777626887</v>
      </c>
      <c r="U1082">
        <v>0.21289353657668389</v>
      </c>
      <c r="V1082">
        <v>0.24453411457917493</v>
      </c>
      <c r="W1082">
        <v>9.8090028980277424E-2</v>
      </c>
      <c r="X1082">
        <v>1.5952273460897389E-2</v>
      </c>
      <c r="Y1082">
        <v>4.5621669099173146E-3</v>
      </c>
    </row>
    <row r="1083" spans="1:25">
      <c r="A1083" s="1010"/>
      <c r="B1083" s="1351">
        <v>833</v>
      </c>
      <c r="C1083" s="1014">
        <v>0.98646225076543725</v>
      </c>
      <c r="D1083" s="1014">
        <v>1.0150320753504642</v>
      </c>
      <c r="E1083" s="1014">
        <v>0.99161792688486927</v>
      </c>
      <c r="F1083" s="1014">
        <v>1.0297809799562221</v>
      </c>
      <c r="G1083" s="1014">
        <v>1.0043216642482646</v>
      </c>
      <c r="H1083" s="1014">
        <v>0.97780595262433401</v>
      </c>
      <c r="I1083" s="1014">
        <v>0.98270139086273256</v>
      </c>
      <c r="K1083">
        <v>2.4474874591925775</v>
      </c>
      <c r="L1083">
        <v>0</v>
      </c>
      <c r="M1083">
        <v>1.6505182370490036E-3</v>
      </c>
      <c r="N1083">
        <v>0.14640958103810914</v>
      </c>
      <c r="O1083">
        <v>2.1198260019624861E-2</v>
      </c>
      <c r="P1083">
        <v>2.8858074499301972E-2</v>
      </c>
      <c r="Q1083">
        <v>5.5005072475470028E-3</v>
      </c>
      <c r="R1083">
        <v>1.6282372785899357E-3</v>
      </c>
      <c r="S1083">
        <v>0.25377823304390751</v>
      </c>
      <c r="T1083">
        <v>1.4123008110059636</v>
      </c>
      <c r="U1083">
        <v>0.21485338322826547</v>
      </c>
      <c r="V1083">
        <v>0.24715561956600363</v>
      </c>
      <c r="W1083">
        <v>9.6663094819110437E-2</v>
      </c>
      <c r="X1083">
        <v>1.6360650559152888E-2</v>
      </c>
      <c r="Y1083">
        <v>4.4315251240471705E-3</v>
      </c>
    </row>
    <row r="1084" spans="1:25">
      <c r="A1084" s="1010"/>
      <c r="B1084" s="1351">
        <v>834</v>
      </c>
      <c r="C1084" s="1014">
        <v>0.97394527504707851</v>
      </c>
      <c r="D1084" s="1014">
        <v>1.0370108658777626</v>
      </c>
      <c r="E1084" s="1014">
        <v>0.96315367208683778</v>
      </c>
      <c r="F1084" s="1014">
        <v>1.0053619605663926</v>
      </c>
      <c r="G1084" s="1014">
        <v>0.99413371923174421</v>
      </c>
      <c r="H1084" s="1014">
        <v>0.99701736208026026</v>
      </c>
      <c r="I1084" s="1014">
        <v>1.0179129377688967</v>
      </c>
      <c r="K1084">
        <v>2.4265337343477285</v>
      </c>
      <c r="L1084">
        <v>0</v>
      </c>
      <c r="M1084">
        <v>1.7993694279999331E-3</v>
      </c>
      <c r="N1084">
        <v>0.14647853432682806</v>
      </c>
      <c r="O1084">
        <v>2.1350573963778062E-2</v>
      </c>
      <c r="P1084">
        <v>2.7958928509340283E-2</v>
      </c>
      <c r="Q1084">
        <v>5.3818180783543994E-3</v>
      </c>
      <c r="R1084">
        <v>1.7755471200428571E-3</v>
      </c>
      <c r="S1084">
        <v>0.26487183777539636</v>
      </c>
      <c r="T1084">
        <v>1.3781951356610764</v>
      </c>
      <c r="U1084">
        <v>0.21751510693763754</v>
      </c>
      <c r="V1084">
        <v>0.24633098671786119</v>
      </c>
      <c r="W1084">
        <v>9.8388707145149357E-2</v>
      </c>
      <c r="X1084">
        <v>1.5253473588456233E-2</v>
      </c>
      <c r="Y1084">
        <v>4.8324539518058394E-3</v>
      </c>
    </row>
    <row r="1085" spans="1:25">
      <c r="A1085" s="1010"/>
      <c r="B1085" s="1351">
        <v>835</v>
      </c>
      <c r="C1085" s="1014">
        <v>1.0157419000677721</v>
      </c>
      <c r="D1085" s="1014">
        <v>0.99040505194479556</v>
      </c>
      <c r="E1085" s="1014">
        <v>0.97447493183418388</v>
      </c>
      <c r="F1085" s="1014">
        <v>0.97239238309246434</v>
      </c>
      <c r="G1085" s="1014">
        <v>0.9893614519331102</v>
      </c>
      <c r="H1085" s="1014">
        <v>1.0167694558309037</v>
      </c>
      <c r="I1085" s="1014">
        <v>1.003944241259038</v>
      </c>
      <c r="K1085">
        <v>2.35980714224661</v>
      </c>
      <c r="L1085">
        <v>0</v>
      </c>
      <c r="M1085">
        <v>1.7363460748023522E-3</v>
      </c>
      <c r="N1085">
        <v>0.14631599867540596</v>
      </c>
      <c r="O1085">
        <v>2.0687551844439045E-2</v>
      </c>
      <c r="P1085">
        <v>2.734360452265314E-2</v>
      </c>
      <c r="Q1085">
        <v>5.2754219566742951E-3</v>
      </c>
      <c r="R1085">
        <v>1.7138047199077527E-3</v>
      </c>
      <c r="S1085">
        <v>0.25806010514559996</v>
      </c>
      <c r="T1085">
        <v>1.3332355121805752</v>
      </c>
      <c r="U1085">
        <v>0.20860251266600766</v>
      </c>
      <c r="V1085">
        <v>0.24283914539547141</v>
      </c>
      <c r="W1085">
        <v>9.7604029582175872E-2</v>
      </c>
      <c r="X1085">
        <v>1.5201390140483814E-2</v>
      </c>
      <c r="Y1085">
        <v>4.6644114920148206E-3</v>
      </c>
    </row>
    <row r="1086" spans="1:25">
      <c r="A1086" s="1010"/>
      <c r="B1086" s="1351">
        <v>836</v>
      </c>
      <c r="C1086" s="1014">
        <v>1.0181692059287419</v>
      </c>
      <c r="D1086" s="1014">
        <v>1.0053882203656683</v>
      </c>
      <c r="E1086" s="1014">
        <v>0.99559771923495011</v>
      </c>
      <c r="F1086" s="1014">
        <v>0.99295269723164181</v>
      </c>
      <c r="G1086" s="1014">
        <v>0.97151866463968095</v>
      </c>
      <c r="H1086" s="1014">
        <v>1.0091966919895006</v>
      </c>
      <c r="I1086" s="1014">
        <v>0.99353262497267547</v>
      </c>
      <c r="K1086">
        <v>2.3808213878524582</v>
      </c>
      <c r="L1086">
        <v>0</v>
      </c>
      <c r="M1086">
        <v>1.6403421040988159E-3</v>
      </c>
      <c r="N1086">
        <v>0.14733052746937383</v>
      </c>
      <c r="O1086">
        <v>2.0583890329952378E-2</v>
      </c>
      <c r="P1086">
        <v>2.8045916423949088E-2</v>
      </c>
      <c r="Q1086">
        <v>5.3625765218672629E-3</v>
      </c>
      <c r="R1086">
        <v>1.6188872862086248E-3</v>
      </c>
      <c r="S1086">
        <v>0.25241205480594048</v>
      </c>
      <c r="T1086">
        <v>1.3618777463416907</v>
      </c>
      <c r="U1086">
        <v>0.20817595041333364</v>
      </c>
      <c r="V1086">
        <v>0.23956920045184468</v>
      </c>
      <c r="W1086">
        <v>9.7040153077189842E-2</v>
      </c>
      <c r="X1086">
        <v>1.6038749308192827E-2</v>
      </c>
      <c r="Y1086">
        <v>4.4060775270094036E-3</v>
      </c>
    </row>
    <row r="1087" spans="1:25">
      <c r="A1087" s="1010"/>
      <c r="B1087" s="1351">
        <v>837</v>
      </c>
      <c r="C1087" s="1014">
        <v>1.0343821058183718</v>
      </c>
      <c r="D1087" s="1014">
        <v>0.98422895882165085</v>
      </c>
      <c r="E1087" s="1014">
        <v>1.0114674520107449</v>
      </c>
      <c r="F1087" s="1014">
        <v>1.0010233767256802</v>
      </c>
      <c r="G1087" s="1014">
        <v>1.0088308472282645</v>
      </c>
      <c r="H1087" s="1014">
        <v>0.97529059005637631</v>
      </c>
      <c r="I1087" s="1014">
        <v>0.97771701006845457</v>
      </c>
      <c r="K1087">
        <v>2.3785838111406741</v>
      </c>
      <c r="L1087">
        <v>0</v>
      </c>
      <c r="M1087">
        <v>1.516909584627593E-3</v>
      </c>
      <c r="N1087">
        <v>0.14286804372013065</v>
      </c>
      <c r="O1087">
        <v>2.0366516992467183E-2</v>
      </c>
      <c r="P1087">
        <v>2.845626651139526E-2</v>
      </c>
      <c r="Q1087">
        <v>5.3910970244300362E-3</v>
      </c>
      <c r="R1087">
        <v>1.4963794460981885E-3</v>
      </c>
      <c r="S1087">
        <v>0.2445055922275341</v>
      </c>
      <c r="T1087">
        <v>1.3732908618449471</v>
      </c>
      <c r="U1087">
        <v>0.20496547364469819</v>
      </c>
      <c r="V1087">
        <v>0.24492353459256702</v>
      </c>
      <c r="W1087">
        <v>9.3219955044753E-2</v>
      </c>
      <c r="X1087">
        <v>1.6544348105353903E-2</v>
      </c>
      <c r="Y1087">
        <v>4.0726515709274365E-3</v>
      </c>
    </row>
    <row r="1088" spans="1:25">
      <c r="A1088" s="1010"/>
      <c r="B1088" s="1351">
        <v>838</v>
      </c>
      <c r="C1088" s="1014">
        <v>0.99381202656918843</v>
      </c>
      <c r="D1088" s="1014">
        <v>0.98952740339746048</v>
      </c>
      <c r="E1088" s="1014">
        <v>0.95750630105117263</v>
      </c>
      <c r="F1088" s="1014">
        <v>1.0193532380423658</v>
      </c>
      <c r="G1088" s="1014">
        <v>1.003426807096133</v>
      </c>
      <c r="H1088" s="1014">
        <v>1.0118940989620193</v>
      </c>
      <c r="I1088" s="1014">
        <v>0.99318141786470049</v>
      </c>
      <c r="K1088">
        <v>2.4370126371730136</v>
      </c>
      <c r="L1088">
        <v>0</v>
      </c>
      <c r="M1088">
        <v>1.8294332117707406E-3</v>
      </c>
      <c r="N1088">
        <v>0.14642806095606697</v>
      </c>
      <c r="O1088">
        <v>2.1136881496793436E-2</v>
      </c>
      <c r="P1088">
        <v>2.7977682039234415E-2</v>
      </c>
      <c r="Q1088">
        <v>5.2971226023084007E-3</v>
      </c>
      <c r="R1088">
        <v>1.805568965936157E-3</v>
      </c>
      <c r="S1088">
        <v>0.2604885105757242</v>
      </c>
      <c r="T1088">
        <v>1.3972515397006728</v>
      </c>
      <c r="U1088">
        <v>0.21314758437165163</v>
      </c>
      <c r="V1088">
        <v>0.24666088241424258</v>
      </c>
      <c r="W1088">
        <v>9.8696067191844511E-2</v>
      </c>
      <c r="X1088">
        <v>1.5038006550680331E-2</v>
      </c>
      <c r="Y1088">
        <v>4.9141635196285633E-3</v>
      </c>
    </row>
    <row r="1089" spans="1:25">
      <c r="A1089" s="1010"/>
      <c r="B1089" s="1351">
        <v>839</v>
      </c>
      <c r="C1089" s="1014">
        <v>0.96307893194072514</v>
      </c>
      <c r="D1089" s="1014">
        <v>1.0008116931998956</v>
      </c>
      <c r="E1089" s="1014">
        <v>1.0050178939205954</v>
      </c>
      <c r="F1089" s="1014">
        <v>0.98027965851152499</v>
      </c>
      <c r="G1089" s="1014">
        <v>0.99091943691285678</v>
      </c>
      <c r="H1089" s="1014">
        <v>1.040423556754428</v>
      </c>
      <c r="I1089" s="1014">
        <v>0.97711908390611713</v>
      </c>
      <c r="K1089">
        <v>2.4230409042296777</v>
      </c>
      <c r="L1089">
        <v>0</v>
      </c>
      <c r="M1089">
        <v>1.7549959674467122E-3</v>
      </c>
      <c r="N1089">
        <v>0.16224340508964294</v>
      </c>
      <c r="O1089">
        <v>2.1789679189534551E-2</v>
      </c>
      <c r="P1089">
        <v>2.844822388924784E-2</v>
      </c>
      <c r="Q1089">
        <v>5.7307109591884795E-3</v>
      </c>
      <c r="R1089">
        <v>1.7327304821927066E-3</v>
      </c>
      <c r="S1089">
        <v>0.26581433638558383</v>
      </c>
      <c r="T1089">
        <v>1.3446958597185896</v>
      </c>
      <c r="U1089">
        <v>0.22011751784959038</v>
      </c>
      <c r="V1089">
        <v>0.24635485618772404</v>
      </c>
      <c r="W1089">
        <v>0.10626611954675731</v>
      </c>
      <c r="X1089">
        <v>1.6886539720993354E-2</v>
      </c>
      <c r="Y1089">
        <v>4.7159211780786036E-3</v>
      </c>
    </row>
    <row r="1090" spans="1:25">
      <c r="A1090" s="1010"/>
      <c r="B1090" s="1351">
        <v>840</v>
      </c>
      <c r="C1090" s="1014">
        <v>1.0084569844043108</v>
      </c>
      <c r="D1090" s="1014">
        <v>0.99962570355794167</v>
      </c>
      <c r="E1090" s="1014">
        <v>0.99966382772603335</v>
      </c>
      <c r="F1090" s="1014">
        <v>0.98526129225636805</v>
      </c>
      <c r="G1090" s="1014">
        <v>1.0335234748688114</v>
      </c>
      <c r="H1090" s="1014">
        <v>0.9815415241277049</v>
      </c>
      <c r="I1090" s="1014">
        <v>0.9571585826374146</v>
      </c>
      <c r="K1090">
        <v>2.3720228701843671</v>
      </c>
      <c r="L1090">
        <v>0</v>
      </c>
      <c r="M1090">
        <v>1.599253941302505E-3</v>
      </c>
      <c r="N1090">
        <v>0.14536156919996088</v>
      </c>
      <c r="O1090">
        <v>2.0811101747852837E-2</v>
      </c>
      <c r="P1090">
        <v>2.8053748577980344E-2</v>
      </c>
      <c r="Q1090">
        <v>5.4440045620382732E-3</v>
      </c>
      <c r="R1090">
        <v>1.5777471821831379E-3</v>
      </c>
      <c r="S1090">
        <v>0.2440177706550706</v>
      </c>
      <c r="T1090">
        <v>1.3514152556699386</v>
      </c>
      <c r="U1090">
        <v>0.21019462320694648</v>
      </c>
      <c r="V1090">
        <v>0.25073398129371371</v>
      </c>
      <c r="W1090">
        <v>9.5511753515795147E-2</v>
      </c>
      <c r="X1090">
        <v>1.6206460788505333E-2</v>
      </c>
      <c r="Y1090">
        <v>4.2941077256836747E-3</v>
      </c>
    </row>
    <row r="1091" spans="1:25">
      <c r="A1091" s="1010"/>
      <c r="B1091" s="1351">
        <v>841</v>
      </c>
      <c r="C1091" s="1014">
        <v>1.0327701279093975</v>
      </c>
      <c r="D1091" s="1014">
        <v>0.98775127753796088</v>
      </c>
      <c r="E1091" s="1014">
        <v>1.0317242791284928</v>
      </c>
      <c r="F1091" s="1014">
        <v>1.027193426479861</v>
      </c>
      <c r="G1091" s="1014">
        <v>1.0043309735160471</v>
      </c>
      <c r="H1091" s="1014">
        <v>1.0150583378305302</v>
      </c>
      <c r="I1091" s="1014">
        <v>0.96870372786996162</v>
      </c>
      <c r="K1091">
        <v>2.4311910316478635</v>
      </c>
      <c r="L1091">
        <v>0</v>
      </c>
      <c r="M1091">
        <v>1.5147600833906448E-3</v>
      </c>
      <c r="N1091">
        <v>0.15173629285905169</v>
      </c>
      <c r="O1091">
        <v>2.0395376146315713E-2</v>
      </c>
      <c r="P1091">
        <v>2.939799491569877E-2</v>
      </c>
      <c r="Q1091">
        <v>5.5084625898930879E-3</v>
      </c>
      <c r="R1091">
        <v>1.4950622224277189E-3</v>
      </c>
      <c r="S1091">
        <v>0.24553285095924662</v>
      </c>
      <c r="T1091">
        <v>1.4096451497858165</v>
      </c>
      <c r="U1091">
        <v>0.20535265546138981</v>
      </c>
      <c r="V1091">
        <v>0.24417747845840665</v>
      </c>
      <c r="W1091">
        <v>9.7841405543539858E-2</v>
      </c>
      <c r="X1091">
        <v>1.7553996267148941E-2</v>
      </c>
      <c r="Y1091">
        <v>4.0690665223190835E-3</v>
      </c>
    </row>
    <row r="1092" spans="1:25">
      <c r="A1092" s="1010"/>
      <c r="B1092" s="1351">
        <v>842</v>
      </c>
      <c r="C1092" s="1014">
        <v>1.0153212645963103</v>
      </c>
      <c r="D1092" s="1014">
        <v>0.98493949432958439</v>
      </c>
      <c r="E1092" s="1014">
        <v>0.99852438160106993</v>
      </c>
      <c r="F1092" s="1014">
        <v>0.99797039736892501</v>
      </c>
      <c r="G1092" s="1014">
        <v>1.0226452366864889</v>
      </c>
      <c r="H1092" s="1014">
        <v>1.0353129872970372</v>
      </c>
      <c r="I1092" s="1014">
        <v>1.023376910246532</v>
      </c>
      <c r="K1092">
        <v>2.4204284357439749</v>
      </c>
      <c r="L1092">
        <v>0</v>
      </c>
      <c r="M1092">
        <v>1.6849025099542035E-3</v>
      </c>
      <c r="N1092">
        <v>0.15272816975823456</v>
      </c>
      <c r="O1092">
        <v>2.0737072698050484E-2</v>
      </c>
      <c r="P1092">
        <v>2.8512275066459515E-2</v>
      </c>
      <c r="Q1092">
        <v>5.4184265483044865E-3</v>
      </c>
      <c r="R1092">
        <v>1.6634207759991034E-3</v>
      </c>
      <c r="S1092">
        <v>0.2656901960760103</v>
      </c>
      <c r="T1092">
        <v>1.3688228726561171</v>
      </c>
      <c r="U1092">
        <v>0.20876972531605786</v>
      </c>
      <c r="V1092">
        <v>0.24846221692968418</v>
      </c>
      <c r="W1092">
        <v>0.10042010899905411</v>
      </c>
      <c r="X1092">
        <v>1.6361570424196357E-2</v>
      </c>
      <c r="Y1092">
        <v>4.5272830057581231E-3</v>
      </c>
    </row>
    <row r="1093" spans="1:25">
      <c r="A1093" s="1010"/>
      <c r="B1093" s="1351">
        <v>843</v>
      </c>
      <c r="C1093" s="1014">
        <v>0.98375182849338483</v>
      </c>
      <c r="D1093" s="1014">
        <v>0.96925379034630177</v>
      </c>
      <c r="E1093" s="1014">
        <v>0.99063348802077678</v>
      </c>
      <c r="F1093" s="1014">
        <v>1.0159666591726848</v>
      </c>
      <c r="G1093" s="1014">
        <v>1.0134058503832555</v>
      </c>
      <c r="H1093" s="1014">
        <v>0.99912103180171541</v>
      </c>
      <c r="I1093" s="1014">
        <v>1.0017159152716022</v>
      </c>
      <c r="K1093">
        <v>2.4533270130978053</v>
      </c>
      <c r="L1093">
        <v>0</v>
      </c>
      <c r="M1093">
        <v>1.7118889143327308E-3</v>
      </c>
      <c r="N1093">
        <v>0.15144641423866737</v>
      </c>
      <c r="O1093">
        <v>2.1472910997023763E-2</v>
      </c>
      <c r="P1093">
        <v>2.8795119919268794E-2</v>
      </c>
      <c r="Q1093">
        <v>5.5662355554124002E-3</v>
      </c>
      <c r="R1093">
        <v>1.6892725028613213E-3</v>
      </c>
      <c r="S1093">
        <v>0.26735477135018371</v>
      </c>
      <c r="T1093">
        <v>1.3933334650559164</v>
      </c>
      <c r="U1093">
        <v>0.21544192910745003</v>
      </c>
      <c r="V1093">
        <v>0.24888515136123229</v>
      </c>
      <c r="W1093">
        <v>0.1000474641358329</v>
      </c>
      <c r="X1093">
        <v>1.640852490403167E-2</v>
      </c>
      <c r="Y1093">
        <v>4.5976428842576106E-3</v>
      </c>
    </row>
    <row r="1094" spans="1:25">
      <c r="A1094" s="1010"/>
      <c r="B1094" s="1351">
        <v>844</v>
      </c>
      <c r="C1094" s="1014">
        <v>0.98397980886372716</v>
      </c>
      <c r="D1094" s="1014">
        <v>0.98869236536656357</v>
      </c>
      <c r="E1094" s="1014">
        <v>1.0318094902734751</v>
      </c>
      <c r="F1094" s="1014">
        <v>0.99575240652162422</v>
      </c>
      <c r="G1094" s="1014">
        <v>0.9910806413158264</v>
      </c>
      <c r="H1094" s="1014">
        <v>0.99459089068758788</v>
      </c>
      <c r="I1094" s="1014">
        <v>1.0107535353754342</v>
      </c>
      <c r="K1094">
        <v>2.4289057333233286</v>
      </c>
      <c r="L1094">
        <v>0</v>
      </c>
      <c r="M1094">
        <v>1.5572082132136909E-3</v>
      </c>
      <c r="N1094">
        <v>0.15598616516805866</v>
      </c>
      <c r="O1094">
        <v>2.140224776002787E-2</v>
      </c>
      <c r="P1094">
        <v>2.9249183573198962E-2</v>
      </c>
      <c r="Q1094">
        <v>5.7808889297990907E-3</v>
      </c>
      <c r="R1094">
        <v>1.5365416421006899E-3</v>
      </c>
      <c r="S1094">
        <v>0.26697192123107288</v>
      </c>
      <c r="T1094">
        <v>1.3664996394261792</v>
      </c>
      <c r="U1094">
        <v>0.2155352975744303</v>
      </c>
      <c r="V1094">
        <v>0.24491354878913366</v>
      </c>
      <c r="W1094">
        <v>0.10057680679135113</v>
      </c>
      <c r="X1094">
        <v>1.7828740822208491E-2</v>
      </c>
      <c r="Y1094">
        <v>4.1819598289818908E-3</v>
      </c>
    </row>
    <row r="1095" spans="1:25">
      <c r="A1095" s="1010"/>
      <c r="B1095" s="1351">
        <v>845</v>
      </c>
      <c r="C1095" s="1014">
        <v>0.97648067394853733</v>
      </c>
      <c r="D1095" s="1014">
        <v>0.98685610585591155</v>
      </c>
      <c r="E1095" s="1014">
        <v>1.0147538726341065</v>
      </c>
      <c r="F1095" s="1014">
        <v>1.0307456674410347</v>
      </c>
      <c r="G1095" s="1014">
        <v>0.96388453468661073</v>
      </c>
      <c r="H1095" s="1014">
        <v>0.9591659899430014</v>
      </c>
      <c r="I1095" s="1014">
        <v>0.99130360361178205</v>
      </c>
      <c r="K1095">
        <v>2.457547688433495</v>
      </c>
      <c r="L1095">
        <v>0</v>
      </c>
      <c r="M1095">
        <v>1.568611912502735E-3</v>
      </c>
      <c r="N1095">
        <v>0.14917590681213189</v>
      </c>
      <c r="O1095">
        <v>2.1563766898235987E-2</v>
      </c>
      <c r="P1095">
        <v>2.9425947245678923E-2</v>
      </c>
      <c r="Q1095">
        <v>5.7267645133207458E-3</v>
      </c>
      <c r="R1095">
        <v>1.5470251279991406E-3</v>
      </c>
      <c r="S1095">
        <v>0.26087985117016471</v>
      </c>
      <c r="T1095">
        <v>1.4141399387915072</v>
      </c>
      <c r="U1095">
        <v>0.21713064103545293</v>
      </c>
      <c r="V1095">
        <v>0.2408168783896793</v>
      </c>
      <c r="W1095">
        <v>9.7147785967306638E-2</v>
      </c>
      <c r="X1095">
        <v>1.7351301972802623E-2</v>
      </c>
      <c r="Y1095">
        <v>4.2104924217172737E-3</v>
      </c>
    </row>
    <row r="1096" spans="1:25">
      <c r="A1096" s="1010"/>
      <c r="B1096" s="1351">
        <v>846</v>
      </c>
      <c r="C1096" s="1014">
        <v>0.95893364570060702</v>
      </c>
      <c r="D1096" s="1014">
        <v>1.0094788508916011</v>
      </c>
      <c r="E1096" s="1014">
        <v>1.031322647706852</v>
      </c>
      <c r="F1096" s="1014">
        <v>1.0193872356963496</v>
      </c>
      <c r="G1096" s="1014">
        <v>0.99633129170951251</v>
      </c>
      <c r="H1096" s="1014">
        <v>1.0134135269105606</v>
      </c>
      <c r="I1096" s="1014">
        <v>0.96041725852671578</v>
      </c>
      <c r="K1096">
        <v>2.4737167354617116</v>
      </c>
      <c r="L1096">
        <v>0</v>
      </c>
      <c r="M1096">
        <v>1.6223303317860255E-3</v>
      </c>
      <c r="N1096">
        <v>0.16231171107714759</v>
      </c>
      <c r="O1096">
        <v>2.1860615012206368E-2</v>
      </c>
      <c r="P1096">
        <v>2.9697323134942909E-2</v>
      </c>
      <c r="Q1096">
        <v>5.9018579275346176E-3</v>
      </c>
      <c r="R1096">
        <v>1.6011993921437203E-3</v>
      </c>
      <c r="S1096">
        <v>0.25919852329417009</v>
      </c>
      <c r="T1096">
        <v>1.3989235951630921</v>
      </c>
      <c r="U1096">
        <v>0.22116306985050041</v>
      </c>
      <c r="V1096">
        <v>0.2474681081148582</v>
      </c>
      <c r="W1096">
        <v>0.10468493769272397</v>
      </c>
      <c r="X1096">
        <v>1.8170188223998757E-2</v>
      </c>
      <c r="Y1096">
        <v>4.3579369101774445E-3</v>
      </c>
    </row>
    <row r="1097" spans="1:25">
      <c r="A1097" s="1010"/>
      <c r="B1097" s="1351">
        <v>847</v>
      </c>
      <c r="C1097" s="1014">
        <v>0.99577292274618989</v>
      </c>
      <c r="D1097" s="1014">
        <v>0.96688615788513932</v>
      </c>
      <c r="E1097" s="1014">
        <v>0.98578962079423693</v>
      </c>
      <c r="F1097" s="1014">
        <v>0.97261675590423713</v>
      </c>
      <c r="G1097" s="1014">
        <v>0.97986233657901067</v>
      </c>
      <c r="H1097" s="1014">
        <v>0.97049508049544131</v>
      </c>
      <c r="I1097" s="1014">
        <v>1.0175711030053802</v>
      </c>
      <c r="K1097">
        <v>2.3703249452427371</v>
      </c>
      <c r="L1097">
        <v>0</v>
      </c>
      <c r="M1097">
        <v>1.6602188249228099E-3</v>
      </c>
      <c r="N1097">
        <v>0.14468252481922725</v>
      </c>
      <c r="O1097">
        <v>2.1221858324209787E-2</v>
      </c>
      <c r="P1097">
        <v>2.7746382082681362E-2</v>
      </c>
      <c r="Q1097">
        <v>5.4742628101176393E-3</v>
      </c>
      <c r="R1097">
        <v>1.6376380826421079E-3</v>
      </c>
      <c r="S1097">
        <v>0.26609260753114311</v>
      </c>
      <c r="T1097">
        <v>1.3337801876352486</v>
      </c>
      <c r="U1097">
        <v>0.21282449083696833</v>
      </c>
      <c r="V1097">
        <v>0.24240690555812688</v>
      </c>
      <c r="W1097">
        <v>9.5857296823753504E-2</v>
      </c>
      <c r="X1097">
        <v>1.5803898549833866E-2</v>
      </c>
      <c r="Y1097">
        <v>4.4571110137029621E-3</v>
      </c>
    </row>
    <row r="1098" spans="1:25">
      <c r="A1098" s="1010"/>
      <c r="B1098" s="1351">
        <v>848</v>
      </c>
      <c r="C1098" s="1014">
        <v>1.0084883865507088</v>
      </c>
      <c r="D1098" s="1014">
        <v>0.97220307738731337</v>
      </c>
      <c r="E1098" s="1014">
        <v>0.96099062968238769</v>
      </c>
      <c r="F1098" s="1014">
        <v>0.96626690922972769</v>
      </c>
      <c r="G1098" s="1014">
        <v>0.960423880837741</v>
      </c>
      <c r="H1098" s="1014">
        <v>1.0049081820687638</v>
      </c>
      <c r="I1098" s="1014">
        <v>1.0076140200847812</v>
      </c>
      <c r="K1098">
        <v>2.3492207610664884</v>
      </c>
      <c r="L1098">
        <v>0</v>
      </c>
      <c r="M1098">
        <v>1.7844742671311636E-3</v>
      </c>
      <c r="N1098">
        <v>0.14433233558972536</v>
      </c>
      <c r="O1098">
        <v>2.0912667797137376E-2</v>
      </c>
      <c r="P1098">
        <v>2.6961976240250138E-2</v>
      </c>
      <c r="Q1098">
        <v>5.2597427142772367E-3</v>
      </c>
      <c r="R1098">
        <v>1.7610346709306226E-3</v>
      </c>
      <c r="S1098">
        <v>0.26218028666545257</v>
      </c>
      <c r="T1098">
        <v>1.3245570471328967</v>
      </c>
      <c r="U1098">
        <v>0.21005741443391157</v>
      </c>
      <c r="V1098">
        <v>0.23838293812977265</v>
      </c>
      <c r="W1098">
        <v>9.7075641717222938E-2</v>
      </c>
      <c r="X1098">
        <v>1.4731194392690113E-2</v>
      </c>
      <c r="Y1098">
        <v>4.7929558493499018E-3</v>
      </c>
    </row>
    <row r="1099" spans="1:25">
      <c r="A1099" s="1010"/>
      <c r="B1099" s="1351">
        <v>849</v>
      </c>
      <c r="C1099" s="1014">
        <v>1.0270582057335178</v>
      </c>
      <c r="D1099" s="1014">
        <v>0.97830279471066994</v>
      </c>
      <c r="E1099" s="1014">
        <v>0.98257416669178765</v>
      </c>
      <c r="F1099" s="1014">
        <v>0.99482758444379638</v>
      </c>
      <c r="G1099" s="1014">
        <v>0.96806164113888926</v>
      </c>
      <c r="H1099" s="1014">
        <v>1.0440213828057223</v>
      </c>
      <c r="I1099" s="1014">
        <v>1.0227057781880358</v>
      </c>
      <c r="K1099">
        <v>2.3968497146611232</v>
      </c>
      <c r="L1099">
        <v>0</v>
      </c>
      <c r="M1099">
        <v>1.7386596926376259E-3</v>
      </c>
      <c r="N1099">
        <v>0.15019758988886914</v>
      </c>
      <c r="O1099">
        <v>2.0520268717863652E-2</v>
      </c>
      <c r="P1099">
        <v>2.7919681359617705E-2</v>
      </c>
      <c r="Q1099">
        <v>5.2760538559207719E-3</v>
      </c>
      <c r="R1099">
        <v>1.7166774796859526E-3</v>
      </c>
      <c r="S1099">
        <v>0.26397858516977107</v>
      </c>
      <c r="T1099">
        <v>1.3641696404012265</v>
      </c>
      <c r="U1099">
        <v>0.20633095642570709</v>
      </c>
      <c r="V1099">
        <v>0.23849396717899052</v>
      </c>
      <c r="W1099">
        <v>9.970397779461633E-2</v>
      </c>
      <c r="X1099">
        <v>1.5608745884364663E-2</v>
      </c>
      <c r="Y1099">
        <v>4.6722301971260736E-3</v>
      </c>
    </row>
    <row r="1100" spans="1:25">
      <c r="A1100" s="1010"/>
      <c r="B1100" s="1351">
        <v>850</v>
      </c>
      <c r="C1100" s="1014">
        <v>1.0179967102692404</v>
      </c>
      <c r="D1100" s="1014">
        <v>1.0130343611364878</v>
      </c>
      <c r="E1100" s="1014">
        <v>1.0154221441498124</v>
      </c>
      <c r="F1100" s="1014">
        <v>1.0263143912395796</v>
      </c>
      <c r="G1100" s="1014">
        <v>0.9773652817731604</v>
      </c>
      <c r="H1100" s="1014">
        <v>1.0286824102112793</v>
      </c>
      <c r="I1100" s="1014">
        <v>0.97159126778771254</v>
      </c>
      <c r="K1100">
        <v>2.4332192428831565</v>
      </c>
      <c r="L1100">
        <v>0</v>
      </c>
      <c r="M1100">
        <v>1.6021952448603647E-3</v>
      </c>
      <c r="N1100">
        <v>0.15282127377490554</v>
      </c>
      <c r="O1100">
        <v>2.0565990274463979E-2</v>
      </c>
      <c r="P1100">
        <v>2.9048038413065871E-2</v>
      </c>
      <c r="Q1100">
        <v>5.4654211294744553E-3</v>
      </c>
      <c r="R1100">
        <v>1.581636322657947E-3</v>
      </c>
      <c r="S1100">
        <v>0.24768098146725018</v>
      </c>
      <c r="T1100">
        <v>1.4080752913993879</v>
      </c>
      <c r="U1100">
        <v>0.20827784820851958</v>
      </c>
      <c r="V1100">
        <v>0.24050929866788759</v>
      </c>
      <c r="W1100">
        <v>9.9482703889072932E-2</v>
      </c>
      <c r="X1100">
        <v>1.7008261897330557E-2</v>
      </c>
      <c r="Y1100">
        <v>4.3046926840012928E-3</v>
      </c>
    </row>
    <row r="1101" spans="1:25">
      <c r="A1101" s="1010"/>
      <c r="B1101" s="1351">
        <v>851</v>
      </c>
      <c r="C1101" s="1014">
        <v>0.96926662836785193</v>
      </c>
      <c r="D1101" s="1014">
        <v>1.0300934555573975</v>
      </c>
      <c r="E1101" s="1014">
        <v>0.97854504002264575</v>
      </c>
      <c r="F1101" s="1014">
        <v>1.0070124011384196</v>
      </c>
      <c r="G1101" s="1014">
        <v>1.0248119536425517</v>
      </c>
      <c r="H1101" s="1014">
        <v>0.98817809582915983</v>
      </c>
      <c r="I1101" s="1014">
        <v>0.99937727177386448</v>
      </c>
      <c r="K1101">
        <v>2.435590242721335</v>
      </c>
      <c r="L1101">
        <v>0</v>
      </c>
      <c r="M1101">
        <v>1.7385295173908593E-3</v>
      </c>
      <c r="N1101">
        <v>0.14825928375228559</v>
      </c>
      <c r="O1101">
        <v>2.1495666051088654E-2</v>
      </c>
      <c r="P1101">
        <v>2.8368777965208421E-2</v>
      </c>
      <c r="Q1101">
        <v>5.5042622153382995E-3</v>
      </c>
      <c r="R1101">
        <v>1.7153067985539886E-3</v>
      </c>
      <c r="S1101">
        <v>0.26153167672167665</v>
      </c>
      <c r="T1101">
        <v>1.3807908185321875</v>
      </c>
      <c r="U1101">
        <v>0.21861907363475519</v>
      </c>
      <c r="V1101">
        <v>0.25182627599509733</v>
      </c>
      <c r="W1101">
        <v>9.8656916555280832E-2</v>
      </c>
      <c r="X1101">
        <v>1.5892214362321366E-2</v>
      </c>
      <c r="Y1101">
        <v>4.6684996549297827E-3</v>
      </c>
    </row>
    <row r="1102" spans="1:25">
      <c r="A1102" s="1010"/>
      <c r="B1102" s="1351">
        <v>852</v>
      </c>
      <c r="C1102" s="1014">
        <v>0.97108655186247006</v>
      </c>
      <c r="D1102" s="1014">
        <v>1.010006048321312</v>
      </c>
      <c r="E1102" s="1014">
        <v>1.0337215898738763</v>
      </c>
      <c r="F1102" s="1014">
        <v>1.0207415354018565</v>
      </c>
      <c r="G1102" s="1014">
        <v>0.98755083765300677</v>
      </c>
      <c r="H1102" s="1014">
        <v>0.96311332028155805</v>
      </c>
      <c r="I1102" s="1014">
        <v>0.99721580324734249</v>
      </c>
      <c r="K1102">
        <v>2.455768216106117</v>
      </c>
      <c r="L1102">
        <v>0</v>
      </c>
      <c r="M1102">
        <v>1.51474287912302E-3</v>
      </c>
      <c r="N1102">
        <v>0.15254226787454297</v>
      </c>
      <c r="O1102">
        <v>2.1586199364690323E-2</v>
      </c>
      <c r="P1102">
        <v>2.9734373902844256E-2</v>
      </c>
      <c r="Q1102">
        <v>5.8415917592791015E-3</v>
      </c>
      <c r="R1102">
        <v>1.4939828600323282E-3</v>
      </c>
      <c r="S1102">
        <v>0.26132376000344232</v>
      </c>
      <c r="T1102">
        <v>1.4008354202731936</v>
      </c>
      <c r="U1102">
        <v>0.21840375471715398</v>
      </c>
      <c r="V1102">
        <v>0.24514717341069375</v>
      </c>
      <c r="W1102">
        <v>9.8247378226555909E-2</v>
      </c>
      <c r="X1102">
        <v>1.8060927739117463E-2</v>
      </c>
      <c r="Y1102">
        <v>4.0661288536905475E-3</v>
      </c>
    </row>
    <row r="1103" spans="1:25">
      <c r="A1103" s="1010"/>
      <c r="B1103" s="1351">
        <v>853</v>
      </c>
      <c r="C1103" s="1014">
        <v>1.0025021163292178</v>
      </c>
      <c r="D1103" s="1014">
        <v>0.9778836282006248</v>
      </c>
      <c r="E1103" s="1014">
        <v>0.96734317779839796</v>
      </c>
      <c r="F1103" s="1014">
        <v>0.98102937199634965</v>
      </c>
      <c r="G1103" s="1014">
        <v>1.0294167739402422</v>
      </c>
      <c r="H1103" s="1014">
        <v>1.0088095317033448</v>
      </c>
      <c r="I1103" s="1014">
        <v>0.9971464398666644</v>
      </c>
      <c r="K1103">
        <v>2.3857638574504945</v>
      </c>
      <c r="L1103">
        <v>0</v>
      </c>
      <c r="M1103">
        <v>1.7763635468123339E-3</v>
      </c>
      <c r="N1103">
        <v>0.14647540676163745</v>
      </c>
      <c r="O1103">
        <v>2.101479886722564E-2</v>
      </c>
      <c r="P1103">
        <v>2.7523191731215542E-2</v>
      </c>
      <c r="Q1103">
        <v>5.3199712276793421E-3</v>
      </c>
      <c r="R1103">
        <v>1.753120722807843E-3</v>
      </c>
      <c r="S1103">
        <v>0.26062472307889856</v>
      </c>
      <c r="T1103">
        <v>1.344927179947494</v>
      </c>
      <c r="U1103">
        <v>0.21133326945471934</v>
      </c>
      <c r="V1103">
        <v>0.25052266528869643</v>
      </c>
      <c r="W1103">
        <v>9.813510599756807E-2</v>
      </c>
      <c r="X1103">
        <v>1.5139371227974924E-2</v>
      </c>
      <c r="Y1103">
        <v>4.7714166913919928E-3</v>
      </c>
    </row>
    <row r="1104" spans="1:25">
      <c r="A1104" s="1010"/>
      <c r="B1104" s="1351">
        <v>854</v>
      </c>
      <c r="C1104" s="1014">
        <v>0.98817768798682282</v>
      </c>
      <c r="D1104" s="1014">
        <v>1.0145167542336673</v>
      </c>
      <c r="E1104" s="1014">
        <v>1.0214997862304489</v>
      </c>
      <c r="F1104" s="1014">
        <v>0.97705324467034105</v>
      </c>
      <c r="G1104" s="1014">
        <v>0.99187954667147105</v>
      </c>
      <c r="H1104" s="1014">
        <v>0.99504704717971992</v>
      </c>
      <c r="I1104" s="1014">
        <v>0.99173385340027143</v>
      </c>
      <c r="K1104">
        <v>2.3865282869005018</v>
      </c>
      <c r="L1104">
        <v>0</v>
      </c>
      <c r="M1104">
        <v>1.5760092287510593E-3</v>
      </c>
      <c r="N1104">
        <v>0.15303822751525653</v>
      </c>
      <c r="O1104">
        <v>2.1183850768892495E-2</v>
      </c>
      <c r="P1104">
        <v>2.8525001100890398E-2</v>
      </c>
      <c r="Q1104">
        <v>5.6637642698057229E-3</v>
      </c>
      <c r="R1104">
        <v>1.5551027274681064E-3</v>
      </c>
      <c r="S1104">
        <v>0.25744149503430802</v>
      </c>
      <c r="T1104">
        <v>1.3406192446903342</v>
      </c>
      <c r="U1104">
        <v>0.21458387529931033</v>
      </c>
      <c r="V1104">
        <v>0.24481575219304827</v>
      </c>
      <c r="W1104">
        <v>9.9269899196884739E-2</v>
      </c>
      <c r="X1104">
        <v>1.7175606348361259E-2</v>
      </c>
      <c r="Y1104">
        <v>4.2324769846918513E-3</v>
      </c>
    </row>
    <row r="1105" spans="1:25">
      <c r="A1105" s="1010"/>
      <c r="B1105" s="1351">
        <v>855</v>
      </c>
      <c r="C1105" s="1014">
        <v>1.040882226284086</v>
      </c>
      <c r="D1105" s="1014">
        <v>1.009588424849901</v>
      </c>
      <c r="E1105" s="1014">
        <v>0.97930836639017549</v>
      </c>
      <c r="F1105" s="1014">
        <v>0.99636119849736748</v>
      </c>
      <c r="G1105" s="1014">
        <v>1.0341438926557081</v>
      </c>
      <c r="H1105" s="1014">
        <v>0.96241366978506493</v>
      </c>
      <c r="I1105" s="1014">
        <v>0.98488445605418273</v>
      </c>
      <c r="K1105">
        <v>2.3565175606988231</v>
      </c>
      <c r="L1105">
        <v>0</v>
      </c>
      <c r="M1105">
        <v>1.5811971536812256E-3</v>
      </c>
      <c r="N1105">
        <v>0.13510503426192419</v>
      </c>
      <c r="O1105">
        <v>2.0105928227256126E-2</v>
      </c>
      <c r="P1105">
        <v>2.7664644109081475E-2</v>
      </c>
      <c r="Q1105">
        <v>5.152398939497203E-3</v>
      </c>
      <c r="R1105">
        <v>1.5595106041063032E-3</v>
      </c>
      <c r="S1105">
        <v>0.24036561841839249</v>
      </c>
      <c r="T1105">
        <v>1.3662025273136773</v>
      </c>
      <c r="U1105">
        <v>0.20357997036296296</v>
      </c>
      <c r="V1105">
        <v>0.24899046209568251</v>
      </c>
      <c r="W1105">
        <v>8.9862154968760474E-2</v>
      </c>
      <c r="X1105">
        <v>1.5266034779313667E-2</v>
      </c>
      <c r="Y1105">
        <v>4.2444737718448809E-3</v>
      </c>
    </row>
    <row r="1106" spans="1:25">
      <c r="A1106" s="1010"/>
      <c r="B1106" s="1351">
        <v>856</v>
      </c>
      <c r="C1106" s="1014">
        <v>1.0006243987430306</v>
      </c>
      <c r="D1106" s="1014">
        <v>1.0262432589137787</v>
      </c>
      <c r="E1106" s="1014">
        <v>1.0282477462841866</v>
      </c>
      <c r="F1106" s="1014">
        <v>1.0291982767335308</v>
      </c>
      <c r="G1106" s="1014">
        <v>0.9992341761853677</v>
      </c>
      <c r="H1106" s="1014">
        <v>1.0038650905952258</v>
      </c>
      <c r="I1106" s="1014">
        <v>0.95267720924223853</v>
      </c>
      <c r="K1106">
        <v>2.4427487955198282</v>
      </c>
      <c r="L1106">
        <v>0</v>
      </c>
      <c r="M1106">
        <v>1.5443806387526436E-3</v>
      </c>
      <c r="N1106">
        <v>0.15306808041881997</v>
      </c>
      <c r="O1106">
        <v>2.0871986314400279E-2</v>
      </c>
      <c r="P1106">
        <v>2.9441010661584145E-2</v>
      </c>
      <c r="Q1106">
        <v>5.6178441255293086E-3</v>
      </c>
      <c r="R1106">
        <v>1.5240736646523402E-3</v>
      </c>
      <c r="S1106">
        <v>0.2435937858182263</v>
      </c>
      <c r="T1106">
        <v>1.4123186216108909</v>
      </c>
      <c r="U1106">
        <v>0.21193781722147609</v>
      </c>
      <c r="V1106">
        <v>0.24526175314911275</v>
      </c>
      <c r="W1106">
        <v>9.8899542858758974E-2</v>
      </c>
      <c r="X1106">
        <v>1.7610634210691409E-2</v>
      </c>
      <c r="Y1106">
        <v>4.1480261044351437E-3</v>
      </c>
    </row>
    <row r="1107" spans="1:25">
      <c r="A1107" s="1010"/>
      <c r="B1107" s="1351">
        <v>857</v>
      </c>
      <c r="C1107" s="1014">
        <v>0.99368947267944296</v>
      </c>
      <c r="D1107" s="1014">
        <v>0.97470159699148196</v>
      </c>
      <c r="E1107" s="1014">
        <v>1.0041555858068123</v>
      </c>
      <c r="F1107" s="1014">
        <v>0.96629491456561656</v>
      </c>
      <c r="G1107" s="1014">
        <v>1.0069458874164849</v>
      </c>
      <c r="H1107" s="1014">
        <v>1.026873388258114</v>
      </c>
      <c r="I1107" s="1014">
        <v>1.0109292680824038</v>
      </c>
      <c r="K1107">
        <v>2.3889894438783559</v>
      </c>
      <c r="L1107">
        <v>0</v>
      </c>
      <c r="M1107">
        <v>1.6915979942537858E-3</v>
      </c>
      <c r="N1107">
        <v>0.15594928717780432</v>
      </c>
      <c r="O1107">
        <v>2.1241047588316006E-2</v>
      </c>
      <c r="P1107">
        <v>2.8126601689505662E-2</v>
      </c>
      <c r="Q1107">
        <v>5.5815924017666458E-3</v>
      </c>
      <c r="R1107">
        <v>1.6698536417056717E-3</v>
      </c>
      <c r="S1107">
        <v>0.26889067874148326</v>
      </c>
      <c r="T1107">
        <v>1.3254942884161567</v>
      </c>
      <c r="U1107">
        <v>0.21333384336218958</v>
      </c>
      <c r="V1107">
        <v>0.24709854247953109</v>
      </c>
      <c r="W1107">
        <v>0.10219577442418534</v>
      </c>
      <c r="X1107">
        <v>1.6554740804348461E-2</v>
      </c>
      <c r="Y1107">
        <v>4.5447911456177907E-3</v>
      </c>
    </row>
    <row r="1108" spans="1:25">
      <c r="A1108" s="1010"/>
      <c r="B1108" s="1351">
        <v>858</v>
      </c>
      <c r="C1108" s="1014">
        <v>1.0063308321727635</v>
      </c>
      <c r="D1108" s="1014">
        <v>1.014403507900133</v>
      </c>
      <c r="E1108" s="1014">
        <v>1.0339163830727918</v>
      </c>
      <c r="F1108" s="1014">
        <v>0.99811937246705174</v>
      </c>
      <c r="G1108" s="1014">
        <v>0.97263706863636823</v>
      </c>
      <c r="H1108" s="1014">
        <v>0.97044150404275742</v>
      </c>
      <c r="I1108" s="1014">
        <v>0.98519371881781947</v>
      </c>
      <c r="K1108">
        <v>2.3906383568022607</v>
      </c>
      <c r="L1108">
        <v>0</v>
      </c>
      <c r="M1108">
        <v>1.4708100264604908E-3</v>
      </c>
      <c r="N1108">
        <v>0.14822053772885868</v>
      </c>
      <c r="O1108">
        <v>2.0810424628040794E-2</v>
      </c>
      <c r="P1108">
        <v>2.896053307156243E-2</v>
      </c>
      <c r="Q1108">
        <v>5.6327363942273176E-3</v>
      </c>
      <c r="R1108">
        <v>1.4508043409262848E-3</v>
      </c>
      <c r="S1108">
        <v>0.24919850590780493</v>
      </c>
      <c r="T1108">
        <v>1.3697936672073645</v>
      </c>
      <c r="U1108">
        <v>0.21075536148557208</v>
      </c>
      <c r="V1108">
        <v>0.24035058195184009</v>
      </c>
      <c r="W1108">
        <v>9.5453134761147737E-2</v>
      </c>
      <c r="X1108">
        <v>1.7534268192896031E-2</v>
      </c>
      <c r="Y1108">
        <v>3.9486111584788961E-3</v>
      </c>
    </row>
    <row r="1109" spans="1:25">
      <c r="A1109" s="1010"/>
      <c r="B1109" s="1351">
        <v>859</v>
      </c>
      <c r="C1109" s="1014">
        <v>1.0189102715638771</v>
      </c>
      <c r="D1109" s="1014">
        <v>0.97175353611267534</v>
      </c>
      <c r="E1109" s="1014">
        <v>0.99933758893078017</v>
      </c>
      <c r="F1109" s="1014">
        <v>0.98662215233888539</v>
      </c>
      <c r="G1109" s="1014">
        <v>0.96966171801288814</v>
      </c>
      <c r="H1109" s="1014">
        <v>1.0151921117107405</v>
      </c>
      <c r="I1109" s="1014">
        <v>0.99653471534689797</v>
      </c>
      <c r="K1109">
        <v>2.3813904808599746</v>
      </c>
      <c r="L1109">
        <v>0</v>
      </c>
      <c r="M1109">
        <v>1.6484439320840511E-3</v>
      </c>
      <c r="N1109">
        <v>0.14975263282129322</v>
      </c>
      <c r="O1109">
        <v>2.0725924535667233E-2</v>
      </c>
      <c r="P1109">
        <v>2.8074584427490383E-2</v>
      </c>
      <c r="Q1109">
        <v>5.4199448016501858E-3</v>
      </c>
      <c r="R1109">
        <v>1.6270104780400567E-3</v>
      </c>
      <c r="S1109">
        <v>0.25787676087150557</v>
      </c>
      <c r="T1109">
        <v>1.3532748931036731</v>
      </c>
      <c r="U1109">
        <v>0.2080370830482281</v>
      </c>
      <c r="V1109">
        <v>0.23919452020369492</v>
      </c>
      <c r="W1109">
        <v>9.8416048698477865E-2</v>
      </c>
      <c r="X1109">
        <v>1.6211335624969035E-2</v>
      </c>
      <c r="Y1109">
        <v>4.4281861773650946E-3</v>
      </c>
    </row>
    <row r="1110" spans="1:25">
      <c r="A1110" s="1010"/>
      <c r="B1110" s="1351">
        <v>860</v>
      </c>
      <c r="C1110" s="1014">
        <v>0.98202748054935118</v>
      </c>
      <c r="D1110" s="1014">
        <v>1.0244287860536321</v>
      </c>
      <c r="E1110" s="1014">
        <v>1.0070387632809525</v>
      </c>
      <c r="F1110" s="1014">
        <v>0.9737086823134341</v>
      </c>
      <c r="G1110" s="1014">
        <v>0.98116389976482821</v>
      </c>
      <c r="H1110" s="1014">
        <v>1.0455138637994046</v>
      </c>
      <c r="I1110" s="1014">
        <v>0.99879791878006063</v>
      </c>
      <c r="K1110">
        <v>2.3989593275812107</v>
      </c>
      <c r="L1110">
        <v>0</v>
      </c>
      <c r="M1110">
        <v>1.7134968028549673E-3</v>
      </c>
      <c r="N1110">
        <v>0.1593865980975484</v>
      </c>
      <c r="O1110">
        <v>2.1261230013339658E-2</v>
      </c>
      <c r="P1110">
        <v>2.8242772562751615E-2</v>
      </c>
      <c r="Q1110">
        <v>5.6030605542672935E-3</v>
      </c>
      <c r="R1110">
        <v>1.6918636548885274E-3</v>
      </c>
      <c r="S1110">
        <v>0.2638620397849214</v>
      </c>
      <c r="T1110">
        <v>1.3357247517355935</v>
      </c>
      <c r="U1110">
        <v>0.2158773175591624</v>
      </c>
      <c r="V1110">
        <v>0.24343198549492978</v>
      </c>
      <c r="W1110">
        <v>0.10427025060937634</v>
      </c>
      <c r="X1110">
        <v>1.6716259171383259E-2</v>
      </c>
      <c r="Y1110">
        <v>4.6046951459026301E-3</v>
      </c>
    </row>
    <row r="1111" spans="1:25">
      <c r="A1111" s="1010"/>
      <c r="B1111" s="1351">
        <v>861</v>
      </c>
      <c r="C1111" s="1014">
        <v>1.0116426136850307</v>
      </c>
      <c r="D1111" s="1014">
        <v>1.0183029801023395</v>
      </c>
      <c r="E1111" s="1014">
        <v>0.98349005130196032</v>
      </c>
      <c r="F1111" s="1014">
        <v>1.0072984929634154</v>
      </c>
      <c r="G1111" s="1014">
        <v>0.97410408958928874</v>
      </c>
      <c r="H1111" s="1014">
        <v>0.99801524240232542</v>
      </c>
      <c r="I1111" s="1014">
        <v>1.0210988309276883</v>
      </c>
      <c r="K1111">
        <v>2.4043334791988089</v>
      </c>
      <c r="L1111">
        <v>0</v>
      </c>
      <c r="M1111">
        <v>1.6693930554488488E-3</v>
      </c>
      <c r="N1111">
        <v>0.14452859362868395</v>
      </c>
      <c r="O1111">
        <v>2.0650697211918149E-2</v>
      </c>
      <c r="P1111">
        <v>2.8163059897478814E-2</v>
      </c>
      <c r="Q1111">
        <v>5.3145255607589233E-3</v>
      </c>
      <c r="R1111">
        <v>1.647313636164012E-3</v>
      </c>
      <c r="S1111">
        <v>0.25837827948190345</v>
      </c>
      <c r="T1111">
        <v>1.3812904121085559</v>
      </c>
      <c r="U1111">
        <v>0.20947815091067037</v>
      </c>
      <c r="V1111">
        <v>0.24044857455355026</v>
      </c>
      <c r="W1111">
        <v>9.5887875276189666E-2</v>
      </c>
      <c r="X1111">
        <v>1.5731945307537399E-2</v>
      </c>
      <c r="Y1111">
        <v>4.4834446808442218E-3</v>
      </c>
    </row>
    <row r="1112" spans="1:25">
      <c r="A1112" s="1010"/>
      <c r="B1112" s="1351">
        <v>862</v>
      </c>
      <c r="C1112" s="1014">
        <v>1.0243107546924703</v>
      </c>
      <c r="D1112" s="1014">
        <v>0.98952755934322767</v>
      </c>
      <c r="E1112" s="1014">
        <v>0.99071221731321568</v>
      </c>
      <c r="F1112" s="1014">
        <v>1.0032915348086822</v>
      </c>
      <c r="G1112" s="1014">
        <v>0.99878001256589266</v>
      </c>
      <c r="H1112" s="1014">
        <v>1.0014846529058896</v>
      </c>
      <c r="I1112" s="1014">
        <v>1.0218898809588635</v>
      </c>
      <c r="K1112">
        <v>2.4016453952795089</v>
      </c>
      <c r="L1112">
        <v>0</v>
      </c>
      <c r="M1112">
        <v>1.6402380830829479E-3</v>
      </c>
      <c r="N1112">
        <v>0.14514677826692407</v>
      </c>
      <c r="O1112">
        <v>2.0529006823869704E-2</v>
      </c>
      <c r="P1112">
        <v>2.8270321816659429E-2</v>
      </c>
      <c r="Q1112">
        <v>5.3219788352622498E-3</v>
      </c>
      <c r="R1112">
        <v>1.6186194211032837E-3</v>
      </c>
      <c r="S1112">
        <v>0.25942496680397831</v>
      </c>
      <c r="T1112">
        <v>1.3759520456694627</v>
      </c>
      <c r="U1112">
        <v>0.20691148603081316</v>
      </c>
      <c r="V1112">
        <v>0.2438755467538111</v>
      </c>
      <c r="W1112">
        <v>9.5881323151522424E-2</v>
      </c>
      <c r="X1112">
        <v>1.5948211302688354E-2</v>
      </c>
      <c r="Y1112">
        <v>4.4053484864943751E-3</v>
      </c>
    </row>
    <row r="1113" spans="1:25">
      <c r="A1113" s="1010"/>
      <c r="B1113" s="1351">
        <v>863</v>
      </c>
      <c r="C1113" s="1014">
        <v>0.96307617055575812</v>
      </c>
      <c r="D1113" s="1014">
        <v>0.98321260494538876</v>
      </c>
      <c r="E1113" s="1014">
        <v>0.98303161981689324</v>
      </c>
      <c r="F1113" s="1014">
        <v>1.0076528281984316</v>
      </c>
      <c r="G1113" s="1014">
        <v>1.0257136325123049</v>
      </c>
      <c r="H1113" s="1014">
        <v>1.0146632119301005</v>
      </c>
      <c r="I1113" s="1014">
        <v>0.99293413532807229</v>
      </c>
      <c r="K1113">
        <v>2.4601027337374171</v>
      </c>
      <c r="L1113">
        <v>0</v>
      </c>
      <c r="M1113">
        <v>1.7983417456905538E-3</v>
      </c>
      <c r="N1113">
        <v>0.15551083359842463</v>
      </c>
      <c r="O1113">
        <v>2.1859761573666984E-2</v>
      </c>
      <c r="P1113">
        <v>2.8620093891726286E-2</v>
      </c>
      <c r="Q1113">
        <v>5.6230663708358303E-3</v>
      </c>
      <c r="R1113">
        <v>1.7749470969111807E-3</v>
      </c>
      <c r="S1113">
        <v>0.27005953519116371</v>
      </c>
      <c r="T1113">
        <v>1.3817663490709589</v>
      </c>
      <c r="U1113">
        <v>0.22004018762818053</v>
      </c>
      <c r="V1113">
        <v>0.25237719311109069</v>
      </c>
      <c r="W1113">
        <v>0.10320256126482084</v>
      </c>
      <c r="X1113">
        <v>1.6235725798688695E-2</v>
      </c>
      <c r="Y1113">
        <v>4.8308208866389892E-3</v>
      </c>
    </row>
    <row r="1114" spans="1:25">
      <c r="A1114" s="1010"/>
      <c r="B1114" s="1351">
        <v>864</v>
      </c>
      <c r="C1114" s="1014">
        <v>1.0436308911249228</v>
      </c>
      <c r="D1114" s="1014">
        <v>0.96193458198781923</v>
      </c>
      <c r="E1114" s="1014">
        <v>1.0000671775320498</v>
      </c>
      <c r="F1114" s="1014">
        <v>0.99280647036540159</v>
      </c>
      <c r="G1114" s="1014">
        <v>1.0190009926425914</v>
      </c>
      <c r="H1114" s="1014">
        <v>0.99695248255687319</v>
      </c>
      <c r="I1114" s="1014">
        <v>0.97422339652943735</v>
      </c>
      <c r="K1114">
        <v>2.3694863239663073</v>
      </c>
      <c r="L1114">
        <v>0</v>
      </c>
      <c r="M1114">
        <v>1.5816213655437583E-3</v>
      </c>
      <c r="N1114">
        <v>0.14396450803993305</v>
      </c>
      <c r="O1114">
        <v>2.0280715734952142E-2</v>
      </c>
      <c r="P1114">
        <v>2.807078004956301E-2</v>
      </c>
      <c r="Q1114">
        <v>5.307411714511631E-3</v>
      </c>
      <c r="R1114">
        <v>1.560680516683064E-3</v>
      </c>
      <c r="S1114">
        <v>0.24593880480993977</v>
      </c>
      <c r="T1114">
        <v>1.3617731191203526</v>
      </c>
      <c r="U1114">
        <v>0.20311167135322719</v>
      </c>
      <c r="V1114">
        <v>0.24616720225238864</v>
      </c>
      <c r="W1114">
        <v>9.4571119319714E-2</v>
      </c>
      <c r="X1114">
        <v>1.6074274532369814E-2</v>
      </c>
      <c r="Y1114">
        <v>4.2476578882172456E-3</v>
      </c>
    </row>
    <row r="1115" spans="1:25">
      <c r="A1115" s="1010"/>
      <c r="B1115" s="1351">
        <v>865</v>
      </c>
      <c r="C1115" s="1014">
        <v>0.99264938998811669</v>
      </c>
      <c r="D1115" s="1014">
        <v>1.0079647160355487</v>
      </c>
      <c r="E1115" s="1014">
        <v>0.95979393757717135</v>
      </c>
      <c r="F1115" s="1014">
        <v>0.99862802634051706</v>
      </c>
      <c r="G1115" s="1014">
        <v>1.0065475163184781</v>
      </c>
      <c r="H1115" s="1014">
        <v>0.98976550701852939</v>
      </c>
      <c r="I1115" s="1014">
        <v>1.0226187476043413</v>
      </c>
      <c r="K1115">
        <v>2.4069227196867304</v>
      </c>
      <c r="L1115">
        <v>0</v>
      </c>
      <c r="M1115">
        <v>1.7758695681309674E-3</v>
      </c>
      <c r="N1115">
        <v>0.14308734016362634</v>
      </c>
      <c r="O1115">
        <v>2.1077382458503366E-2</v>
      </c>
      <c r="P1115">
        <v>2.7711594600009104E-2</v>
      </c>
      <c r="Q1115">
        <v>5.2946552757788699E-3</v>
      </c>
      <c r="R1115">
        <v>1.7521861180304979E-3</v>
      </c>
      <c r="S1115">
        <v>0.26414251875177824</v>
      </c>
      <c r="T1115">
        <v>1.3688919808623254</v>
      </c>
      <c r="U1115">
        <v>0.21340505642464408</v>
      </c>
      <c r="V1115">
        <v>0.24725933099735167</v>
      </c>
      <c r="W1115">
        <v>9.6308935670209511E-2</v>
      </c>
      <c r="X1115">
        <v>1.4998734927325204E-2</v>
      </c>
      <c r="Y1115">
        <v>4.7688730052804426E-3</v>
      </c>
    </row>
    <row r="1116" spans="1:25">
      <c r="A1116" s="1010"/>
      <c r="B1116" s="1351">
        <v>866</v>
      </c>
      <c r="C1116" s="1014">
        <v>0.9953779286704113</v>
      </c>
      <c r="D1116" s="1014">
        <v>0.99170646358892411</v>
      </c>
      <c r="E1116" s="1014">
        <v>1.0090387900218916</v>
      </c>
      <c r="F1116" s="1014">
        <v>1.0259030880274778</v>
      </c>
      <c r="G1116" s="1014">
        <v>1.0287678346250184</v>
      </c>
      <c r="H1116" s="1014">
        <v>0.96143567561352428</v>
      </c>
      <c r="I1116" s="1014">
        <v>0.96938108624082653</v>
      </c>
      <c r="K1116">
        <v>2.438781492054598</v>
      </c>
      <c r="L1116">
        <v>0</v>
      </c>
      <c r="M1116">
        <v>1.5592188936756348E-3</v>
      </c>
      <c r="N1116">
        <v>0.14575127912053362</v>
      </c>
      <c r="O1116">
        <v>2.1127748381577893E-2</v>
      </c>
      <c r="P1116">
        <v>2.9135614588584911E-2</v>
      </c>
      <c r="Q1116">
        <v>5.5790386976761726E-3</v>
      </c>
      <c r="R1116">
        <v>1.5378120285014722E-3</v>
      </c>
      <c r="S1116">
        <v>0.24979036292834886</v>
      </c>
      <c r="T1116">
        <v>1.4073690135971899</v>
      </c>
      <c r="U1116">
        <v>0.21298875255871227</v>
      </c>
      <c r="V1116">
        <v>0.25070012499673694</v>
      </c>
      <c r="W1116">
        <v>9.5237504173572074E-2</v>
      </c>
      <c r="X1116">
        <v>1.6938042474854312E-2</v>
      </c>
      <c r="Y1116">
        <v>4.1854174019820565E-3</v>
      </c>
    </row>
    <row r="1117" spans="1:25">
      <c r="A1117" s="1010"/>
      <c r="B1117" s="1351">
        <v>867</v>
      </c>
      <c r="C1117" s="1014">
        <v>1.0089525256335499</v>
      </c>
      <c r="D1117" s="1014">
        <v>0.98363429047931317</v>
      </c>
      <c r="E1117" s="1014">
        <v>0.96595732378076771</v>
      </c>
      <c r="F1117" s="1014">
        <v>1.0265869682993431</v>
      </c>
      <c r="G1117" s="1014">
        <v>1.0061289801586364</v>
      </c>
      <c r="H1117" s="1014">
        <v>0.99341581557594438</v>
      </c>
      <c r="I1117" s="1014">
        <v>1.0281647021749722</v>
      </c>
      <c r="K1117">
        <v>2.4415056701776563</v>
      </c>
      <c r="L1117">
        <v>0</v>
      </c>
      <c r="M1117">
        <v>1.7408042756340667E-3</v>
      </c>
      <c r="N1117">
        <v>0.14291267004863029</v>
      </c>
      <c r="O1117">
        <v>2.085261988715573E-2</v>
      </c>
      <c r="P1117">
        <v>2.8304516844613787E-2</v>
      </c>
      <c r="Q1117">
        <v>5.2714290465761676E-3</v>
      </c>
      <c r="R1117">
        <v>1.7176737717750862E-3</v>
      </c>
      <c r="S1117">
        <v>0.26487895097916497</v>
      </c>
      <c r="T1117">
        <v>1.4073531126228613</v>
      </c>
      <c r="U1117">
        <v>0.20997750949019753</v>
      </c>
      <c r="V1117">
        <v>0.2461495995993975</v>
      </c>
      <c r="W1117">
        <v>9.5829166316555289E-2</v>
      </c>
      <c r="X1117">
        <v>1.5324284070595913E-2</v>
      </c>
      <c r="Y1117">
        <v>4.6749417757650956E-3</v>
      </c>
    </row>
    <row r="1118" spans="1:25">
      <c r="A1118" s="1010"/>
      <c r="B1118" s="1351">
        <v>868</v>
      </c>
      <c r="C1118" s="1014">
        <v>1.000099426207248</v>
      </c>
      <c r="D1118" s="1014">
        <v>1.0096114010130386</v>
      </c>
      <c r="E1118" s="1014">
        <v>0.97928122317889876</v>
      </c>
      <c r="F1118" s="1014">
        <v>0.99202557036411509</v>
      </c>
      <c r="G1118" s="1014">
        <v>0.97602846903254414</v>
      </c>
      <c r="H1118" s="1014">
        <v>0.97299660439264113</v>
      </c>
      <c r="I1118" s="1014">
        <v>1.0335449021003127</v>
      </c>
      <c r="K1118">
        <v>2.3880634897605804</v>
      </c>
      <c r="L1118">
        <v>0</v>
      </c>
      <c r="M1118">
        <v>1.6638576908054913E-3</v>
      </c>
      <c r="N1118">
        <v>0.14217777059994344</v>
      </c>
      <c r="O1118">
        <v>2.0925700075749214E-2</v>
      </c>
      <c r="P1118">
        <v>2.7905423600609585E-2</v>
      </c>
      <c r="Q1118">
        <v>5.3623278681810237E-3</v>
      </c>
      <c r="R1118">
        <v>1.6412856372393975E-3</v>
      </c>
      <c r="S1118">
        <v>0.26345206693502909</v>
      </c>
      <c r="T1118">
        <v>1.360256968711955</v>
      </c>
      <c r="U1118">
        <v>0.21188161372017655</v>
      </c>
      <c r="V1118">
        <v>0.24150391386936493</v>
      </c>
      <c r="W1118">
        <v>9.4567981458379566E-2</v>
      </c>
      <c r="X1118">
        <v>1.5585256519855572E-2</v>
      </c>
      <c r="Y1118">
        <v>4.4670384549007347E-3</v>
      </c>
    </row>
    <row r="1119" spans="1:25">
      <c r="A1119" s="1010"/>
      <c r="B1119" s="1351">
        <v>869</v>
      </c>
      <c r="C1119" s="1014">
        <v>0.99552267305854325</v>
      </c>
      <c r="D1119" s="1014">
        <v>1.0081979495152726</v>
      </c>
      <c r="E1119" s="1014">
        <v>1.0126949459068126</v>
      </c>
      <c r="F1119" s="1014">
        <v>0.96113395871054108</v>
      </c>
      <c r="G1119" s="1014">
        <v>0.98163950931967414</v>
      </c>
      <c r="H1119" s="1014">
        <v>0.98521356956933936</v>
      </c>
      <c r="I1119" s="1014">
        <v>0.99090421175855525</v>
      </c>
      <c r="K1119">
        <v>2.3516099242082507</v>
      </c>
      <c r="L1119">
        <v>0</v>
      </c>
      <c r="M1119">
        <v>1.5797163197198765E-3</v>
      </c>
      <c r="N1119">
        <v>0.1493563458697065</v>
      </c>
      <c r="O1119">
        <v>2.1050604122749665E-2</v>
      </c>
      <c r="P1119">
        <v>2.7954973255234512E-2</v>
      </c>
      <c r="Q1119">
        <v>5.5790112570481849E-3</v>
      </c>
      <c r="R1119">
        <v>1.5585514822224174E-3</v>
      </c>
      <c r="S1119">
        <v>0.25522399122075901</v>
      </c>
      <c r="T1119">
        <v>1.3185926695992141</v>
      </c>
      <c r="U1119">
        <v>0.21297035986019158</v>
      </c>
      <c r="V1119">
        <v>0.24263226931175769</v>
      </c>
      <c r="W1119">
        <v>9.7383108455406098E-2</v>
      </c>
      <c r="X1119">
        <v>1.664589273542752E-2</v>
      </c>
      <c r="Y1119">
        <v>4.2418633582513863E-3</v>
      </c>
    </row>
    <row r="1120" spans="1:25">
      <c r="A1120" s="1010"/>
      <c r="B1120" s="1351">
        <v>870</v>
      </c>
      <c r="C1120" s="1014">
        <v>1.0035071612431095</v>
      </c>
      <c r="D1120" s="1014">
        <v>0.99020998061804</v>
      </c>
      <c r="E1120" s="1014">
        <v>1.0191735427023363</v>
      </c>
      <c r="F1120" s="1014">
        <v>1.005234237330179</v>
      </c>
      <c r="G1120" s="1014">
        <v>0.96302310451569906</v>
      </c>
      <c r="H1120" s="1014">
        <v>0.97320461230360455</v>
      </c>
      <c r="I1120" s="1014">
        <v>0.9625564409233639</v>
      </c>
      <c r="K1120">
        <v>2.3970201632850667</v>
      </c>
      <c r="L1120">
        <v>0</v>
      </c>
      <c r="M1120">
        <v>1.5333914534214697E-3</v>
      </c>
      <c r="N1120">
        <v>0.147813957339758</v>
      </c>
      <c r="O1120">
        <v>2.0970291642030188E-2</v>
      </c>
      <c r="P1120">
        <v>2.8743043047037384E-2</v>
      </c>
      <c r="Q1120">
        <v>5.5937178803530377E-3</v>
      </c>
      <c r="R1120">
        <v>1.5125937635330701E-3</v>
      </c>
      <c r="S1120">
        <v>0.24725243979292091</v>
      </c>
      <c r="T1120">
        <v>1.3792357358779415</v>
      </c>
      <c r="U1120">
        <v>0.21129796540951287</v>
      </c>
      <c r="V1120">
        <v>0.23893375621409232</v>
      </c>
      <c r="W1120">
        <v>9.6011666093290746E-2</v>
      </c>
      <c r="X1120">
        <v>1.7071606080080251E-2</v>
      </c>
      <c r="Y1120">
        <v>4.1167815979368787E-3</v>
      </c>
    </row>
    <row r="1121" spans="1:25">
      <c r="A1121" s="1010"/>
      <c r="B1121" s="1351">
        <v>871</v>
      </c>
      <c r="C1121" s="1014">
        <v>1.00114430331921</v>
      </c>
      <c r="D1121" s="1014">
        <v>1.0068742939709661</v>
      </c>
      <c r="E1121" s="1014">
        <v>0.9838304947223715</v>
      </c>
      <c r="F1121" s="1014">
        <v>0.99419590590022577</v>
      </c>
      <c r="G1121" s="1014">
        <v>0.99623882886008452</v>
      </c>
      <c r="H1121" s="1014">
        <v>1.0166972036069217</v>
      </c>
      <c r="I1121" s="1014">
        <v>0.98719055767309172</v>
      </c>
      <c r="K1121">
        <v>2.3981661779433168</v>
      </c>
      <c r="L1121">
        <v>0</v>
      </c>
      <c r="M1121">
        <v>1.7215354630523219E-3</v>
      </c>
      <c r="N1121">
        <v>0.1492331572704681</v>
      </c>
      <c r="O1121">
        <v>2.0919351007487434E-2</v>
      </c>
      <c r="P1121">
        <v>2.7977472031110125E-2</v>
      </c>
      <c r="Q1121">
        <v>5.3855239283234369E-3</v>
      </c>
      <c r="R1121">
        <v>1.6991847922074655E-3</v>
      </c>
      <c r="S1121">
        <v>0.25541097047560435</v>
      </c>
      <c r="T1121">
        <v>1.3633303646633355</v>
      </c>
      <c r="U1121">
        <v>0.21167596326331298</v>
      </c>
      <c r="V1121">
        <v>0.24487565304583614</v>
      </c>
      <c r="W1121">
        <v>9.8988838332718682E-2</v>
      </c>
      <c r="X1121">
        <v>1.5766613727692679E-2</v>
      </c>
      <c r="Y1121">
        <v>4.6246208682725097E-3</v>
      </c>
    </row>
    <row r="1122" spans="1:25">
      <c r="A1122" s="1010"/>
      <c r="B1122" s="1351">
        <v>872</v>
      </c>
      <c r="C1122" s="1014">
        <v>0.97117004206332747</v>
      </c>
      <c r="D1122" s="1014">
        <v>0.98288864467720716</v>
      </c>
      <c r="E1122" s="1014">
        <v>0.99118673414192693</v>
      </c>
      <c r="F1122" s="1014">
        <v>1.0123806002530857</v>
      </c>
      <c r="G1122" s="1014">
        <v>1.0175849444800233</v>
      </c>
      <c r="H1122" s="1014">
        <v>1.0220920164887157</v>
      </c>
      <c r="I1122" s="1014">
        <v>0.99652024430432884</v>
      </c>
      <c r="K1122">
        <v>2.4639921948313286</v>
      </c>
      <c r="L1122">
        <v>0</v>
      </c>
      <c r="M1122">
        <v>1.7664663215255154E-3</v>
      </c>
      <c r="N1122">
        <v>0.15658344074637578</v>
      </c>
      <c r="O1122">
        <v>2.168473360555882E-2</v>
      </c>
      <c r="P1122">
        <v>2.8828869974675184E-2</v>
      </c>
      <c r="Q1122">
        <v>5.6242871308368617E-3</v>
      </c>
      <c r="R1122">
        <v>1.7436533644046132E-3</v>
      </c>
      <c r="S1122">
        <v>0.26954042206271417</v>
      </c>
      <c r="T1122">
        <v>1.3884275054879731</v>
      </c>
      <c r="U1122">
        <v>0.21823498554721962</v>
      </c>
      <c r="V1122">
        <v>0.25041853255695651</v>
      </c>
      <c r="W1122">
        <v>0.10340679750231448</v>
      </c>
      <c r="X1122">
        <v>1.6519783511093213E-2</v>
      </c>
      <c r="Y1122">
        <v>4.7456496627322608E-3</v>
      </c>
    </row>
    <row r="1123" spans="1:25">
      <c r="A1123" s="1010"/>
      <c r="B1123" s="1351">
        <v>873</v>
      </c>
      <c r="C1123" s="1014">
        <v>1.0144651608716224</v>
      </c>
      <c r="D1123" s="1014">
        <v>0.9739682841188706</v>
      </c>
      <c r="E1123" s="1014">
        <v>0.98896857680923245</v>
      </c>
      <c r="F1123" s="1014">
        <v>0.98228366812681167</v>
      </c>
      <c r="G1123" s="1014">
        <v>0.99824144454149943</v>
      </c>
      <c r="H1123" s="1014">
        <v>1.0028178781493455</v>
      </c>
      <c r="I1123" s="1014">
        <v>1.045400801128898</v>
      </c>
      <c r="K1123">
        <v>2.3894194101473261</v>
      </c>
      <c r="L1123">
        <v>0</v>
      </c>
      <c r="M1123">
        <v>1.6701743768572468E-3</v>
      </c>
      <c r="N1123">
        <v>0.14702138286375951</v>
      </c>
      <c r="O1123">
        <v>2.0799499979296737E-2</v>
      </c>
      <c r="P1123">
        <v>2.8022866981157572E-2</v>
      </c>
      <c r="Q1123">
        <v>5.3826064211322166E-3</v>
      </c>
      <c r="R1123">
        <v>1.6481904147346565E-3</v>
      </c>
      <c r="S1123">
        <v>0.27021689408808502</v>
      </c>
      <c r="T1123">
        <v>1.3471040937834042</v>
      </c>
      <c r="U1123">
        <v>0.2089137390077328</v>
      </c>
      <c r="V1123">
        <v>0.24438095902632928</v>
      </c>
      <c r="W1123">
        <v>9.7221164720073305E-2</v>
      </c>
      <c r="X1123">
        <v>1.5892356255393932E-2</v>
      </c>
      <c r="Y1123">
        <v>4.4858309830835387E-3</v>
      </c>
    </row>
    <row r="1124" spans="1:25">
      <c r="A1124" s="1010"/>
      <c r="B1124" s="1351">
        <v>874</v>
      </c>
      <c r="C1124" s="1014">
        <v>1.0024931474317751</v>
      </c>
      <c r="D1124" s="1014">
        <v>1.0364612544649507</v>
      </c>
      <c r="E1124" s="1014">
        <v>0.99907344722956437</v>
      </c>
      <c r="F1124" s="1014">
        <v>1.0321921514304335</v>
      </c>
      <c r="G1124" s="1014">
        <v>0.98725098147515167</v>
      </c>
      <c r="H1124" s="1014">
        <v>1.0140460219039451</v>
      </c>
      <c r="I1124" s="1014">
        <v>1.0311928559462231</v>
      </c>
      <c r="K1124">
        <v>2.4575606613579741</v>
      </c>
      <c r="L1124">
        <v>0</v>
      </c>
      <c r="M1124">
        <v>1.6508846789976949E-3</v>
      </c>
      <c r="N1124">
        <v>0.14985248780029692</v>
      </c>
      <c r="O1124">
        <v>2.0768516954874097E-2</v>
      </c>
      <c r="P1124">
        <v>2.9085853591520733E-2</v>
      </c>
      <c r="Q1124">
        <v>5.4296405085507652E-3</v>
      </c>
      <c r="R1124">
        <v>1.6293952295165384E-3</v>
      </c>
      <c r="S1124">
        <v>0.26252883239604402</v>
      </c>
      <c r="T1124">
        <v>1.4157739141116608</v>
      </c>
      <c r="U1124">
        <v>0.21144305927818052</v>
      </c>
      <c r="V1124">
        <v>0.24320205049581964</v>
      </c>
      <c r="W1124">
        <v>9.8497144157617067E-2</v>
      </c>
      <c r="X1124">
        <v>1.6565974828134617E-2</v>
      </c>
      <c r="Y1124">
        <v>4.4346766847509654E-3</v>
      </c>
    </row>
    <row r="1125" spans="1:25">
      <c r="A1125" s="1010"/>
      <c r="B1125" s="1351">
        <v>875</v>
      </c>
      <c r="C1125" s="1014">
        <v>1.0070615794855706</v>
      </c>
      <c r="D1125" s="1014">
        <v>1.0063167404822839</v>
      </c>
      <c r="E1125" s="1014">
        <v>1.0266736104440661</v>
      </c>
      <c r="F1125" s="1014">
        <v>1.0013154955016779</v>
      </c>
      <c r="G1125" s="1014">
        <v>1.0055496805300417</v>
      </c>
      <c r="H1125" s="1014">
        <v>1.027451266914708</v>
      </c>
      <c r="I1125" s="1014">
        <v>0.98442091282048194</v>
      </c>
      <c r="K1125">
        <v>2.4193044723914974</v>
      </c>
      <c r="L1125">
        <v>0</v>
      </c>
      <c r="M1125">
        <v>1.5825328706879668E-3</v>
      </c>
      <c r="N1125">
        <v>0.15615452808079092</v>
      </c>
      <c r="O1125">
        <v>2.0827185600956269E-2</v>
      </c>
      <c r="P1125">
        <v>2.9016821010571247E-2</v>
      </c>
      <c r="Q1125">
        <v>5.5970558190753432E-3</v>
      </c>
      <c r="R1125">
        <v>1.5622019181791721E-3</v>
      </c>
      <c r="S1125">
        <v>0.25450513215038628</v>
      </c>
      <c r="T1125">
        <v>1.3740221670089856</v>
      </c>
      <c r="U1125">
        <v>0.21057773639246422</v>
      </c>
      <c r="V1125">
        <v>0.24594618850664357</v>
      </c>
      <c r="W1125">
        <v>0.10098615982330877</v>
      </c>
      <c r="X1125">
        <v>1.7440030309263204E-2</v>
      </c>
      <c r="Y1125">
        <v>4.2517986415597812E-3</v>
      </c>
    </row>
    <row r="1126" spans="1:25">
      <c r="A1126" s="1010"/>
      <c r="B1126" s="1351">
        <v>876</v>
      </c>
      <c r="C1126" s="1014">
        <v>0.98375391693838321</v>
      </c>
      <c r="D1126" s="1014">
        <v>0.96110342898763235</v>
      </c>
      <c r="E1126" s="1014">
        <v>0.98350693797405453</v>
      </c>
      <c r="F1126" s="1014">
        <v>1.020644468174257</v>
      </c>
      <c r="G1126" s="1014">
        <v>1.0393492324547398</v>
      </c>
      <c r="H1126" s="1014">
        <v>1.0105360085275967</v>
      </c>
      <c r="I1126" s="1014">
        <v>1.0039176359578483</v>
      </c>
      <c r="K1126">
        <v>2.4687475837104009</v>
      </c>
      <c r="L1126">
        <v>0</v>
      </c>
      <c r="M1126">
        <v>1.7604439581661523E-3</v>
      </c>
      <c r="N1126">
        <v>0.15244447167288858</v>
      </c>
      <c r="O1126">
        <v>2.1507954356240828E-2</v>
      </c>
      <c r="P1126">
        <v>2.8820887621929733E-2</v>
      </c>
      <c r="Q1126">
        <v>5.5352383549797232E-3</v>
      </c>
      <c r="R1126">
        <v>1.7374487879148097E-3</v>
      </c>
      <c r="S1126">
        <v>0.27002636569891042</v>
      </c>
      <c r="T1126">
        <v>1.3995918807850556</v>
      </c>
      <c r="U1126">
        <v>0.2154167602472116</v>
      </c>
      <c r="V1126">
        <v>0.25334368097929094</v>
      </c>
      <c r="W1126">
        <v>0.10113865695067739</v>
      </c>
      <c r="X1126">
        <v>1.6215919362601364E-2</v>
      </c>
      <c r="Y1126">
        <v>4.7287628508651059E-3</v>
      </c>
    </row>
    <row r="1127" spans="1:25">
      <c r="A1127" s="1010"/>
      <c r="B1127" s="1351">
        <v>877</v>
      </c>
      <c r="C1127" s="1014">
        <v>0.98830086142258611</v>
      </c>
      <c r="D1127" s="1014">
        <v>0.99678035627687167</v>
      </c>
      <c r="E1127" s="1014">
        <v>1.0454213442424676</v>
      </c>
      <c r="F1127" s="1014">
        <v>1.0135921640228289</v>
      </c>
      <c r="G1127" s="1014">
        <v>0.99391907774283317</v>
      </c>
      <c r="H1127" s="1014">
        <v>1.0038343625384218</v>
      </c>
      <c r="I1127" s="1014">
        <v>0.98582529169916555</v>
      </c>
      <c r="K1127">
        <v>2.4492862575911438</v>
      </c>
      <c r="L1127">
        <v>0</v>
      </c>
      <c r="M1127">
        <v>1.5182693122806918E-3</v>
      </c>
      <c r="N1127">
        <v>0.15847164204986308</v>
      </c>
      <c r="O1127">
        <v>2.1279713556385138E-2</v>
      </c>
      <c r="P1127">
        <v>2.9765372775496086E-2</v>
      </c>
      <c r="Q1127">
        <v>5.8252989206043111E-3</v>
      </c>
      <c r="R1127">
        <v>1.4983050634419944E-3</v>
      </c>
      <c r="S1127">
        <v>0.25908814266008184</v>
      </c>
      <c r="T1127">
        <v>1.3912822703796148</v>
      </c>
      <c r="U1127">
        <v>0.21464028353421397</v>
      </c>
      <c r="V1127">
        <v>0.24507418854229029</v>
      </c>
      <c r="W1127">
        <v>0.10138060657429997</v>
      </c>
      <c r="X1127">
        <v>1.8420810380576112E-2</v>
      </c>
      <c r="Y1127">
        <v>4.0778924665576862E-3</v>
      </c>
    </row>
    <row r="1128" spans="1:25">
      <c r="A1128" s="1010"/>
      <c r="B1128" s="1351">
        <v>878</v>
      </c>
      <c r="C1128" s="1014">
        <v>1.0121153250725672</v>
      </c>
      <c r="D1128" s="1014">
        <v>0.99904640296119196</v>
      </c>
      <c r="E1128" s="1014">
        <v>1.0000801946998665</v>
      </c>
      <c r="F1128" s="1014">
        <v>0.98853921246574095</v>
      </c>
      <c r="G1128" s="1014">
        <v>0.97929021055078369</v>
      </c>
      <c r="H1128" s="1014">
        <v>0.99897852157185596</v>
      </c>
      <c r="I1128" s="1014">
        <v>1.0112952520430121</v>
      </c>
      <c r="K1128">
        <v>2.3844165071697185</v>
      </c>
      <c r="L1128">
        <v>0</v>
      </c>
      <c r="M1128">
        <v>1.6205878770013573E-3</v>
      </c>
      <c r="N1128">
        <v>0.14752118696573274</v>
      </c>
      <c r="O1128">
        <v>2.0738796706299894E-2</v>
      </c>
      <c r="P1128">
        <v>2.8181131028333639E-2</v>
      </c>
      <c r="Q1128">
        <v>5.4273613507915403E-3</v>
      </c>
      <c r="R1128">
        <v>1.5991746237499296E-3</v>
      </c>
      <c r="S1128">
        <v>0.25844809487112747</v>
      </c>
      <c r="T1128">
        <v>1.3559202555873242</v>
      </c>
      <c r="U1128">
        <v>0.20943627056855646</v>
      </c>
      <c r="V1128">
        <v>0.24124733084469685</v>
      </c>
      <c r="W1128">
        <v>9.6906772612864622E-2</v>
      </c>
      <c r="X1128">
        <v>1.6258293729166318E-2</v>
      </c>
      <c r="Y1128">
        <v>4.3524261580742685E-3</v>
      </c>
    </row>
    <row r="1129" spans="1:25">
      <c r="A1129" s="1010"/>
      <c r="B1129" s="1351">
        <v>879</v>
      </c>
      <c r="C1129" s="1014">
        <v>0.97754837064758038</v>
      </c>
      <c r="D1129" s="1014">
        <v>1.0000820268734718</v>
      </c>
      <c r="E1129" s="1014">
        <v>0.98271536777925406</v>
      </c>
      <c r="F1129" s="1014">
        <v>1.0218614732565301</v>
      </c>
      <c r="G1129" s="1014">
        <v>1.0447558723738328</v>
      </c>
      <c r="H1129" s="1014">
        <v>0.96883145992697317</v>
      </c>
      <c r="I1129" s="1014">
        <v>0.96477141809096201</v>
      </c>
      <c r="K1129">
        <v>2.4436151653567149</v>
      </c>
      <c r="L1129">
        <v>0</v>
      </c>
      <c r="M1129">
        <v>1.6864740287559064E-3</v>
      </c>
      <c r="N1129">
        <v>0.14560682428076191</v>
      </c>
      <c r="O1129">
        <v>2.145547170529457E-2</v>
      </c>
      <c r="P1129">
        <v>2.8625706658529371E-2</v>
      </c>
      <c r="Q1129">
        <v>5.5172984894553872E-3</v>
      </c>
      <c r="R1129">
        <v>1.6634968002554637E-3</v>
      </c>
      <c r="S1129">
        <v>0.25247500319012872</v>
      </c>
      <c r="T1129">
        <v>1.4012433046622794</v>
      </c>
      <c r="U1129">
        <v>0.21678148066485239</v>
      </c>
      <c r="V1129">
        <v>0.25467296235680775</v>
      </c>
      <c r="W1129">
        <v>9.6648318080306148E-2</v>
      </c>
      <c r="X1129">
        <v>1.6084282578077171E-2</v>
      </c>
      <c r="Y1129">
        <v>4.5274899187225477E-3</v>
      </c>
    </row>
    <row r="1130" spans="1:25">
      <c r="A1130" s="1010"/>
      <c r="B1130" s="1351">
        <v>880</v>
      </c>
      <c r="C1130" s="1014">
        <v>0.98124791771059017</v>
      </c>
      <c r="D1130" s="1014">
        <v>1.0114152467062514</v>
      </c>
      <c r="E1130" s="1014">
        <v>0.98255996218120345</v>
      </c>
      <c r="F1130" s="1014">
        <v>0.99678427487507537</v>
      </c>
      <c r="G1130" s="1014">
        <v>1.0078261917396685</v>
      </c>
      <c r="H1130" s="1014">
        <v>1.0311357046083713</v>
      </c>
      <c r="I1130" s="1014">
        <v>0.96692524540279501</v>
      </c>
      <c r="K1130">
        <v>2.4187936141568001</v>
      </c>
      <c r="L1130">
        <v>0</v>
      </c>
      <c r="M1130">
        <v>1.7843075905583353E-3</v>
      </c>
      <c r="N1130">
        <v>0.15410968686208798</v>
      </c>
      <c r="O1130">
        <v>2.1321550983379678E-2</v>
      </c>
      <c r="P1130">
        <v>2.8105626824044688E-2</v>
      </c>
      <c r="Q1130">
        <v>5.4819959249125952E-3</v>
      </c>
      <c r="R1130">
        <v>1.7614663274642904E-3</v>
      </c>
      <c r="S1130">
        <v>0.25586531762471765</v>
      </c>
      <c r="T1130">
        <v>1.3668524712437884</v>
      </c>
      <c r="U1130">
        <v>0.21596362106892197</v>
      </c>
      <c r="V1130">
        <v>0.2481233578323222</v>
      </c>
      <c r="W1130">
        <v>0.1023017768113277</v>
      </c>
      <c r="X1130">
        <v>1.5896919568251698E-2</v>
      </c>
      <c r="Y1130">
        <v>4.7941306761390082E-3</v>
      </c>
    </row>
    <row r="1131" spans="1:25">
      <c r="A1131" s="1010"/>
      <c r="B1131" s="1351">
        <v>881</v>
      </c>
      <c r="C1131" s="1014">
        <v>0.98727526333094084</v>
      </c>
      <c r="D1131" s="1014">
        <v>1.0027686913470459</v>
      </c>
      <c r="E1131" s="1014">
        <v>1.0213780932604608</v>
      </c>
      <c r="F1131" s="1014">
        <v>1.030479394336254</v>
      </c>
      <c r="G1131" s="1014">
        <v>0.97299754651352999</v>
      </c>
      <c r="H1131" s="1014">
        <v>0.9906629605604792</v>
      </c>
      <c r="I1131" s="1014">
        <v>0.98476281184858083</v>
      </c>
      <c r="K1131">
        <v>2.4575404919905761</v>
      </c>
      <c r="L1131">
        <v>0</v>
      </c>
      <c r="M1131">
        <v>1.5749279975629871E-3</v>
      </c>
      <c r="N1131">
        <v>0.152868010511056</v>
      </c>
      <c r="O1131">
        <v>2.1257533950651587E-2</v>
      </c>
      <c r="P1131">
        <v>2.9491241159974129E-2</v>
      </c>
      <c r="Q1131">
        <v>5.6827773773310717E-3</v>
      </c>
      <c r="R1131">
        <v>1.5539433830191248E-3</v>
      </c>
      <c r="S1131">
        <v>0.25698750712095725</v>
      </c>
      <c r="T1131">
        <v>1.4139227863843189</v>
      </c>
      <c r="U1131">
        <v>0.21477959421641935</v>
      </c>
      <c r="V1131">
        <v>0.24165132384467111</v>
      </c>
      <c r="W1131">
        <v>9.9166538210102614E-2</v>
      </c>
      <c r="X1131">
        <v>1.7524842198360771E-2</v>
      </c>
      <c r="Y1131">
        <v>4.2293216312795168E-3</v>
      </c>
    </row>
    <row r="1132" spans="1:25">
      <c r="A1132" s="1010"/>
      <c r="B1132" s="1351">
        <v>882</v>
      </c>
      <c r="C1132" s="1014">
        <v>1.0217073189686385</v>
      </c>
      <c r="D1132" s="1014">
        <v>1.0342122902580848</v>
      </c>
      <c r="E1132" s="1014">
        <v>0.97561888462519231</v>
      </c>
      <c r="F1132" s="1014">
        <v>0.99566996874938007</v>
      </c>
      <c r="G1132" s="1014">
        <v>1.0163923142486428</v>
      </c>
      <c r="H1132" s="1014">
        <v>0.99561091288192338</v>
      </c>
      <c r="I1132" s="1014">
        <v>0.99457454130166556</v>
      </c>
      <c r="K1132">
        <v>2.3749847616414805</v>
      </c>
      <c r="L1132">
        <v>0</v>
      </c>
      <c r="M1132">
        <v>1.6703155225401567E-3</v>
      </c>
      <c r="N1132">
        <v>0.1412005424654241</v>
      </c>
      <c r="O1132">
        <v>2.0372593384907853E-2</v>
      </c>
      <c r="P1132">
        <v>2.7688094734676032E-2</v>
      </c>
      <c r="Q1132">
        <v>5.2011667066024824E-3</v>
      </c>
      <c r="R1132">
        <v>1.6481705530006015E-3</v>
      </c>
      <c r="S1132">
        <v>0.24701354691532618</v>
      </c>
      <c r="T1132">
        <v>1.3651756372887769</v>
      </c>
      <c r="U1132">
        <v>0.20738836177346856</v>
      </c>
      <c r="V1132">
        <v>0.24709574562698919</v>
      </c>
      <c r="W1132">
        <v>9.4126330817638493E-2</v>
      </c>
      <c r="X1132">
        <v>1.5259109971216137E-2</v>
      </c>
      <c r="Y1132">
        <v>4.4857769259908607E-3</v>
      </c>
    </row>
    <row r="1133" spans="1:25">
      <c r="A1133" s="1010"/>
      <c r="B1133" s="1351">
        <v>883</v>
      </c>
      <c r="C1133" s="1014">
        <v>0.99690947573497268</v>
      </c>
      <c r="D1133" s="1014">
        <v>1.0010264423273352</v>
      </c>
      <c r="E1133" s="1014">
        <v>1.0276509816362076</v>
      </c>
      <c r="F1133" s="1014">
        <v>0.96701470729784855</v>
      </c>
      <c r="G1133" s="1014">
        <v>1.0316769139499755</v>
      </c>
      <c r="H1133" s="1014">
        <v>0.99842765212519646</v>
      </c>
      <c r="I1133" s="1014">
        <v>0.99092568494298827</v>
      </c>
      <c r="K1133">
        <v>2.3772802930932047</v>
      </c>
      <c r="L1133">
        <v>0</v>
      </c>
      <c r="M1133">
        <v>1.5521293170212968E-3</v>
      </c>
      <c r="N1133">
        <v>0.15354838941406912</v>
      </c>
      <c r="O1133">
        <v>2.1064345559878319E-2</v>
      </c>
      <c r="P1133">
        <v>2.8518111833234272E-2</v>
      </c>
      <c r="Q1133">
        <v>5.6662710332361661E-3</v>
      </c>
      <c r="R1133">
        <v>1.5316093092991616E-3</v>
      </c>
      <c r="S1133">
        <v>0.257028082208974</v>
      </c>
      <c r="T1133">
        <v>1.326974591486854</v>
      </c>
      <c r="U1133">
        <v>0.21272553585980267</v>
      </c>
      <c r="V1133">
        <v>0.25103232319374214</v>
      </c>
      <c r="W1133">
        <v>9.9244305937685323E-2</v>
      </c>
      <c r="X1133">
        <v>1.733032092841149E-2</v>
      </c>
      <c r="Y1133">
        <v>4.1685356450392001E-3</v>
      </c>
    </row>
    <row r="1134" spans="1:25">
      <c r="A1134" s="1010"/>
      <c r="B1134" s="1351">
        <v>884</v>
      </c>
      <c r="C1134" s="1014">
        <v>0.98004060799193615</v>
      </c>
      <c r="D1134" s="1014">
        <v>1.015217687816415</v>
      </c>
      <c r="E1134" s="1014">
        <v>0.99916439646163457</v>
      </c>
      <c r="F1134" s="1014">
        <v>1.0348874847550924</v>
      </c>
      <c r="G1134" s="1014">
        <v>0.9874767583896551</v>
      </c>
      <c r="H1134" s="1014">
        <v>1.0120187501826501</v>
      </c>
      <c r="I1134" s="1014">
        <v>1.0247927271608392</v>
      </c>
      <c r="K1134">
        <v>2.4821710738876419</v>
      </c>
      <c r="L1134">
        <v>0</v>
      </c>
      <c r="M1134">
        <v>1.6927066790194472E-3</v>
      </c>
      <c r="N1134">
        <v>0.15368688072532682</v>
      </c>
      <c r="O1134">
        <v>2.1341391514799499E-2</v>
      </c>
      <c r="P1134">
        <v>2.9318770305305893E-2</v>
      </c>
      <c r="Q1134">
        <v>5.5799209546583683E-3</v>
      </c>
      <c r="R1134">
        <v>1.6706286974093876E-3</v>
      </c>
      <c r="S1134">
        <v>0.26945440049064057</v>
      </c>
      <c r="T1134">
        <v>1.4194729186698163</v>
      </c>
      <c r="U1134">
        <v>0.21628749575540437</v>
      </c>
      <c r="V1134">
        <v>0.24466614195557587</v>
      </c>
      <c r="W1134">
        <v>0.10101200352283346</v>
      </c>
      <c r="X1134">
        <v>1.6826327383140577E-2</v>
      </c>
      <c r="Y1134">
        <v>4.5469005917462627E-3</v>
      </c>
    </row>
    <row r="1135" spans="1:25">
      <c r="A1135" s="1010"/>
      <c r="B1135" s="1351">
        <v>885</v>
      </c>
      <c r="C1135" s="1014">
        <v>1.000625643025683</v>
      </c>
      <c r="D1135" s="1014">
        <v>0.99027619399180022</v>
      </c>
      <c r="E1135" s="1014">
        <v>0.98607352891671762</v>
      </c>
      <c r="F1135" s="1014">
        <v>1.0118631901190025</v>
      </c>
      <c r="G1135" s="1014">
        <v>0.99022392697839523</v>
      </c>
      <c r="H1135" s="1014">
        <v>1.0107946104995102</v>
      </c>
      <c r="I1135" s="1014">
        <v>1.0103117040641114</v>
      </c>
      <c r="K1135">
        <v>2.4301512746593152</v>
      </c>
      <c r="L1135">
        <v>0</v>
      </c>
      <c r="M1135">
        <v>1.7107422472466744E-3</v>
      </c>
      <c r="N1135">
        <v>0.14929556591201834</v>
      </c>
      <c r="O1135">
        <v>2.1008360850880162E-2</v>
      </c>
      <c r="P1135">
        <v>2.8446254884549112E-2</v>
      </c>
      <c r="Q1135">
        <v>5.4207491438323591E-3</v>
      </c>
      <c r="R1135">
        <v>1.6884020048337505E-3</v>
      </c>
      <c r="S1135">
        <v>0.26321962239968461</v>
      </c>
      <c r="T1135">
        <v>1.3876062623078447</v>
      </c>
      <c r="U1135">
        <v>0.21179332654169075</v>
      </c>
      <c r="V1135">
        <v>0.24387225046009747</v>
      </c>
      <c r="W1135">
        <v>9.889672406136632E-2</v>
      </c>
      <c r="X1135">
        <v>1.6019224664178922E-2</v>
      </c>
      <c r="Y1135">
        <v>4.5952736755861595E-3</v>
      </c>
    </row>
    <row r="1136" spans="1:25">
      <c r="A1136" s="1010"/>
      <c r="B1136" s="1351">
        <v>886</v>
      </c>
      <c r="C1136" s="1014">
        <v>0.98610768477682198</v>
      </c>
      <c r="D1136" s="1014">
        <v>1.010943021295869</v>
      </c>
      <c r="E1136" s="1014">
        <v>1.0264223983326597</v>
      </c>
      <c r="F1136" s="1014">
        <v>0.998537748938231</v>
      </c>
      <c r="G1136" s="1014">
        <v>0.97667159609769683</v>
      </c>
      <c r="H1136" s="1014">
        <v>1.0117340636335994</v>
      </c>
      <c r="I1136" s="1014">
        <v>0.99316813255207326</v>
      </c>
      <c r="K1136">
        <v>2.4239248088757073</v>
      </c>
      <c r="L1136">
        <v>0</v>
      </c>
      <c r="M1136">
        <v>1.5906643643928671E-3</v>
      </c>
      <c r="N1136">
        <v>0.15680633648799169</v>
      </c>
      <c r="O1136">
        <v>2.1248123125016786E-2</v>
      </c>
      <c r="P1136">
        <v>2.9050799756288593E-2</v>
      </c>
      <c r="Q1136">
        <v>5.7087569568249697E-3</v>
      </c>
      <c r="R1136">
        <v>1.5699114832967804E-3</v>
      </c>
      <c r="S1136">
        <v>0.2602787629980714</v>
      </c>
      <c r="T1136">
        <v>1.3702050424317902</v>
      </c>
      <c r="U1136">
        <v>0.21505144816930868</v>
      </c>
      <c r="V1136">
        <v>0.24233622490014203</v>
      </c>
      <c r="W1136">
        <v>0.10142251733587831</v>
      </c>
      <c r="X1136">
        <v>1.7564768059137766E-2</v>
      </c>
      <c r="Y1136">
        <v>4.2727815363524544E-3</v>
      </c>
    </row>
    <row r="1137" spans="1:25">
      <c r="A1137" s="1010"/>
      <c r="B1137" s="1351">
        <v>887</v>
      </c>
      <c r="C1137" s="1014">
        <v>0.99384324398480461</v>
      </c>
      <c r="D1137" s="1014">
        <v>0.98788284678886673</v>
      </c>
      <c r="E1137" s="1014">
        <v>0.99456780791135502</v>
      </c>
      <c r="F1137" s="1014">
        <v>1.0415271289087178</v>
      </c>
      <c r="G1137" s="1014">
        <v>0.9728430975577842</v>
      </c>
      <c r="H1137" s="1014">
        <v>1.0006693801404103</v>
      </c>
      <c r="I1137" s="1014">
        <v>1.0155871797811145</v>
      </c>
      <c r="K1137">
        <v>2.4748867622173543</v>
      </c>
      <c r="L1137">
        <v>0</v>
      </c>
      <c r="M1137">
        <v>1.6763188363789049E-3</v>
      </c>
      <c r="N1137">
        <v>0.15007697053427396</v>
      </c>
      <c r="O1137">
        <v>2.1168672650582896E-2</v>
      </c>
      <c r="P1137">
        <v>2.920564241209396E-2</v>
      </c>
      <c r="Q1137">
        <v>5.50920385575934E-3</v>
      </c>
      <c r="R1137">
        <v>1.6542066221815672E-3</v>
      </c>
      <c r="S1137">
        <v>0.26591226814641905</v>
      </c>
      <c r="T1137">
        <v>1.4284765117606062</v>
      </c>
      <c r="U1137">
        <v>0.21326786257304262</v>
      </c>
      <c r="V1137">
        <v>0.24129880383816282</v>
      </c>
      <c r="W1137">
        <v>9.890987654529923E-2</v>
      </c>
      <c r="X1137">
        <v>1.6580856998795902E-2</v>
      </c>
      <c r="Y1137">
        <v>4.5022051165117781E-3</v>
      </c>
    </row>
    <row r="1138" spans="1:25">
      <c r="A1138" s="1010"/>
      <c r="B1138" s="1351">
        <v>888</v>
      </c>
      <c r="C1138" s="1014">
        <v>0.96055347930393498</v>
      </c>
      <c r="D1138" s="1014">
        <v>0.9648805562547017</v>
      </c>
      <c r="E1138" s="1014">
        <v>0.97250243520295443</v>
      </c>
      <c r="F1138" s="1014">
        <v>0.98317672242097331</v>
      </c>
      <c r="G1138" s="1014">
        <v>0.98990015794591546</v>
      </c>
      <c r="H1138" s="1014">
        <v>0.98652650886673121</v>
      </c>
      <c r="I1138" s="1014">
        <v>0.97384550464237662</v>
      </c>
      <c r="K1138">
        <v>2.4076982849416853</v>
      </c>
      <c r="L1138">
        <v>0</v>
      </c>
      <c r="M1138">
        <v>1.7990719311743292E-3</v>
      </c>
      <c r="N1138">
        <v>0.15063841901290256</v>
      </c>
      <c r="O1138">
        <v>2.2000804612674563E-2</v>
      </c>
      <c r="P1138">
        <v>2.780832162153745E-2</v>
      </c>
      <c r="Q1138">
        <v>5.5990302325226666E-3</v>
      </c>
      <c r="R1138">
        <v>1.7750002741674137E-3</v>
      </c>
      <c r="S1138">
        <v>0.26555589588739831</v>
      </c>
      <c r="T1138">
        <v>1.3479800772780794</v>
      </c>
      <c r="U1138">
        <v>0.22058074188402446</v>
      </c>
      <c r="V1138">
        <v>0.24646610753334458</v>
      </c>
      <c r="W1138">
        <v>0.10060779278645396</v>
      </c>
      <c r="X1138">
        <v>1.5654200132150627E-2</v>
      </c>
      <c r="Y1138">
        <v>4.830965617600577E-3</v>
      </c>
    </row>
    <row r="1139" spans="1:25">
      <c r="A1139" s="1010"/>
      <c r="B1139" s="1351">
        <v>889</v>
      </c>
      <c r="C1139" s="1014">
        <v>1.0302683283153</v>
      </c>
      <c r="D1139" s="1014">
        <v>0.9800041140896727</v>
      </c>
      <c r="E1139" s="1014">
        <v>0.99221722936446355</v>
      </c>
      <c r="F1139" s="1014">
        <v>0.99945105103307608</v>
      </c>
      <c r="G1139" s="1014">
        <v>1.0188022489356932</v>
      </c>
      <c r="H1139" s="1014">
        <v>1.0382786535751931</v>
      </c>
      <c r="I1139" s="1014">
        <v>1.0017946660657648</v>
      </c>
      <c r="K1139">
        <v>2.4043743342634145</v>
      </c>
      <c r="L1139">
        <v>0</v>
      </c>
      <c r="M1139">
        <v>1.688993200259733E-3</v>
      </c>
      <c r="N1139">
        <v>0.15021381611655293</v>
      </c>
      <c r="O1139">
        <v>2.0454740301850825E-2</v>
      </c>
      <c r="P1139">
        <v>2.8225814906108201E-2</v>
      </c>
      <c r="Q1139">
        <v>5.310791998714484E-3</v>
      </c>
      <c r="R1139">
        <v>1.6675208197675668E-3</v>
      </c>
      <c r="S1139">
        <v>0.25715317263330967</v>
      </c>
      <c r="T1139">
        <v>1.3707175370834259</v>
      </c>
      <c r="U1139">
        <v>0.20571999751323017</v>
      </c>
      <c r="V1139">
        <v>0.24693785918925593</v>
      </c>
      <c r="W1139">
        <v>9.9139196235519852E-2</v>
      </c>
      <c r="X1139">
        <v>1.5984438692617581E-2</v>
      </c>
      <c r="Y1139">
        <v>4.5384419733168141E-3</v>
      </c>
    </row>
    <row r="1140" spans="1:25">
      <c r="A1140" s="1010"/>
      <c r="B1140" s="1351">
        <v>890</v>
      </c>
      <c r="C1140" s="1014">
        <v>1.007282605911656</v>
      </c>
      <c r="D1140" s="1014">
        <v>1.0095879837697326</v>
      </c>
      <c r="E1140" s="1014">
        <v>0.98669335263840108</v>
      </c>
      <c r="F1140" s="1014">
        <v>0.99412604835516116</v>
      </c>
      <c r="G1140" s="1014">
        <v>1.0152561306353398</v>
      </c>
      <c r="H1140" s="1014">
        <v>1.0087159104750301</v>
      </c>
      <c r="I1140" s="1014">
        <v>0.96374778695008412</v>
      </c>
      <c r="K1140">
        <v>2.3877925224966003</v>
      </c>
      <c r="L1140">
        <v>0</v>
      </c>
      <c r="M1140">
        <v>1.6865853369315289E-3</v>
      </c>
      <c r="N1140">
        <v>0.14745954524295279</v>
      </c>
      <c r="O1140">
        <v>2.0781439976939268E-2</v>
      </c>
      <c r="P1140">
        <v>2.7943444702181269E-2</v>
      </c>
      <c r="Q1140">
        <v>5.3655643700742488E-3</v>
      </c>
      <c r="R1140">
        <v>1.6645151674776733E-3</v>
      </c>
      <c r="S1140">
        <v>0.24686854586461215</v>
      </c>
      <c r="T1140">
        <v>1.3632959388062635</v>
      </c>
      <c r="U1140">
        <v>0.21039571855895275</v>
      </c>
      <c r="V1140">
        <v>0.24773440302202407</v>
      </c>
      <c r="W1140">
        <v>9.76441357448012E-2</v>
      </c>
      <c r="X1140">
        <v>1.579559479865203E-2</v>
      </c>
      <c r="Y1140">
        <v>4.5302615785967363E-3</v>
      </c>
    </row>
    <row r="1141" spans="1:25">
      <c r="A1141" s="1010"/>
      <c r="B1141" s="1351">
        <v>891</v>
      </c>
      <c r="C1141" s="1014">
        <v>1.02631057127167</v>
      </c>
      <c r="D1141" s="1014">
        <v>1.0266440509905037</v>
      </c>
      <c r="E1141" s="1014">
        <v>0.99251311056526748</v>
      </c>
      <c r="F1141" s="1014">
        <v>1.0082130751828045</v>
      </c>
      <c r="G1141" s="1014">
        <v>1.0294280945854308</v>
      </c>
      <c r="H1141" s="1014">
        <v>1.0342661211928834</v>
      </c>
      <c r="I1141" s="1014">
        <v>0.99527256968303113</v>
      </c>
      <c r="K1141">
        <v>2.4097723570319536</v>
      </c>
      <c r="L1141">
        <v>0</v>
      </c>
      <c r="M1141">
        <v>1.6707418553298214E-3</v>
      </c>
      <c r="N1141">
        <v>0.14871613056379421</v>
      </c>
      <c r="O1141">
        <v>2.0324849469183941E-2</v>
      </c>
      <c r="P1141">
        <v>2.8340508590084613E-2</v>
      </c>
      <c r="Q1141">
        <v>5.2786439905666248E-3</v>
      </c>
      <c r="R1141">
        <v>1.6494191025295413E-3</v>
      </c>
      <c r="S1141">
        <v>0.25028009969060372</v>
      </c>
      <c r="T1141">
        <v>1.3827408358355631</v>
      </c>
      <c r="U1141">
        <v>0.20651429892792544</v>
      </c>
      <c r="V1141">
        <v>0.24898523627706318</v>
      </c>
      <c r="W1141">
        <v>9.8133379684776118E-2</v>
      </c>
      <c r="X1141">
        <v>1.5990521688967495E-2</v>
      </c>
      <c r="Y1141">
        <v>4.4891750662243929E-3</v>
      </c>
    </row>
    <row r="1142" spans="1:25">
      <c r="A1142" s="1010"/>
      <c r="B1142" s="1351">
        <v>892</v>
      </c>
      <c r="C1142" s="1014">
        <v>0.97674215977183509</v>
      </c>
      <c r="D1142" s="1014">
        <v>0.97041029192134109</v>
      </c>
      <c r="E1142" s="1014">
        <v>1.0055139809859892</v>
      </c>
      <c r="F1142" s="1014">
        <v>1.0312453892149724</v>
      </c>
      <c r="G1142" s="1014">
        <v>1.0064125023779482</v>
      </c>
      <c r="H1142" s="1014">
        <v>1.0142484244108791</v>
      </c>
      <c r="I1142" s="1014">
        <v>0.99433582399353926</v>
      </c>
      <c r="K1142">
        <v>2.4866376915615414</v>
      </c>
      <c r="L1142">
        <v>0</v>
      </c>
      <c r="M1142">
        <v>1.6966501604432922E-3</v>
      </c>
      <c r="N1142">
        <v>0.15703260984886339</v>
      </c>
      <c r="O1142">
        <v>2.1631515035446417E-2</v>
      </c>
      <c r="P1142">
        <v>2.9436213204515373E-2</v>
      </c>
      <c r="Q1142">
        <v>5.6919429687546314E-3</v>
      </c>
      <c r="R1142">
        <v>1.674569392214411E-3</v>
      </c>
      <c r="S1142">
        <v>0.26857337619709831</v>
      </c>
      <c r="T1142">
        <v>1.414619033642692</v>
      </c>
      <c r="U1142">
        <v>0.21704012568980469</v>
      </c>
      <c r="V1142">
        <v>0.24809214799363072</v>
      </c>
      <c r="W1142">
        <v>0.10282295923671073</v>
      </c>
      <c r="X1142">
        <v>1.7162222648295797E-2</v>
      </c>
      <c r="Y1142">
        <v>4.5576258639558435E-3</v>
      </c>
    </row>
    <row r="1143" spans="1:25">
      <c r="A1143" s="1010"/>
      <c r="B1143" s="1351">
        <v>893</v>
      </c>
      <c r="C1143" s="1014">
        <v>0.99128015866638119</v>
      </c>
      <c r="D1143" s="1014">
        <v>0.97003004844934404</v>
      </c>
      <c r="E1143" s="1014">
        <v>0.97660427582345555</v>
      </c>
      <c r="F1143" s="1014">
        <v>1.0131251848066898</v>
      </c>
      <c r="G1143" s="1014">
        <v>1.0190305571468126</v>
      </c>
      <c r="H1143" s="1014">
        <v>0.97475738480298935</v>
      </c>
      <c r="I1143" s="1014">
        <v>0.98843720931007373</v>
      </c>
      <c r="K1143">
        <v>2.4281169748585412</v>
      </c>
      <c r="L1143">
        <v>0</v>
      </c>
      <c r="M1143">
        <v>1.7059744698762309E-3</v>
      </c>
      <c r="N1143">
        <v>0.14460413875903319</v>
      </c>
      <c r="O1143">
        <v>2.1296649914412481E-2</v>
      </c>
      <c r="P1143">
        <v>2.8314099923587605E-2</v>
      </c>
      <c r="Q1143">
        <v>5.4425403629747423E-3</v>
      </c>
      <c r="R1143">
        <v>1.6828728617882161E-3</v>
      </c>
      <c r="S1143">
        <v>0.25950667634706281</v>
      </c>
      <c r="T1143">
        <v>1.3891301891285037</v>
      </c>
      <c r="U1143">
        <v>0.21375749382549364</v>
      </c>
      <c r="V1143">
        <v>0.24941663095903593</v>
      </c>
      <c r="W1143">
        <v>9.6337702181126847E-2</v>
      </c>
      <c r="X1143">
        <v>1.5753729894498907E-2</v>
      </c>
      <c r="Y1143">
        <v>4.5802251708977303E-3</v>
      </c>
    </row>
    <row r="1144" spans="1:25">
      <c r="A1144" s="1010"/>
      <c r="B1144" s="1351">
        <v>894</v>
      </c>
      <c r="C1144" s="1014">
        <v>1.0293892542792757</v>
      </c>
      <c r="D1144" s="1014">
        <v>0.9974810979192188</v>
      </c>
      <c r="E1144" s="1014">
        <v>0.99865211550588451</v>
      </c>
      <c r="F1144" s="1014">
        <v>0.99119045569079778</v>
      </c>
      <c r="G1144" s="1014">
        <v>1.0183351359169055</v>
      </c>
      <c r="H1144" s="1014">
        <v>0.9934119114622888</v>
      </c>
      <c r="I1144" s="1014">
        <v>0.99281090129499461</v>
      </c>
      <c r="K1144">
        <v>2.3744872981789142</v>
      </c>
      <c r="L1144">
        <v>0</v>
      </c>
      <c r="M1144">
        <v>1.5897629009009695E-3</v>
      </c>
      <c r="N1144">
        <v>0.14408133273840892</v>
      </c>
      <c r="O1144">
        <v>2.039689822973241E-2</v>
      </c>
      <c r="P1144">
        <v>2.8102974581418111E-2</v>
      </c>
      <c r="Q1144">
        <v>5.3302266254019364E-3</v>
      </c>
      <c r="R1144">
        <v>1.5686392387276524E-3</v>
      </c>
      <c r="S1144">
        <v>0.24919442096543559</v>
      </c>
      <c r="T1144">
        <v>1.3595261968449222</v>
      </c>
      <c r="U1144">
        <v>0.20591703008728107</v>
      </c>
      <c r="V1144">
        <v>0.24688586473739554</v>
      </c>
      <c r="W1144">
        <v>9.4727538118112548E-2</v>
      </c>
      <c r="X1144">
        <v>1.6076620006949371E-2</v>
      </c>
      <c r="Y1144">
        <v>4.2693189060305971E-3</v>
      </c>
    </row>
    <row r="1145" spans="1:25">
      <c r="A1145" s="1010"/>
      <c r="B1145" s="1351">
        <v>895</v>
      </c>
      <c r="C1145" s="1014">
        <v>0.99704894861329618</v>
      </c>
      <c r="D1145" s="1014">
        <v>1.0331452701635555</v>
      </c>
      <c r="E1145" s="1014">
        <v>0.97199732736757105</v>
      </c>
      <c r="F1145" s="1014">
        <v>1.0124396075822719</v>
      </c>
      <c r="G1145" s="1014">
        <v>1.0106151181504097</v>
      </c>
      <c r="H1145" s="1014">
        <v>0.97627336399439568</v>
      </c>
      <c r="I1145" s="1014">
        <v>0.97548882767138045</v>
      </c>
      <c r="K1145">
        <v>2.4049243199353714</v>
      </c>
      <c r="L1145">
        <v>0</v>
      </c>
      <c r="M1145">
        <v>1.6913675372288511E-3</v>
      </c>
      <c r="N1145">
        <v>0.14138366911296552</v>
      </c>
      <c r="O1145">
        <v>2.087879341585068E-2</v>
      </c>
      <c r="P1145">
        <v>2.7990065391004855E-2</v>
      </c>
      <c r="Q1145">
        <v>5.310748295117896E-3</v>
      </c>
      <c r="R1145">
        <v>1.6684992957902939E-3</v>
      </c>
      <c r="S1145">
        <v>0.24676771391328145</v>
      </c>
      <c r="T1145">
        <v>1.3880898293185517</v>
      </c>
      <c r="U1145">
        <v>0.21250499343873128</v>
      </c>
      <c r="V1145">
        <v>0.24763169951488806</v>
      </c>
      <c r="W1145">
        <v>9.4455748770626513E-2</v>
      </c>
      <c r="X1145">
        <v>1.5392821943293354E-2</v>
      </c>
      <c r="Y1145">
        <v>4.5411050624961447E-3</v>
      </c>
    </row>
    <row r="1146" spans="1:25">
      <c r="A1146" s="1010"/>
      <c r="B1146" s="1351">
        <v>896</v>
      </c>
      <c r="C1146" s="1014">
        <v>0.97002007764306697</v>
      </c>
      <c r="D1146" s="1014">
        <v>1.0156836349878313</v>
      </c>
      <c r="E1146" s="1014">
        <v>1.0054114534605025</v>
      </c>
      <c r="F1146" s="1014">
        <v>1.0187988771180161</v>
      </c>
      <c r="G1146" s="1014">
        <v>0.96494140855620081</v>
      </c>
      <c r="H1146" s="1014">
        <v>1.0085741654317861</v>
      </c>
      <c r="I1146" s="1014">
        <v>1.0307320798361652</v>
      </c>
      <c r="K1146">
        <v>2.4665744631572997</v>
      </c>
      <c r="L1146">
        <v>0</v>
      </c>
      <c r="M1146">
        <v>1.6822509345757312E-3</v>
      </c>
      <c r="N1146">
        <v>0.15564014731399972</v>
      </c>
      <c r="O1146">
        <v>2.1563937557787301E-2</v>
      </c>
      <c r="P1146">
        <v>2.919718377990177E-2</v>
      </c>
      <c r="Q1146">
        <v>5.6735781977814469E-3</v>
      </c>
      <c r="R1146">
        <v>1.6602343900904183E-3</v>
      </c>
      <c r="S1146">
        <v>0.2734969583659082</v>
      </c>
      <c r="T1146">
        <v>1.3975431704041716</v>
      </c>
      <c r="U1146">
        <v>0.21854381702856743</v>
      </c>
      <c r="V1146">
        <v>0.24145423516817549</v>
      </c>
      <c r="W1146">
        <v>0.10191737606119869</v>
      </c>
      <c r="X1146">
        <v>1.7047465110583235E-2</v>
      </c>
      <c r="Y1146">
        <v>4.5186107137065125E-3</v>
      </c>
    </row>
    <row r="1147" spans="1:25">
      <c r="A1147" s="1010"/>
      <c r="B1147" s="1351">
        <v>897</v>
      </c>
      <c r="C1147" s="1014">
        <v>1.0020854117843105</v>
      </c>
      <c r="D1147" s="1014">
        <v>0.98669808088280719</v>
      </c>
      <c r="E1147" s="1014">
        <v>0.99445330408521559</v>
      </c>
      <c r="F1147" s="1014">
        <v>1.0300458784225242</v>
      </c>
      <c r="G1147" s="1014">
        <v>0.98126734338945709</v>
      </c>
      <c r="H1147" s="1014">
        <v>0.99423258929953662</v>
      </c>
      <c r="I1147" s="1014">
        <v>0.97835517335644706</v>
      </c>
      <c r="K1147">
        <v>2.4415854216651915</v>
      </c>
      <c r="L1147">
        <v>0</v>
      </c>
      <c r="M1147">
        <v>1.652665183267432E-3</v>
      </c>
      <c r="N1147">
        <v>0.14789531625296173</v>
      </c>
      <c r="O1147">
        <v>2.1000027378918134E-2</v>
      </c>
      <c r="P1147">
        <v>2.8811451282381887E-2</v>
      </c>
      <c r="Q1147">
        <v>5.4646825517935451E-3</v>
      </c>
      <c r="R1147">
        <v>1.6307238455633311E-3</v>
      </c>
      <c r="S1147">
        <v>0.25367304845304905</v>
      </c>
      <c r="T1147">
        <v>1.4127271855107413</v>
      </c>
      <c r="U1147">
        <v>0.21151334090177151</v>
      </c>
      <c r="V1147">
        <v>0.24222171998801489</v>
      </c>
      <c r="W1147">
        <v>9.7478695812513699E-2</v>
      </c>
      <c r="X1147">
        <v>1.6383602131099011E-2</v>
      </c>
      <c r="Y1147">
        <v>4.438292739652171E-3</v>
      </c>
    </row>
    <row r="1148" spans="1:25">
      <c r="A1148" s="1010"/>
      <c r="B1148" s="1351">
        <v>898</v>
      </c>
      <c r="C1148" s="1014">
        <v>1.0165202773837665</v>
      </c>
      <c r="D1148" s="1014">
        <v>1.0257260144215616</v>
      </c>
      <c r="E1148" s="1014">
        <v>1.0135473880565329</v>
      </c>
      <c r="F1148" s="1014">
        <v>0.99888617173318772</v>
      </c>
      <c r="G1148" s="1014">
        <v>1.0421437739473323</v>
      </c>
      <c r="H1148" s="1014">
        <v>1.0065268026069791</v>
      </c>
      <c r="I1148" s="1014">
        <v>0.96851982961337857</v>
      </c>
      <c r="K1148">
        <v>2.3962654192053501</v>
      </c>
      <c r="L1148">
        <v>0</v>
      </c>
      <c r="M1148">
        <v>1.5717840176432418E-3</v>
      </c>
      <c r="N1148">
        <v>0.14903206464249846</v>
      </c>
      <c r="O1148">
        <v>2.0538303953651693E-2</v>
      </c>
      <c r="P1148">
        <v>2.859485796459111E-2</v>
      </c>
      <c r="Q1148">
        <v>5.4478694402118775E-3</v>
      </c>
      <c r="R1148">
        <v>1.551171371741927E-3</v>
      </c>
      <c r="S1148">
        <v>0.24393419779826411</v>
      </c>
      <c r="T1148">
        <v>1.3704039051951149</v>
      </c>
      <c r="U1148">
        <v>0.20857404066069948</v>
      </c>
      <c r="V1148">
        <v>0.2516629012279028</v>
      </c>
      <c r="W1148">
        <v>9.7122958446290986E-2</v>
      </c>
      <c r="X1148">
        <v>1.675315539164841E-2</v>
      </c>
      <c r="Y1148">
        <v>4.221777130376257E-3</v>
      </c>
    </row>
    <row r="1149" spans="1:25">
      <c r="A1149" s="1010"/>
      <c r="B1149" s="1351">
        <v>899</v>
      </c>
      <c r="C1149" s="1014">
        <v>0.97085449634920062</v>
      </c>
      <c r="D1149" s="1014">
        <v>0.958995225840377</v>
      </c>
      <c r="E1149" s="1014">
        <v>0.98291741735095828</v>
      </c>
      <c r="F1149" s="1014">
        <v>0.98413851406414332</v>
      </c>
      <c r="G1149" s="1014">
        <v>1.004253317177864</v>
      </c>
      <c r="H1149" s="1014">
        <v>0.97114194458587977</v>
      </c>
      <c r="I1149" s="1014">
        <v>1.0117072841836849</v>
      </c>
      <c r="K1149">
        <v>2.4114789460412895</v>
      </c>
      <c r="L1149">
        <v>0</v>
      </c>
      <c r="M1149">
        <v>1.7172160468677462E-3</v>
      </c>
      <c r="N1149">
        <v>0.14835655016924518</v>
      </c>
      <c r="O1149">
        <v>2.1803848959271753E-2</v>
      </c>
      <c r="P1149">
        <v>2.8136162876822798E-2</v>
      </c>
      <c r="Q1149">
        <v>5.6080338497391906E-3</v>
      </c>
      <c r="R1149">
        <v>1.6938756388130832E-3</v>
      </c>
      <c r="S1149">
        <v>0.27251549020399901</v>
      </c>
      <c r="T1149">
        <v>1.3495194005769118</v>
      </c>
      <c r="U1149">
        <v>0.2182768610122009</v>
      </c>
      <c r="V1149">
        <v>0.24819213973510415</v>
      </c>
      <c r="W1149">
        <v>9.8461495938642896E-2</v>
      </c>
      <c r="X1149">
        <v>1.6022132024509337E-2</v>
      </c>
      <c r="Y1149">
        <v>4.6101711028949475E-3</v>
      </c>
    </row>
    <row r="1150" spans="1:25">
      <c r="A1150" s="1010"/>
      <c r="B1150" s="1351">
        <v>900</v>
      </c>
      <c r="C1150" s="1014">
        <v>0.99608965568902663</v>
      </c>
      <c r="D1150" s="1014">
        <v>1.037492543573088</v>
      </c>
      <c r="E1150" s="1014">
        <v>1.0066521816394713</v>
      </c>
      <c r="F1150" s="1014">
        <v>0.99954931737192743</v>
      </c>
      <c r="G1150" s="1014">
        <v>1.008823452176427</v>
      </c>
      <c r="H1150" s="1014">
        <v>1.0112599499948887</v>
      </c>
      <c r="I1150" s="1014">
        <v>1.0223806451460817</v>
      </c>
      <c r="K1150">
        <v>2.4196173583718306</v>
      </c>
      <c r="L1150">
        <v>0</v>
      </c>
      <c r="M1150">
        <v>1.6307201554642665E-3</v>
      </c>
      <c r="N1150">
        <v>0.15144426247043061</v>
      </c>
      <c r="O1150">
        <v>2.0902468444355424E-2</v>
      </c>
      <c r="P1150">
        <v>2.8701004866184768E-2</v>
      </c>
      <c r="Q1150">
        <v>5.5063826028048232E-3</v>
      </c>
      <c r="R1150">
        <v>1.6094347047987418E-3</v>
      </c>
      <c r="S1150">
        <v>0.26165119347004095</v>
      </c>
      <c r="T1150">
        <v>1.3711643321159293</v>
      </c>
      <c r="U1150">
        <v>0.21282836763552512</v>
      </c>
      <c r="V1150">
        <v>0.24725883885417774</v>
      </c>
      <c r="W1150">
        <v>9.9097041262824814E-2</v>
      </c>
      <c r="X1150">
        <v>1.6704401383764871E-2</v>
      </c>
      <c r="Y1150">
        <v>4.3803507164543254E-3</v>
      </c>
    </row>
    <row r="1151" spans="1:25">
      <c r="A1151" s="1010"/>
      <c r="B1151" s="1351">
        <v>901</v>
      </c>
      <c r="C1151" s="1014">
        <v>0.96698049230793304</v>
      </c>
      <c r="D1151" s="1014">
        <v>0.99063368120918749</v>
      </c>
      <c r="E1151" s="1014">
        <v>0.99033913955198449</v>
      </c>
      <c r="F1151" s="1014">
        <v>1.0109708182007193</v>
      </c>
      <c r="G1151" s="1014">
        <v>0.96314317627041612</v>
      </c>
      <c r="H1151" s="1014">
        <v>0.98733506135948468</v>
      </c>
      <c r="I1151" s="1014">
        <v>1.014513188319746</v>
      </c>
      <c r="K1151">
        <v>2.447078677551656</v>
      </c>
      <c r="L1151">
        <v>0</v>
      </c>
      <c r="M1151">
        <v>1.7138390051158157E-3</v>
      </c>
      <c r="N1151">
        <v>0.15145985644508242</v>
      </c>
      <c r="O1151">
        <v>2.174052852804953E-2</v>
      </c>
      <c r="P1151">
        <v>2.8699923068806033E-2</v>
      </c>
      <c r="Q1151">
        <v>5.6339317263899716E-3</v>
      </c>
      <c r="R1151">
        <v>1.6909265471352279E-3</v>
      </c>
      <c r="S1151">
        <v>0.27140080049743792</v>
      </c>
      <c r="T1151">
        <v>1.386475564223012</v>
      </c>
      <c r="U1151">
        <v>0.21917752089689047</v>
      </c>
      <c r="V1151">
        <v>0.2414003464507386</v>
      </c>
      <c r="W1151">
        <v>0.10007398219941707</v>
      </c>
      <c r="X1151">
        <v>1.6436991326295145E-2</v>
      </c>
      <c r="Y1151">
        <v>4.6021446475156356E-3</v>
      </c>
    </row>
    <row r="1152" spans="1:25">
      <c r="A1152" s="1010"/>
      <c r="B1152" s="1351">
        <v>902</v>
      </c>
      <c r="C1152" s="1014">
        <v>0.96990490115750028</v>
      </c>
      <c r="D1152" s="1014">
        <v>1.0159393600596973</v>
      </c>
      <c r="E1152" s="1014">
        <v>1.0209996714025975</v>
      </c>
      <c r="F1152" s="1014">
        <v>1.0337617922497118</v>
      </c>
      <c r="G1152" s="1014">
        <v>0.9990469016633019</v>
      </c>
      <c r="H1152" s="1014">
        <v>0.97200582340027086</v>
      </c>
      <c r="I1152" s="1014">
        <v>0.9679581183184347</v>
      </c>
      <c r="K1152">
        <v>2.4678140766551881</v>
      </c>
      <c r="L1152">
        <v>0</v>
      </c>
      <c r="M1152">
        <v>1.5696687529512603E-3</v>
      </c>
      <c r="N1152">
        <v>0.15214426367503561</v>
      </c>
      <c r="O1152">
        <v>2.1575955006822467E-2</v>
      </c>
      <c r="P1152">
        <v>2.9632763037395635E-2</v>
      </c>
      <c r="Q1152">
        <v>5.7657327997080576E-3</v>
      </c>
      <c r="R1152">
        <v>1.5483527699854684E-3</v>
      </c>
      <c r="S1152">
        <v>0.25386978684013106</v>
      </c>
      <c r="T1152">
        <v>1.4184180747970254</v>
      </c>
      <c r="U1152">
        <v>0.21862481823885471</v>
      </c>
      <c r="V1152">
        <v>0.247230692710325</v>
      </c>
      <c r="W1152">
        <v>9.8718871835557581E-2</v>
      </c>
      <c r="X1152">
        <v>1.7640327871752785E-2</v>
      </c>
      <c r="Y1152">
        <v>4.2141058255469972E-3</v>
      </c>
    </row>
    <row r="1153" spans="1:25">
      <c r="A1153" s="1010"/>
      <c r="B1153" s="1351">
        <v>903</v>
      </c>
      <c r="C1153" s="1014">
        <v>1.0283003052527826</v>
      </c>
      <c r="D1153" s="1014">
        <v>1.0159113783530478</v>
      </c>
      <c r="E1153" s="1014">
        <v>0.99440373653450742</v>
      </c>
      <c r="F1153" s="1014">
        <v>1.0227276515482493</v>
      </c>
      <c r="G1153" s="1014">
        <v>1.0100131882330692</v>
      </c>
      <c r="H1153" s="1014">
        <v>1.0039478674560576</v>
      </c>
      <c r="I1153" s="1014">
        <v>1.0280282244023122</v>
      </c>
      <c r="K1153">
        <v>2.4258737680560185</v>
      </c>
      <c r="L1153">
        <v>0</v>
      </c>
      <c r="M1153">
        <v>1.616031030346837E-3</v>
      </c>
      <c r="N1153">
        <v>0.14461412613588867</v>
      </c>
      <c r="O1153">
        <v>2.0333690865470412E-2</v>
      </c>
      <c r="P1153">
        <v>2.8688436066320315E-2</v>
      </c>
      <c r="Q1153">
        <v>5.2910222628293072E-3</v>
      </c>
      <c r="R1153">
        <v>1.5947836812971381E-3</v>
      </c>
      <c r="S1153">
        <v>0.25680910411442509</v>
      </c>
      <c r="T1153">
        <v>1.4026890053041634</v>
      </c>
      <c r="U1153">
        <v>0.20612097745006025</v>
      </c>
      <c r="V1153">
        <v>0.2455444482780004</v>
      </c>
      <c r="W1153">
        <v>9.5318864057822111E-2</v>
      </c>
      <c r="X1153">
        <v>1.6144865409895317E-2</v>
      </c>
      <c r="Y1153">
        <v>4.3404754601915601E-3</v>
      </c>
    </row>
    <row r="1154" spans="1:25">
      <c r="A1154" s="1010"/>
      <c r="B1154" s="1351">
        <v>904</v>
      </c>
      <c r="C1154" s="1014">
        <v>0.97964959812965113</v>
      </c>
      <c r="D1154" s="1014">
        <v>0.96918819521732213</v>
      </c>
      <c r="E1154" s="1014">
        <v>1.0154032343360073</v>
      </c>
      <c r="F1154" s="1014">
        <v>1.0039858800154458</v>
      </c>
      <c r="G1154" s="1014">
        <v>0.98771131384689115</v>
      </c>
      <c r="H1154" s="1014">
        <v>1.0008489948896206</v>
      </c>
      <c r="I1154" s="1014">
        <v>1.0010621778222064</v>
      </c>
      <c r="K1154">
        <v>2.442793151984429</v>
      </c>
      <c r="L1154">
        <v>0</v>
      </c>
      <c r="M1154">
        <v>1.6357724926253376E-3</v>
      </c>
      <c r="N1154">
        <v>0.15595865252658248</v>
      </c>
      <c r="O1154">
        <v>2.1580053107383059E-2</v>
      </c>
      <c r="P1154">
        <v>2.9084567614209834E-2</v>
      </c>
      <c r="Q1154">
        <v>5.7348006989297257E-3</v>
      </c>
      <c r="R1154">
        <v>1.6141989949728106E-3</v>
      </c>
      <c r="S1154">
        <v>0.26866991542037466</v>
      </c>
      <c r="T1154">
        <v>1.3774407724607838</v>
      </c>
      <c r="U1154">
        <v>0.21643054813866422</v>
      </c>
      <c r="V1154">
        <v>0.24467515161523831</v>
      </c>
      <c r="W1154">
        <v>0.10152618372299135</v>
      </c>
      <c r="X1154">
        <v>1.732076263316153E-2</v>
      </c>
      <c r="Y1154">
        <v>4.3933175437603092E-3</v>
      </c>
    </row>
    <row r="1155" spans="1:25">
      <c r="A1155" s="1010"/>
      <c r="B1155" s="1351">
        <v>905</v>
      </c>
      <c r="C1155" s="1014">
        <v>1.0015178751668989</v>
      </c>
      <c r="D1155" s="1014">
        <v>0.99955693992749062</v>
      </c>
      <c r="E1155" s="1014">
        <v>1.0181959642973453</v>
      </c>
      <c r="F1155" s="1014">
        <v>0.98917826316479118</v>
      </c>
      <c r="G1155" s="1014">
        <v>0.97209503673094244</v>
      </c>
      <c r="H1155" s="1014">
        <v>0.98545343785012707</v>
      </c>
      <c r="I1155" s="1014">
        <v>0.99063989117054885</v>
      </c>
      <c r="K1155">
        <v>2.3873011029002176</v>
      </c>
      <c r="L1155">
        <v>0</v>
      </c>
      <c r="M1155">
        <v>1.5557230685541619E-3</v>
      </c>
      <c r="N1155">
        <v>0.14955054281026781</v>
      </c>
      <c r="O1155">
        <v>2.0967909406925785E-2</v>
      </c>
      <c r="P1155">
        <v>2.8550671434930796E-2</v>
      </c>
      <c r="Q1155">
        <v>5.5876454805121158E-3</v>
      </c>
      <c r="R1155">
        <v>1.5348847630384977E-3</v>
      </c>
      <c r="S1155">
        <v>0.25479075093928544</v>
      </c>
      <c r="T1155">
        <v>1.3571850794901634</v>
      </c>
      <c r="U1155">
        <v>0.2117143144016552</v>
      </c>
      <c r="V1155">
        <v>0.24060899669828303</v>
      </c>
      <c r="W1155">
        <v>9.7195285740646856E-2</v>
      </c>
      <c r="X1155">
        <v>1.6993294452694346E-2</v>
      </c>
      <c r="Y1155">
        <v>4.1774503503646393E-3</v>
      </c>
    </row>
    <row r="1156" spans="1:25">
      <c r="A1156" s="1010"/>
      <c r="B1156" s="1351">
        <v>906</v>
      </c>
      <c r="C1156" s="1014">
        <v>1.0202441262486264</v>
      </c>
      <c r="D1156" s="1014">
        <v>0.97819523454681079</v>
      </c>
      <c r="E1156" s="1014">
        <v>1.0460509856182512</v>
      </c>
      <c r="F1156" s="1014">
        <v>0.98730205602890131</v>
      </c>
      <c r="G1156" s="1014">
        <v>1.0152406339553941</v>
      </c>
      <c r="H1156" s="1014">
        <v>1.0145273027450492</v>
      </c>
      <c r="I1156" s="1014">
        <v>1.0210986622325122</v>
      </c>
      <c r="K1156">
        <v>2.4064902666483969</v>
      </c>
      <c r="L1156">
        <v>0</v>
      </c>
      <c r="M1156">
        <v>1.4906054402871987E-3</v>
      </c>
      <c r="N1156">
        <v>0.15590132922375535</v>
      </c>
      <c r="O1156">
        <v>2.0699402351823819E-2</v>
      </c>
      <c r="P1156">
        <v>2.9258337117740764E-2</v>
      </c>
      <c r="Q1156">
        <v>5.6699376447765914E-3</v>
      </c>
      <c r="R1156">
        <v>1.4712115389816168E-3</v>
      </c>
      <c r="S1156">
        <v>0.26334582036199994</v>
      </c>
      <c r="T1156">
        <v>1.3552093649154682</v>
      </c>
      <c r="U1156">
        <v>0.20792214182373162</v>
      </c>
      <c r="V1156">
        <v>0.24673043636988221</v>
      </c>
      <c r="W1156">
        <v>9.9700275664490315E-2</v>
      </c>
      <c r="X1156">
        <v>1.8068462251677721E-2</v>
      </c>
      <c r="Y1156">
        <v>4.0041528243544783E-3</v>
      </c>
    </row>
    <row r="1157" spans="1:25">
      <c r="A1157" s="1010"/>
      <c r="B1157" s="1351">
        <v>907</v>
      </c>
      <c r="C1157" s="1014">
        <v>0.99618315440492222</v>
      </c>
      <c r="D1157" s="1014">
        <v>0.99822770874042765</v>
      </c>
      <c r="E1157" s="1014">
        <v>0.98816839542213064</v>
      </c>
      <c r="F1157" s="1014">
        <v>0.99759269000630535</v>
      </c>
      <c r="G1157" s="1014">
        <v>0.9744263978310812</v>
      </c>
      <c r="H1157" s="1014">
        <v>1.0094168415752585</v>
      </c>
      <c r="I1157" s="1014">
        <v>0.97186789729603107</v>
      </c>
      <c r="K1157">
        <v>2.3994932829917808</v>
      </c>
      <c r="L1157">
        <v>0</v>
      </c>
      <c r="M1157">
        <v>1.7055998310180952E-3</v>
      </c>
      <c r="N1157">
        <v>0.14979002757543189</v>
      </c>
      <c r="O1157">
        <v>2.1066345689650785E-2</v>
      </c>
      <c r="P1157">
        <v>2.8071908124864407E-2</v>
      </c>
      <c r="Q1157">
        <v>5.4472511879363862E-3</v>
      </c>
      <c r="R1157">
        <v>1.6832963415058938E-3</v>
      </c>
      <c r="S1157">
        <v>0.25321919800030807</v>
      </c>
      <c r="T1157">
        <v>1.3680816660236981</v>
      </c>
      <c r="U1157">
        <v>0.21274499440916922</v>
      </c>
      <c r="V1157">
        <v>0.24144409958404686</v>
      </c>
      <c r="W1157">
        <v>9.9099539229453332E-2</v>
      </c>
      <c r="X1157">
        <v>1.5969178913644782E-2</v>
      </c>
      <c r="Y1157">
        <v>4.581377743089198E-3</v>
      </c>
    </row>
    <row r="1158" spans="1:25">
      <c r="A1158" s="1010"/>
      <c r="B1158" s="1351">
        <v>908</v>
      </c>
      <c r="C1158" s="1014">
        <v>1.0045411004073659</v>
      </c>
      <c r="D1158" s="1014">
        <v>0.9969089022097064</v>
      </c>
      <c r="E1158" s="1014">
        <v>0.98735313785488121</v>
      </c>
      <c r="F1158" s="1014">
        <v>1.0251586416512113</v>
      </c>
      <c r="G1158" s="1014">
        <v>1.0235590802841337</v>
      </c>
      <c r="H1158" s="1014">
        <v>0.98980148071888474</v>
      </c>
      <c r="I1158" s="1014">
        <v>1.0421077394006866</v>
      </c>
      <c r="K1158">
        <v>2.4514756168610861</v>
      </c>
      <c r="L1158">
        <v>0</v>
      </c>
      <c r="M1158">
        <v>1.6618258843098563E-3</v>
      </c>
      <c r="N1158">
        <v>0.14554810796159207</v>
      </c>
      <c r="O1158">
        <v>2.0896609253710903E-2</v>
      </c>
      <c r="P1158">
        <v>2.8843638256392263E-2</v>
      </c>
      <c r="Q1158">
        <v>5.3989051666345237E-3</v>
      </c>
      <c r="R1158">
        <v>1.6396641553855832E-3</v>
      </c>
      <c r="S1158">
        <v>0.26770075356925033</v>
      </c>
      <c r="T1158">
        <v>1.4058671127415296</v>
      </c>
      <c r="U1158">
        <v>0.21097215257315191</v>
      </c>
      <c r="V1158">
        <v>0.2493193766860349</v>
      </c>
      <c r="W1158">
        <v>9.6340252328844023E-2</v>
      </c>
      <c r="X1158">
        <v>1.614824473705229E-2</v>
      </c>
      <c r="Y1158">
        <v>4.4626253158160005E-3</v>
      </c>
    </row>
    <row r="1159" spans="1:25">
      <c r="A1159" s="1010"/>
      <c r="B1159" s="1351">
        <v>909</v>
      </c>
      <c r="C1159" s="1014">
        <v>0.97327771354681381</v>
      </c>
      <c r="D1159" s="1014">
        <v>0.98461285273165911</v>
      </c>
      <c r="E1159" s="1014">
        <v>0.99106160291688483</v>
      </c>
      <c r="F1159" s="1014">
        <v>1.0030939091147717</v>
      </c>
      <c r="G1159" s="1014">
        <v>1.0273558334966679</v>
      </c>
      <c r="H1159" s="1014">
        <v>1.0127572912548302</v>
      </c>
      <c r="I1159" s="1014">
        <v>1.0106454818394233</v>
      </c>
      <c r="K1159">
        <v>2.4510554714137509</v>
      </c>
      <c r="L1159">
        <v>0</v>
      </c>
      <c r="M1159">
        <v>1.7463221071693574E-3</v>
      </c>
      <c r="N1159">
        <v>0.1547206050559852</v>
      </c>
      <c r="O1159">
        <v>2.1629347224441674E-2</v>
      </c>
      <c r="P1159">
        <v>2.8697103395395662E-2</v>
      </c>
      <c r="Q1159">
        <v>5.6092127289322884E-3</v>
      </c>
      <c r="R1159">
        <v>1.7235614293272296E-3</v>
      </c>
      <c r="S1159">
        <v>0.27170150283714656</v>
      </c>
      <c r="T1159">
        <v>1.3756885802263152</v>
      </c>
      <c r="U1159">
        <v>0.21776195017864161</v>
      </c>
      <c r="V1159">
        <v>0.25194888984502772</v>
      </c>
      <c r="W1159">
        <v>0.10218424436048186</v>
      </c>
      <c r="X1159">
        <v>1.6445830200464414E-2</v>
      </c>
      <c r="Y1159">
        <v>4.6909660387562399E-3</v>
      </c>
    </row>
    <row r="1160" spans="1:25">
      <c r="A1160" s="1010"/>
      <c r="B1160" s="1351">
        <v>910</v>
      </c>
      <c r="C1160" s="1014">
        <v>1.00199796582303</v>
      </c>
      <c r="D1160" s="1014">
        <v>0.97802614304649449</v>
      </c>
      <c r="E1160" s="1014">
        <v>1.0026918394789035</v>
      </c>
      <c r="F1160" s="1014">
        <v>0.98495690733733632</v>
      </c>
      <c r="G1160" s="1014">
        <v>0.99661630452936478</v>
      </c>
      <c r="H1160" s="1014">
        <v>1.0364669734197065</v>
      </c>
      <c r="I1160" s="1014">
        <v>1.0067443947275341</v>
      </c>
      <c r="K1160">
        <v>2.4073169572748836</v>
      </c>
      <c r="L1160">
        <v>0</v>
      </c>
      <c r="M1160">
        <v>1.6971240028834864E-3</v>
      </c>
      <c r="N1160">
        <v>0.15578730194724391</v>
      </c>
      <c r="O1160">
        <v>2.104816963278754E-2</v>
      </c>
      <c r="P1160">
        <v>2.834953396729406E-2</v>
      </c>
      <c r="Q1160">
        <v>5.5227926952359672E-3</v>
      </c>
      <c r="R1160">
        <v>1.6755105414133688E-3</v>
      </c>
      <c r="S1160">
        <v>0.26591594593628848</v>
      </c>
      <c r="T1160">
        <v>1.3510622725566086</v>
      </c>
      <c r="U1160">
        <v>0.21155989876843062</v>
      </c>
      <c r="V1160">
        <v>0.24481927389069261</v>
      </c>
      <c r="W1160">
        <v>0.10217823696955491</v>
      </c>
      <c r="X1160">
        <v>1.6534957010390688E-2</v>
      </c>
      <c r="Y1160">
        <v>4.5601873618256539E-3</v>
      </c>
    </row>
    <row r="1161" spans="1:25">
      <c r="A1161" s="1010"/>
      <c r="B1161" s="1351">
        <v>911</v>
      </c>
      <c r="C1161" s="1014">
        <v>0.97007991662828585</v>
      </c>
      <c r="D1161" s="1014">
        <v>1.0139641595058966</v>
      </c>
      <c r="E1161" s="1014">
        <v>1.0138683141803353</v>
      </c>
      <c r="F1161" s="1014">
        <v>0.9785604032852715</v>
      </c>
      <c r="G1161" s="1014">
        <v>0.99076404423720588</v>
      </c>
      <c r="H1161" s="1014">
        <v>1.0078597514838212</v>
      </c>
      <c r="I1161" s="1014">
        <v>1.0275573741634834</v>
      </c>
      <c r="K1161">
        <v>2.4163224887781833</v>
      </c>
      <c r="L1161">
        <v>0</v>
      </c>
      <c r="M1161">
        <v>1.6522979672105584E-3</v>
      </c>
      <c r="N1161">
        <v>0.15682074526612744</v>
      </c>
      <c r="O1161">
        <v>2.1576423275985537E-2</v>
      </c>
      <c r="P1161">
        <v>2.8673658411404016E-2</v>
      </c>
      <c r="Q1161">
        <v>5.7250674658373022E-3</v>
      </c>
      <c r="R1161">
        <v>1.6306581053148262E-3</v>
      </c>
      <c r="S1161">
        <v>0.27287683305979538</v>
      </c>
      <c r="T1161">
        <v>1.3425251437213248</v>
      </c>
      <c r="U1161">
        <v>0.21856017978398579</v>
      </c>
      <c r="V1161">
        <v>0.24582999410721929</v>
      </c>
      <c r="W1161">
        <v>0.10217949477148974</v>
      </c>
      <c r="X1161">
        <v>1.7138474960542043E-2</v>
      </c>
      <c r="Y1161">
        <v>4.4381138163670083E-3</v>
      </c>
    </row>
    <row r="1162" spans="1:25">
      <c r="A1162" s="1010"/>
      <c r="B1162" s="1351">
        <v>912</v>
      </c>
      <c r="C1162" s="1014">
        <v>0.96887904958828841</v>
      </c>
      <c r="D1162" s="1014">
        <v>0.98749340879090708</v>
      </c>
      <c r="E1162" s="1014">
        <v>1.0236991715354495</v>
      </c>
      <c r="F1162" s="1014">
        <v>1.0023346510838285</v>
      </c>
      <c r="G1162" s="1014">
        <v>1.0037269721405431</v>
      </c>
      <c r="H1162" s="1014">
        <v>1.0079010585156425</v>
      </c>
      <c r="I1162" s="1014">
        <v>1.0034321054325333</v>
      </c>
      <c r="K1162">
        <v>2.4544108292992748</v>
      </c>
      <c r="L1162">
        <v>0</v>
      </c>
      <c r="M1162">
        <v>1.6303837490981813E-3</v>
      </c>
      <c r="N1162">
        <v>0.15939932866657969</v>
      </c>
      <c r="O1162">
        <v>2.1736027818273506E-2</v>
      </c>
      <c r="P1162">
        <v>2.9338675688529065E-2</v>
      </c>
      <c r="Q1162">
        <v>5.8240979780635801E-3</v>
      </c>
      <c r="R1162">
        <v>1.6090317690514891E-3</v>
      </c>
      <c r="S1162">
        <v>0.27044066166413455</v>
      </c>
      <c r="T1162">
        <v>1.3753558698817654</v>
      </c>
      <c r="U1162">
        <v>0.21886585506688908</v>
      </c>
      <c r="V1162">
        <v>0.24808817377028738</v>
      </c>
      <c r="W1162">
        <v>0.10326340727729748</v>
      </c>
      <c r="X1162">
        <v>1.7740829409322794E-2</v>
      </c>
      <c r="Y1162">
        <v>4.3792540581780387E-3</v>
      </c>
    </row>
    <row r="1163" spans="1:25">
      <c r="A1163" s="1010"/>
      <c r="B1163" s="1351">
        <v>913</v>
      </c>
      <c r="C1163" s="1014">
        <v>1.0113734350479584</v>
      </c>
      <c r="D1163" s="1014">
        <v>1.0059902703397579</v>
      </c>
      <c r="E1163" s="1014">
        <v>1.0323453950169919</v>
      </c>
      <c r="F1163" s="1014">
        <v>1.0022754811212959</v>
      </c>
      <c r="G1163" s="1014">
        <v>1.0173929859271367</v>
      </c>
      <c r="H1163" s="1014">
        <v>0.99189246110836593</v>
      </c>
      <c r="I1163" s="1014">
        <v>0.98957124304566735</v>
      </c>
      <c r="K1163">
        <v>2.4098539079015846</v>
      </c>
      <c r="L1163">
        <v>0</v>
      </c>
      <c r="M1163">
        <v>1.5034851435615621E-3</v>
      </c>
      <c r="N1163">
        <v>0.15084264934694513</v>
      </c>
      <c r="O1163">
        <v>2.0743605694377252E-2</v>
      </c>
      <c r="P1163">
        <v>2.9131902910620972E-2</v>
      </c>
      <c r="Q1163">
        <v>5.6059514661624711E-3</v>
      </c>
      <c r="R1163">
        <v>1.4834772775646605E-3</v>
      </c>
      <c r="S1163">
        <v>0.25187417328519984</v>
      </c>
      <c r="T1163">
        <v>1.3754631314826335</v>
      </c>
      <c r="U1163">
        <v>0.20969922112171349</v>
      </c>
      <c r="V1163">
        <v>0.24768270108177912</v>
      </c>
      <c r="W1163">
        <v>9.7230167339606099E-2</v>
      </c>
      <c r="X1163">
        <v>1.7562875917167868E-2</v>
      </c>
      <c r="Y1163">
        <v>4.0375361213778873E-3</v>
      </c>
    </row>
    <row r="1164" spans="1:25">
      <c r="A1164" s="1010"/>
      <c r="B1164" s="1351">
        <v>914</v>
      </c>
      <c r="C1164" s="1014">
        <v>0.99809181450533713</v>
      </c>
      <c r="D1164" s="1014">
        <v>1.028971556686352</v>
      </c>
      <c r="E1164" s="1014">
        <v>1.0035568284252643</v>
      </c>
      <c r="F1164" s="1014">
        <v>0.97036976216835735</v>
      </c>
      <c r="G1164" s="1014">
        <v>1.0050146924442511</v>
      </c>
      <c r="H1164" s="1014">
        <v>1.0228141980659826</v>
      </c>
      <c r="I1164" s="1014">
        <v>1.0325457279756887</v>
      </c>
      <c r="K1164">
        <v>2.3839490979032028</v>
      </c>
      <c r="L1164">
        <v>0</v>
      </c>
      <c r="M1164">
        <v>1.6596631508205529E-3</v>
      </c>
      <c r="N1164">
        <v>0.15272085061300375</v>
      </c>
      <c r="O1164">
        <v>2.08963737231668E-2</v>
      </c>
      <c r="P1164">
        <v>2.8126759255730761E-2</v>
      </c>
      <c r="Q1164">
        <v>5.4877243290161722E-3</v>
      </c>
      <c r="R1164">
        <v>1.6382446326078681E-3</v>
      </c>
      <c r="S1164">
        <v>0.26578718049839573</v>
      </c>
      <c r="T1164">
        <v>1.331071296972328</v>
      </c>
      <c r="U1164">
        <v>0.21239082748812016</v>
      </c>
      <c r="V1164">
        <v>0.24649396845192437</v>
      </c>
      <c r="W1164">
        <v>0.10011564771856317</v>
      </c>
      <c r="X1164">
        <v>1.642112552840079E-2</v>
      </c>
      <c r="Y1164">
        <v>4.4587618427606186E-3</v>
      </c>
    </row>
    <row r="1165" spans="1:25">
      <c r="A1165" s="1010"/>
      <c r="B1165" s="1351">
        <v>915</v>
      </c>
      <c r="C1165" s="1014">
        <v>1.0307540749369142</v>
      </c>
      <c r="D1165" s="1014">
        <v>0.97659967764169697</v>
      </c>
      <c r="E1165" s="1014">
        <v>1.0292349209986533</v>
      </c>
      <c r="F1165" s="1014">
        <v>0.99135329504199365</v>
      </c>
      <c r="G1165" s="1014">
        <v>1.031662912831955</v>
      </c>
      <c r="H1165" s="1014">
        <v>1.0288685046134212</v>
      </c>
      <c r="I1165" s="1014">
        <v>1.0214554810831653</v>
      </c>
      <c r="K1165">
        <v>2.4073586386037116</v>
      </c>
      <c r="L1165">
        <v>0</v>
      </c>
      <c r="M1165">
        <v>1.5502406475885711E-3</v>
      </c>
      <c r="N1165">
        <v>0.15415675164766923</v>
      </c>
      <c r="O1165">
        <v>2.0484757979260641E-2</v>
      </c>
      <c r="P1165">
        <v>2.8960921316267856E-2</v>
      </c>
      <c r="Q1165">
        <v>5.519006575616308E-3</v>
      </c>
      <c r="R1165">
        <v>1.5303519902469564E-3</v>
      </c>
      <c r="S1165">
        <v>0.26204268551635329</v>
      </c>
      <c r="T1165">
        <v>1.3604070829203447</v>
      </c>
      <c r="U1165">
        <v>0.20574601170443368</v>
      </c>
      <c r="V1165">
        <v>0.24896818658128012</v>
      </c>
      <c r="W1165">
        <v>9.9545833795803076E-2</v>
      </c>
      <c r="X1165">
        <v>1.7382175586967825E-2</v>
      </c>
      <c r="Y1165">
        <v>4.1651136370542121E-3</v>
      </c>
    </row>
    <row r="1166" spans="1:25">
      <c r="A1166" s="1010"/>
      <c r="B1166" s="1351">
        <v>916</v>
      </c>
      <c r="C1166" s="1014">
        <v>0.97819459372510409</v>
      </c>
      <c r="D1166" s="1014">
        <v>1.008339685914319</v>
      </c>
      <c r="E1166" s="1014">
        <v>0.95358742633147486</v>
      </c>
      <c r="F1166" s="1014">
        <v>0.99254720642498173</v>
      </c>
      <c r="G1166" s="1014">
        <v>0.98752107066523598</v>
      </c>
      <c r="H1166" s="1014">
        <v>0.99614271296598844</v>
      </c>
      <c r="I1166" s="1014">
        <v>0.97742868604917599</v>
      </c>
      <c r="K1166">
        <v>2.3957547114498912</v>
      </c>
      <c r="L1166">
        <v>0</v>
      </c>
      <c r="M1166">
        <v>1.8369103596635179E-3</v>
      </c>
      <c r="N1166">
        <v>0.1452600380019386</v>
      </c>
      <c r="O1166">
        <v>2.1382920019034534E-2</v>
      </c>
      <c r="P1166">
        <v>2.7379187268940175E-2</v>
      </c>
      <c r="Q1166">
        <v>5.3371879290606558E-3</v>
      </c>
      <c r="R1166">
        <v>1.8125696845574606E-3</v>
      </c>
      <c r="S1166">
        <v>0.25664325559881146</v>
      </c>
      <c r="T1166">
        <v>1.3604245459624968</v>
      </c>
      <c r="U1166">
        <v>0.21653701339170398</v>
      </c>
      <c r="V1166">
        <v>0.24495738749874998</v>
      </c>
      <c r="W1166">
        <v>9.8145304372048145E-2</v>
      </c>
      <c r="X1166">
        <v>1.4778994914280688E-2</v>
      </c>
      <c r="Y1166">
        <v>4.9332171679294778E-3</v>
      </c>
    </row>
    <row r="1167" spans="1:25">
      <c r="A1167" s="1010"/>
      <c r="B1167" s="1351">
        <v>917</v>
      </c>
      <c r="C1167" s="1014">
        <v>1.0205728023755913</v>
      </c>
      <c r="D1167" s="1014">
        <v>0.97457044972740725</v>
      </c>
      <c r="E1167" s="1014">
        <v>1.0045184776367753</v>
      </c>
      <c r="F1167" s="1014">
        <v>1.0270382341969013</v>
      </c>
      <c r="G1167" s="1014">
        <v>0.99989877922443149</v>
      </c>
      <c r="H1167" s="1014">
        <v>0.96087169856715182</v>
      </c>
      <c r="I1167" s="1014">
        <v>1.0062353436110585</v>
      </c>
      <c r="K1167">
        <v>2.4266783507334644</v>
      </c>
      <c r="L1167">
        <v>0</v>
      </c>
      <c r="M1167">
        <v>1.5400615745727049E-3</v>
      </c>
      <c r="N1167">
        <v>0.14200763190690213</v>
      </c>
      <c r="O1167">
        <v>2.0682378120940849E-2</v>
      </c>
      <c r="P1167">
        <v>2.8969478252124595E-2</v>
      </c>
      <c r="Q1167">
        <v>5.4367667252584323E-3</v>
      </c>
      <c r="R1167">
        <v>1.5189053142826603E-3</v>
      </c>
      <c r="S1167">
        <v>0.25504485266482979</v>
      </c>
      <c r="T1167">
        <v>1.4088257000118651</v>
      </c>
      <c r="U1167">
        <v>0.2077155447502185</v>
      </c>
      <c r="V1167">
        <v>0.24423984971449303</v>
      </c>
      <c r="W1167">
        <v>9.3039609812511262E-2</v>
      </c>
      <c r="X1167">
        <v>1.6603735476134487E-2</v>
      </c>
      <c r="Y1167">
        <v>4.1339595584751155E-3</v>
      </c>
    </row>
    <row r="1168" spans="1:25">
      <c r="A1168" s="1010"/>
      <c r="B1168" s="1351">
        <v>918</v>
      </c>
      <c r="C1168" s="1014">
        <v>1.0032740606392923</v>
      </c>
      <c r="D1168" s="1014">
        <v>0.99935769485324721</v>
      </c>
      <c r="E1168" s="1014">
        <v>1.0208978485844205</v>
      </c>
      <c r="F1168" s="1014">
        <v>1.0077651180798612</v>
      </c>
      <c r="G1168" s="1014">
        <v>0.96795041535832194</v>
      </c>
      <c r="H1168" s="1014">
        <v>1.0001429868928582</v>
      </c>
      <c r="I1168" s="1014">
        <v>0.98241842197414631</v>
      </c>
      <c r="K1168">
        <v>2.4147736457123439</v>
      </c>
      <c r="L1168">
        <v>0</v>
      </c>
      <c r="M1168">
        <v>1.5673830075096232E-3</v>
      </c>
      <c r="N1168">
        <v>0.15193487741612849</v>
      </c>
      <c r="O1168">
        <v>2.09339169775704E-2</v>
      </c>
      <c r="P1168">
        <v>2.8927195110401222E-2</v>
      </c>
      <c r="Q1168">
        <v>5.5935953111553218E-3</v>
      </c>
      <c r="R1168">
        <v>1.5466968770848882E-3</v>
      </c>
      <c r="S1168">
        <v>0.25350534585595697</v>
      </c>
      <c r="T1168">
        <v>1.3827459726436024</v>
      </c>
      <c r="U1168">
        <v>0.2113529511797666</v>
      </c>
      <c r="V1168">
        <v>0.23978340465619366</v>
      </c>
      <c r="W1168">
        <v>9.8588880028553941E-2</v>
      </c>
      <c r="X1168">
        <v>1.7218593632504338E-2</v>
      </c>
      <c r="Y1168">
        <v>4.2095990309365654E-3</v>
      </c>
    </row>
    <row r="1169" spans="1:25">
      <c r="A1169" s="1010"/>
      <c r="B1169" s="1351">
        <v>919</v>
      </c>
      <c r="C1169" s="1014">
        <v>1.0102994251816697</v>
      </c>
      <c r="D1169" s="1014">
        <v>0.96690145780944248</v>
      </c>
      <c r="E1169" s="1014">
        <v>0.98770857105431076</v>
      </c>
      <c r="F1169" s="1014">
        <v>1.0166271404933482</v>
      </c>
      <c r="G1169" s="1014">
        <v>1.0005569355586219</v>
      </c>
      <c r="H1169" s="1014">
        <v>1.0019320994666476</v>
      </c>
      <c r="I1169" s="1014">
        <v>1.0290562938448407</v>
      </c>
      <c r="K1169">
        <v>2.4377079543600177</v>
      </c>
      <c r="L1169">
        <v>0</v>
      </c>
      <c r="M1169">
        <v>1.682650276540327E-3</v>
      </c>
      <c r="N1169">
        <v>0.14755460215301069</v>
      </c>
      <c r="O1169">
        <v>2.0917916135711912E-2</v>
      </c>
      <c r="P1169">
        <v>2.8622953295761436E-2</v>
      </c>
      <c r="Q1169">
        <v>5.4063546702413879E-3</v>
      </c>
      <c r="R1169">
        <v>1.6604825176551614E-3</v>
      </c>
      <c r="S1169">
        <v>0.26798374879629433</v>
      </c>
      <c r="T1169">
        <v>1.3941751023703342</v>
      </c>
      <c r="U1169">
        <v>0.20977089124375392</v>
      </c>
      <c r="V1169">
        <v>0.24503463956334195</v>
      </c>
      <c r="W1169">
        <v>9.7647543254412161E-2</v>
      </c>
      <c r="X1169">
        <v>1.609708460089565E-2</v>
      </c>
      <c r="Y1169">
        <v>4.5192860351425156E-3</v>
      </c>
    </row>
    <row r="1170" spans="1:25">
      <c r="A1170" s="1010"/>
      <c r="B1170" s="1351">
        <v>920</v>
      </c>
      <c r="C1170" s="1014">
        <v>1.0167000167660489</v>
      </c>
      <c r="D1170" s="1014">
        <v>1.0130688840118811</v>
      </c>
      <c r="E1170" s="1014">
        <v>0.98931215662773997</v>
      </c>
      <c r="F1170" s="1014">
        <v>0.95926342393766528</v>
      </c>
      <c r="G1170" s="1014">
        <v>1.0156055358354834</v>
      </c>
      <c r="H1170" s="1014">
        <v>0.98242814209032714</v>
      </c>
      <c r="I1170" s="1014">
        <v>0.97841882688821524</v>
      </c>
      <c r="K1170">
        <v>2.3267449082352667</v>
      </c>
      <c r="L1170">
        <v>0</v>
      </c>
      <c r="M1170">
        <v>1.617391446192462E-3</v>
      </c>
      <c r="N1170">
        <v>0.14248355990884787</v>
      </c>
      <c r="O1170">
        <v>2.0575064142196644E-2</v>
      </c>
      <c r="P1170">
        <v>2.7303734741556739E-2</v>
      </c>
      <c r="Q1170">
        <v>5.3263760064958029E-3</v>
      </c>
      <c r="R1170">
        <v>1.5956604034595397E-3</v>
      </c>
      <c r="S1170">
        <v>0.24575477310389254</v>
      </c>
      <c r="T1170">
        <v>1.3155412370768376</v>
      </c>
      <c r="U1170">
        <v>0.20845566909206645</v>
      </c>
      <c r="V1170">
        <v>0.24721071747130546</v>
      </c>
      <c r="W1170">
        <v>9.4201024064060321E-2</v>
      </c>
      <c r="X1170">
        <v>1.5571622061829951E-2</v>
      </c>
      <c r="Y1170">
        <v>4.3428616089062344E-3</v>
      </c>
    </row>
    <row r="1171" spans="1:25">
      <c r="A1171" s="1010"/>
      <c r="B1171" s="1351">
        <v>921</v>
      </c>
      <c r="C1171" s="1014">
        <v>0.97556013181395851</v>
      </c>
      <c r="D1171" s="1014">
        <v>0.98989674620840618</v>
      </c>
      <c r="E1171" s="1014">
        <v>0.99072898155180666</v>
      </c>
      <c r="F1171" s="1014">
        <v>1.0012117400069167</v>
      </c>
      <c r="G1171" s="1014">
        <v>0.98988857615444126</v>
      </c>
      <c r="H1171" s="1014">
        <v>0.97736459923716679</v>
      </c>
      <c r="I1171" s="1014">
        <v>0.9606167375379423</v>
      </c>
      <c r="K1171">
        <v>2.4128168628636408</v>
      </c>
      <c r="L1171">
        <v>0</v>
      </c>
      <c r="M1171">
        <v>1.6805295959877416E-3</v>
      </c>
      <c r="N1171">
        <v>0.14867074331775754</v>
      </c>
      <c r="O1171">
        <v>2.1553123497756489E-2</v>
      </c>
      <c r="P1171">
        <v>2.8319091460007481E-2</v>
      </c>
      <c r="Q1171">
        <v>5.5875674337464267E-3</v>
      </c>
      <c r="R1171">
        <v>1.6578332585805572E-3</v>
      </c>
      <c r="S1171">
        <v>0.2539842427343425</v>
      </c>
      <c r="T1171">
        <v>1.3731000985682338</v>
      </c>
      <c r="U1171">
        <v>0.2172513110355006</v>
      </c>
      <c r="V1171">
        <v>0.24540017181707019</v>
      </c>
      <c r="W1171">
        <v>9.8208204675045166E-2</v>
      </c>
      <c r="X1171">
        <v>1.6252929036319329E-2</v>
      </c>
      <c r="Y1171">
        <v>4.5120756252694611E-3</v>
      </c>
    </row>
    <row r="1172" spans="1:25">
      <c r="A1172" s="1010"/>
      <c r="B1172" s="1351">
        <v>922</v>
      </c>
      <c r="C1172" s="1014">
        <v>1.0422552687216209</v>
      </c>
      <c r="D1172" s="1014">
        <v>0.96883173566560388</v>
      </c>
      <c r="E1172" s="1014">
        <v>1.0291891719441391</v>
      </c>
      <c r="F1172" s="1014">
        <v>0.9924222928741695</v>
      </c>
      <c r="G1172" s="1014">
        <v>0.98425061745884235</v>
      </c>
      <c r="H1172" s="1014">
        <v>0.9868630600956102</v>
      </c>
      <c r="I1172" s="1014">
        <v>1.0422767880857986</v>
      </c>
      <c r="K1172">
        <v>2.3841063105555822</v>
      </c>
      <c r="L1172">
        <v>0</v>
      </c>
      <c r="M1172">
        <v>1.4732671537974022E-3</v>
      </c>
      <c r="N1172">
        <v>0.14640123175633082</v>
      </c>
      <c r="O1172">
        <v>2.0294304688260663E-2</v>
      </c>
      <c r="P1172">
        <v>2.882459028990253E-2</v>
      </c>
      <c r="Q1172">
        <v>5.4674472060250385E-3</v>
      </c>
      <c r="R1172">
        <v>1.4535615007535243E-3</v>
      </c>
      <c r="S1172">
        <v>0.26189317679768759</v>
      </c>
      <c r="T1172">
        <v>1.3618730519253299</v>
      </c>
      <c r="U1172">
        <v>0.20347547214240194</v>
      </c>
      <c r="V1172">
        <v>0.24020997743746003</v>
      </c>
      <c r="W1172">
        <v>9.4540263680641889E-2</v>
      </c>
      <c r="X1172">
        <v>1.7190385045952526E-2</v>
      </c>
      <c r="Y1172">
        <v>3.9561152386311475E-3</v>
      </c>
    </row>
    <row r="1173" spans="1:25">
      <c r="A1173" s="1010"/>
      <c r="B1173" s="1351">
        <v>923</v>
      </c>
      <c r="C1173" s="1014">
        <v>1.0331444506176202</v>
      </c>
      <c r="D1173" s="1014">
        <v>0.99495195095960487</v>
      </c>
      <c r="E1173" s="1014">
        <v>0.97869183302515639</v>
      </c>
      <c r="F1173" s="1014">
        <v>0.98504959272532688</v>
      </c>
      <c r="G1173" s="1014">
        <v>1.0328616288790153</v>
      </c>
      <c r="H1173" s="1014">
        <v>1.0048913660004555</v>
      </c>
      <c r="I1173" s="1014">
        <v>1.0227212082054453</v>
      </c>
      <c r="K1173">
        <v>2.3723742889645871</v>
      </c>
      <c r="L1173">
        <v>0</v>
      </c>
      <c r="M1173">
        <v>1.6708319558538117E-3</v>
      </c>
      <c r="N1173">
        <v>0.14258153675936938</v>
      </c>
      <c r="O1173">
        <v>2.0321301738978594E-2</v>
      </c>
      <c r="P1173">
        <v>2.7688875730981524E-2</v>
      </c>
      <c r="Q1173">
        <v>5.2043270369131218E-3</v>
      </c>
      <c r="R1173">
        <v>1.6488847176906712E-3</v>
      </c>
      <c r="S1173">
        <v>0.25690064983187749</v>
      </c>
      <c r="T1173">
        <v>1.3506790654558805</v>
      </c>
      <c r="U1173">
        <v>0.20510265754007692</v>
      </c>
      <c r="V1173">
        <v>0.2492225333875093</v>
      </c>
      <c r="W1173">
        <v>9.4870326368631602E-2</v>
      </c>
      <c r="X1173">
        <v>1.5337241705675748E-2</v>
      </c>
      <c r="Y1173">
        <v>4.4877206468529043E-3</v>
      </c>
    </row>
    <row r="1174" spans="1:25">
      <c r="A1174" s="1010"/>
      <c r="B1174" s="1351">
        <v>924</v>
      </c>
      <c r="C1174" s="1014">
        <v>0.97819601163573811</v>
      </c>
      <c r="D1174" s="1014">
        <v>0.99542072725387454</v>
      </c>
      <c r="E1174" s="1014">
        <v>1.0190267093935454</v>
      </c>
      <c r="F1174" s="1014">
        <v>1.0174571811023461</v>
      </c>
      <c r="G1174" s="1014">
        <v>0.97185969038674236</v>
      </c>
      <c r="H1174" s="1014">
        <v>0.99594330461721015</v>
      </c>
      <c r="I1174" s="1014">
        <v>0.96929054786657987</v>
      </c>
      <c r="K1174">
        <v>2.4454082396573149</v>
      </c>
      <c r="L1174">
        <v>0</v>
      </c>
      <c r="M1174">
        <v>1.6084563676612483E-3</v>
      </c>
      <c r="N1174">
        <v>0.1550299526671719</v>
      </c>
      <c r="O1174">
        <v>2.1487979137242964E-2</v>
      </c>
      <c r="P1174">
        <v>2.9221127820729713E-2</v>
      </c>
      <c r="Q1174">
        <v>5.7309713226809415E-3</v>
      </c>
      <c r="R1174">
        <v>1.5871386411427527E-3</v>
      </c>
      <c r="S1174">
        <v>0.25666821935237083</v>
      </c>
      <c r="T1174">
        <v>1.396003032393005</v>
      </c>
      <c r="U1174">
        <v>0.21676485647667493</v>
      </c>
      <c r="V1174">
        <v>0.24205179278334515</v>
      </c>
      <c r="W1174">
        <v>0.10070742946670587</v>
      </c>
      <c r="X1174">
        <v>1.744452778282702E-2</v>
      </c>
      <c r="Y1174">
        <v>4.319668181078133E-3</v>
      </c>
    </row>
    <row r="1175" spans="1:25">
      <c r="A1175" s="1010"/>
      <c r="B1175" s="1351">
        <v>925</v>
      </c>
      <c r="C1175" s="1014">
        <v>0.96953489192822195</v>
      </c>
      <c r="D1175" s="1014">
        <v>0.97492165815916587</v>
      </c>
      <c r="E1175" s="1014">
        <v>0.98223010948992973</v>
      </c>
      <c r="F1175" s="1014">
        <v>1.0103498905208852</v>
      </c>
      <c r="G1175" s="1014">
        <v>1.0075525166504642</v>
      </c>
      <c r="H1175" s="1014">
        <v>0.97810083702304296</v>
      </c>
      <c r="I1175" s="1014">
        <v>0.99697506596285324</v>
      </c>
      <c r="K1175">
        <v>2.4447135269993563</v>
      </c>
      <c r="L1175">
        <v>0</v>
      </c>
      <c r="M1175">
        <v>1.7280659558445112E-3</v>
      </c>
      <c r="N1175">
        <v>0.14899843462982959</v>
      </c>
      <c r="O1175">
        <v>2.1754080386048445E-2</v>
      </c>
      <c r="P1175">
        <v>2.8547539435848868E-2</v>
      </c>
      <c r="Q1175">
        <v>5.5913314257228404E-3</v>
      </c>
      <c r="R1175">
        <v>1.7047451849615252E-3</v>
      </c>
      <c r="S1175">
        <v>0.26727889996359777</v>
      </c>
      <c r="T1175">
        <v>1.3854473035862001</v>
      </c>
      <c r="U1175">
        <v>0.21857153456378722</v>
      </c>
      <c r="V1175">
        <v>0.24884577776281103</v>
      </c>
      <c r="W1175">
        <v>9.892846719274799E-2</v>
      </c>
      <c r="X1175">
        <v>1.613372439927644E-2</v>
      </c>
      <c r="Y1175">
        <v>4.6397544243660825E-3</v>
      </c>
    </row>
    <row r="1176" spans="1:25">
      <c r="A1176" s="1010"/>
      <c r="B1176" s="1351">
        <v>926</v>
      </c>
      <c r="C1176" s="1014">
        <v>0.99188109556345661</v>
      </c>
      <c r="D1176" s="1014">
        <v>1.0021106148601739</v>
      </c>
      <c r="E1176" s="1014">
        <v>0.98725838519212661</v>
      </c>
      <c r="F1176" s="1014">
        <v>1.0356444219817103</v>
      </c>
      <c r="G1176" s="1014">
        <v>1.0177986856024714</v>
      </c>
      <c r="H1176" s="1014">
        <v>0.98806482547849073</v>
      </c>
      <c r="I1176" s="1014">
        <v>1.0341314129084225</v>
      </c>
      <c r="K1176">
        <v>2.4719248678370622</v>
      </c>
      <c r="L1176">
        <v>0</v>
      </c>
      <c r="M1176">
        <v>1.6784905646189956E-3</v>
      </c>
      <c r="N1176">
        <v>0.1469620465838693</v>
      </c>
      <c r="O1176">
        <v>2.1139045745941033E-2</v>
      </c>
      <c r="P1176">
        <v>2.9076288616914116E-2</v>
      </c>
      <c r="Q1176">
        <v>5.4610178978372033E-3</v>
      </c>
      <c r="R1176">
        <v>1.656067256545741E-3</v>
      </c>
      <c r="S1176">
        <v>0.26818603266278229</v>
      </c>
      <c r="T1176">
        <v>1.4202448324281747</v>
      </c>
      <c r="U1176">
        <v>0.21366459751777017</v>
      </c>
      <c r="V1176">
        <v>0.24912827827075482</v>
      </c>
      <c r="W1176">
        <v>9.7281690930341044E-2</v>
      </c>
      <c r="X1176">
        <v>1.6296191340857052E-2</v>
      </c>
      <c r="Y1176">
        <v>4.5072691498931079E-3</v>
      </c>
    </row>
    <row r="1177" spans="1:25">
      <c r="A1177" s="1010"/>
      <c r="B1177" s="1351">
        <v>927</v>
      </c>
      <c r="C1177" s="1014">
        <v>0.98379531920089447</v>
      </c>
      <c r="D1177" s="1014">
        <v>0.96911193810251395</v>
      </c>
      <c r="E1177" s="1014">
        <v>0.99014667225173369</v>
      </c>
      <c r="F1177" s="1014">
        <v>0.99314534888402062</v>
      </c>
      <c r="G1177" s="1014">
        <v>1.0157689687252243</v>
      </c>
      <c r="H1177" s="1014">
        <v>1.0131402974395782</v>
      </c>
      <c r="I1177" s="1014">
        <v>0.98043896700721833</v>
      </c>
      <c r="K1177">
        <v>2.4208183455975756</v>
      </c>
      <c r="L1177">
        <v>0</v>
      </c>
      <c r="M1177">
        <v>1.7376397693661661E-3</v>
      </c>
      <c r="N1177">
        <v>0.15352687570095447</v>
      </c>
      <c r="O1177">
        <v>2.1472322964519969E-2</v>
      </c>
      <c r="P1177">
        <v>2.8305114217598615E-2</v>
      </c>
      <c r="Q1177">
        <v>5.5633455632405999E-3</v>
      </c>
      <c r="R1177">
        <v>1.715000814353903E-3</v>
      </c>
      <c r="S1177">
        <v>0.26287610949746332</v>
      </c>
      <c r="T1177">
        <v>1.3620250574104782</v>
      </c>
      <c r="U1177">
        <v>0.21543071616961942</v>
      </c>
      <c r="V1177">
        <v>0.24928779741703425</v>
      </c>
      <c r="W1177">
        <v>0.10145141700960066</v>
      </c>
      <c r="X1177">
        <v>1.6234561735269618E-2</v>
      </c>
      <c r="Y1177">
        <v>4.6676668668048137E-3</v>
      </c>
    </row>
    <row r="1178" spans="1:25">
      <c r="A1178" s="1010"/>
      <c r="B1178" s="1351">
        <v>928</v>
      </c>
      <c r="C1178" s="1014">
        <v>0.99991793655270755</v>
      </c>
      <c r="D1178" s="1014">
        <v>0.97948077699991953</v>
      </c>
      <c r="E1178" s="1014">
        <v>0.97389114195650783</v>
      </c>
      <c r="F1178" s="1014">
        <v>1.0023532523828598</v>
      </c>
      <c r="G1178" s="1014">
        <v>1.0039068843359187</v>
      </c>
      <c r="H1178" s="1014">
        <v>0.98057478080479754</v>
      </c>
      <c r="I1178" s="1014">
        <v>0.99339104257003052</v>
      </c>
      <c r="K1178">
        <v>2.4040437662640053</v>
      </c>
      <c r="L1178">
        <v>0</v>
      </c>
      <c r="M1178">
        <v>1.7072496094915177E-3</v>
      </c>
      <c r="N1178">
        <v>0.14354041782206226</v>
      </c>
      <c r="O1178">
        <v>2.1065891440528259E-2</v>
      </c>
      <c r="P1178">
        <v>2.7967289340714123E-2</v>
      </c>
      <c r="Q1178">
        <v>5.3687034377168713E-3</v>
      </c>
      <c r="R1178">
        <v>1.6842678899227938E-3</v>
      </c>
      <c r="S1178">
        <v>0.25775931224349924</v>
      </c>
      <c r="T1178">
        <v>1.3743019117992814</v>
      </c>
      <c r="U1178">
        <v>0.21190171476973024</v>
      </c>
      <c r="V1178">
        <v>0.24629873469099561</v>
      </c>
      <c r="W1178">
        <v>9.5786418993396169E-2</v>
      </c>
      <c r="X1178">
        <v>1.5492331468037468E-2</v>
      </c>
      <c r="Y1178">
        <v>4.5840219776091505E-3</v>
      </c>
    </row>
    <row r="1179" spans="1:25">
      <c r="A1179" s="1010"/>
      <c r="B1179" s="1351">
        <v>929</v>
      </c>
      <c r="C1179" s="1014">
        <v>0.98991130409687556</v>
      </c>
      <c r="D1179" s="1014">
        <v>0.9554503002393695</v>
      </c>
      <c r="E1179" s="1014">
        <v>1.0264601841214136</v>
      </c>
      <c r="F1179" s="1014">
        <v>1.0037115630024507</v>
      </c>
      <c r="G1179" s="1014">
        <v>0.96698865406166568</v>
      </c>
      <c r="H1179" s="1014">
        <v>0.9996449226765235</v>
      </c>
      <c r="I1179" s="1014">
        <v>1.006911183067734</v>
      </c>
      <c r="K1179">
        <v>2.4369794098128166</v>
      </c>
      <c r="L1179">
        <v>0</v>
      </c>
      <c r="M1179">
        <v>1.5850607559282485E-3</v>
      </c>
      <c r="N1179">
        <v>0.15624675942338168</v>
      </c>
      <c r="O1179">
        <v>2.1431039738305284E-2</v>
      </c>
      <c r="P1179">
        <v>2.923897825626828E-2</v>
      </c>
      <c r="Q1179">
        <v>5.7581168994670683E-3</v>
      </c>
      <c r="R1179">
        <v>1.5641308938035006E-3</v>
      </c>
      <c r="S1179">
        <v>0.26936486862326608</v>
      </c>
      <c r="T1179">
        <v>1.3773054344110995</v>
      </c>
      <c r="U1179">
        <v>0.21422526893304702</v>
      </c>
      <c r="V1179">
        <v>0.24044052387814877</v>
      </c>
      <c r="W1179">
        <v>0.10105835944037522</v>
      </c>
      <c r="X1179">
        <v>1.7673941394257372E-2</v>
      </c>
      <c r="Y1179">
        <v>4.257048677322562E-3</v>
      </c>
    </row>
    <row r="1180" spans="1:25">
      <c r="A1180" s="1010"/>
      <c r="B1180" s="1351">
        <v>930</v>
      </c>
      <c r="C1180" s="1014">
        <v>1.0123684829224704</v>
      </c>
      <c r="D1180" s="1014">
        <v>0.99628438927383489</v>
      </c>
      <c r="E1180" s="1014">
        <v>0.98190302434879007</v>
      </c>
      <c r="F1180" s="1014">
        <v>1.0176405079277298</v>
      </c>
      <c r="G1180" s="1014">
        <v>1.0109091996891366</v>
      </c>
      <c r="H1180" s="1014">
        <v>0.99673007657370993</v>
      </c>
      <c r="I1180" s="1014">
        <v>0.95842143168801841</v>
      </c>
      <c r="K1180">
        <v>2.411663268650976</v>
      </c>
      <c r="L1180">
        <v>0</v>
      </c>
      <c r="M1180">
        <v>1.6795846968597264E-3</v>
      </c>
      <c r="N1180">
        <v>0.14471201613282889</v>
      </c>
      <c r="O1180">
        <v>2.0734333536901736E-2</v>
      </c>
      <c r="P1180">
        <v>2.8220121453405106E-2</v>
      </c>
      <c r="Q1180">
        <v>5.3274621449597246E-3</v>
      </c>
      <c r="R1180">
        <v>1.6573418401543787E-3</v>
      </c>
      <c r="S1180">
        <v>0.24489247487484539</v>
      </c>
      <c r="T1180">
        <v>1.3954374263754974</v>
      </c>
      <c r="U1180">
        <v>0.20932261116085205</v>
      </c>
      <c r="V1180">
        <v>0.24669843398056207</v>
      </c>
      <c r="W1180">
        <v>9.610141937658688E-2</v>
      </c>
      <c r="X1180">
        <v>1.572847432493097E-2</v>
      </c>
      <c r="Y1180">
        <v>4.5107381463094448E-3</v>
      </c>
    </row>
    <row r="1181" spans="1:25">
      <c r="A1181" s="1010"/>
      <c r="B1181" s="1351">
        <v>931</v>
      </c>
      <c r="C1181" s="1014">
        <v>0.99846988782153934</v>
      </c>
      <c r="D1181" s="1014">
        <v>0.99635817479864486</v>
      </c>
      <c r="E1181" s="1014">
        <v>0.97087709744467632</v>
      </c>
      <c r="F1181" s="1014">
        <v>0.99303044580657729</v>
      </c>
      <c r="G1181" s="1014">
        <v>0.97061240383616132</v>
      </c>
      <c r="H1181" s="1014">
        <v>0.97749714188624282</v>
      </c>
      <c r="I1181" s="1014">
        <v>1.0233992378325003</v>
      </c>
      <c r="K1181">
        <v>2.3891849564348093</v>
      </c>
      <c r="L1181">
        <v>0</v>
      </c>
      <c r="M1181">
        <v>1.7085679993144186E-3</v>
      </c>
      <c r="N1181">
        <v>0.14234035235048026</v>
      </c>
      <c r="O1181">
        <v>2.1015303939690123E-2</v>
      </c>
      <c r="P1181">
        <v>2.7735577609107463E-2</v>
      </c>
      <c r="Q1181">
        <v>5.3393592779170688E-3</v>
      </c>
      <c r="R1181">
        <v>1.6854961190000662E-3</v>
      </c>
      <c r="S1181">
        <v>0.26335665872929487</v>
      </c>
      <c r="T1181">
        <v>1.3614552784405087</v>
      </c>
      <c r="U1181">
        <v>0.21219875674555375</v>
      </c>
      <c r="V1181">
        <v>0.24070992640574534</v>
      </c>
      <c r="W1181">
        <v>9.5159675379485401E-2</v>
      </c>
      <c r="X1181">
        <v>1.5309774625068807E-2</v>
      </c>
      <c r="Y1181">
        <v>4.5873648122718783E-3</v>
      </c>
    </row>
    <row r="1182" spans="1:25">
      <c r="A1182" s="1010"/>
      <c r="B1182" s="1351">
        <v>932</v>
      </c>
      <c r="C1182" s="1014">
        <v>0.99303900768198161</v>
      </c>
      <c r="D1182" s="1014">
        <v>1.0052319843667188</v>
      </c>
      <c r="E1182" s="1014">
        <v>0.98826183805482093</v>
      </c>
      <c r="F1182" s="1014">
        <v>0.99483212895821294</v>
      </c>
      <c r="G1182" s="1014">
        <v>1.0248976536334791</v>
      </c>
      <c r="H1182" s="1014">
        <v>0.97135078116376161</v>
      </c>
      <c r="I1182" s="1014">
        <v>1.0245645195565523</v>
      </c>
      <c r="K1182">
        <v>2.4065586408742816</v>
      </c>
      <c r="L1182">
        <v>0</v>
      </c>
      <c r="M1182">
        <v>1.6436278220943188E-3</v>
      </c>
      <c r="N1182">
        <v>0.14431330997226505</v>
      </c>
      <c r="O1182">
        <v>2.1100624256001031E-2</v>
      </c>
      <c r="P1182">
        <v>2.8290497265393521E-2</v>
      </c>
      <c r="Q1182">
        <v>5.4566306597080552E-3</v>
      </c>
      <c r="R1182">
        <v>1.6212924285680776E-3</v>
      </c>
      <c r="S1182">
        <v>0.26352533158525593</v>
      </c>
      <c r="T1182">
        <v>1.3642978852242185</v>
      </c>
      <c r="U1182">
        <v>0.21341890578819275</v>
      </c>
      <c r="V1182">
        <v>0.25026392368753331</v>
      </c>
      <c r="W1182">
        <v>9.5470847327245159E-2</v>
      </c>
      <c r="X1182">
        <v>1.6030396970334433E-2</v>
      </c>
      <c r="Y1182">
        <v>4.4126235316568688E-3</v>
      </c>
    </row>
    <row r="1183" spans="1:25">
      <c r="A1183" s="1010"/>
      <c r="B1183" s="1351">
        <v>933</v>
      </c>
      <c r="C1183" s="1014">
        <v>1.008672898452587</v>
      </c>
      <c r="D1183" s="1014">
        <v>0.97321590863757601</v>
      </c>
      <c r="E1183" s="1014">
        <v>0.96442758968665721</v>
      </c>
      <c r="F1183" s="1014">
        <v>0.98313689794709924</v>
      </c>
      <c r="G1183" s="1014">
        <v>0.99285579236123445</v>
      </c>
      <c r="H1183" s="1014">
        <v>1.0061514721872951</v>
      </c>
      <c r="I1183" s="1014">
        <v>0.98387160510464333</v>
      </c>
      <c r="K1183">
        <v>2.3730656374213619</v>
      </c>
      <c r="L1183">
        <v>0</v>
      </c>
      <c r="M1183">
        <v>1.7733337019328298E-3</v>
      </c>
      <c r="N1183">
        <v>0.14493489893165371</v>
      </c>
      <c r="O1183">
        <v>2.0906314245022581E-2</v>
      </c>
      <c r="P1183">
        <v>2.733186989589112E-2</v>
      </c>
      <c r="Q1183">
        <v>5.2767238424269005E-3</v>
      </c>
      <c r="R1183">
        <v>1.7500692235671623E-3</v>
      </c>
      <c r="S1183">
        <v>0.25595277684902096</v>
      </c>
      <c r="T1183">
        <v>1.3477549078565743</v>
      </c>
      <c r="U1183">
        <v>0.21003056557177913</v>
      </c>
      <c r="V1183">
        <v>0.24390350507578079</v>
      </c>
      <c r="W1183">
        <v>9.727603152940674E-2</v>
      </c>
      <c r="X1183">
        <v>1.4958196585786229E-2</v>
      </c>
      <c r="Y1183">
        <v>4.7631115163853151E-3</v>
      </c>
    </row>
    <row r="1184" spans="1:25">
      <c r="A1184" s="1010"/>
      <c r="B1184" s="1351">
        <v>934</v>
      </c>
      <c r="C1184" s="1014">
        <v>1.0075315004737639</v>
      </c>
      <c r="D1184" s="1014">
        <v>1.0085442221144438</v>
      </c>
      <c r="E1184" s="1014">
        <v>0.97327691157076213</v>
      </c>
      <c r="F1184" s="1014">
        <v>0.97858673005615104</v>
      </c>
      <c r="G1184" s="1014">
        <v>0.97240671321972971</v>
      </c>
      <c r="H1184" s="1014">
        <v>1.0231310297453899</v>
      </c>
      <c r="I1184" s="1014">
        <v>0.99471855322437275</v>
      </c>
      <c r="K1184">
        <v>2.3680549381440255</v>
      </c>
      <c r="L1184">
        <v>0</v>
      </c>
      <c r="M1184">
        <v>1.7587759834744639E-3</v>
      </c>
      <c r="N1184">
        <v>0.14768168110257796</v>
      </c>
      <c r="O1184">
        <v>2.0772242015525699E-2</v>
      </c>
      <c r="P1184">
        <v>2.7394600786952435E-2</v>
      </c>
      <c r="Q1184">
        <v>5.2905502665211044E-3</v>
      </c>
      <c r="R1184">
        <v>1.7360854091380952E-3</v>
      </c>
      <c r="S1184">
        <v>0.25596989867925213</v>
      </c>
      <c r="T1184">
        <v>1.3417032881552005</v>
      </c>
      <c r="U1184">
        <v>0.2102983724952166</v>
      </c>
      <c r="V1184">
        <v>0.24044629396975922</v>
      </c>
      <c r="W1184">
        <v>9.8586682922856453E-2</v>
      </c>
      <c r="X1184">
        <v>1.5208966141225272E-2</v>
      </c>
      <c r="Y1184">
        <v>4.7250521832725816E-3</v>
      </c>
    </row>
    <row r="1185" spans="1:25">
      <c r="A1185" s="1010"/>
      <c r="B1185" s="1351">
        <v>935</v>
      </c>
      <c r="C1185" s="1014">
        <v>1.00117997909893</v>
      </c>
      <c r="D1185" s="1014">
        <v>0.96740678756591802</v>
      </c>
      <c r="E1185" s="1014">
        <v>0.99524803666041306</v>
      </c>
      <c r="F1185" s="1014">
        <v>1.0159714833734048</v>
      </c>
      <c r="G1185" s="1014">
        <v>1.0348013804755747</v>
      </c>
      <c r="H1185" s="1014">
        <v>1.0074101167463498</v>
      </c>
      <c r="I1185" s="1014">
        <v>1.0278971944184712</v>
      </c>
      <c r="K1185">
        <v>2.4538000997377578</v>
      </c>
      <c r="L1185">
        <v>0</v>
      </c>
      <c r="M1185">
        <v>1.6806099864685839E-3</v>
      </c>
      <c r="N1185">
        <v>0.15078428187144771</v>
      </c>
      <c r="O1185">
        <v>2.111105253699511E-2</v>
      </c>
      <c r="P1185">
        <v>2.8924132643328163E-2</v>
      </c>
      <c r="Q1185">
        <v>5.4979766427563637E-3</v>
      </c>
      <c r="R1185">
        <v>1.6585895029724749E-3</v>
      </c>
      <c r="S1185">
        <v>0.27059506567496266</v>
      </c>
      <c r="T1185">
        <v>1.3934413344950518</v>
      </c>
      <c r="U1185">
        <v>0.21170733745786319</v>
      </c>
      <c r="V1185">
        <v>0.25141851893582118</v>
      </c>
      <c r="W1185">
        <v>9.9335707306524051E-2</v>
      </c>
      <c r="X1185">
        <v>1.6492578783292286E-2</v>
      </c>
      <c r="Y1185">
        <v>4.5141338732083659E-3</v>
      </c>
    </row>
    <row r="1186" spans="1:25">
      <c r="A1186" s="1010"/>
      <c r="B1186" s="1351">
        <v>936</v>
      </c>
      <c r="C1186" s="1014">
        <v>1.0016539628123451</v>
      </c>
      <c r="D1186" s="1014">
        <v>1.0043353096760215</v>
      </c>
      <c r="E1186" s="1014">
        <v>0.99996913939692667</v>
      </c>
      <c r="F1186" s="1014">
        <v>0.99738971722416903</v>
      </c>
      <c r="G1186" s="1014">
        <v>1.0133231905514291</v>
      </c>
      <c r="H1186" s="1014">
        <v>1.0007760414925464</v>
      </c>
      <c r="I1186" s="1014">
        <v>1.0005223332935225</v>
      </c>
      <c r="K1186">
        <v>2.4079973224769633</v>
      </c>
      <c r="L1186">
        <v>0</v>
      </c>
      <c r="M1186">
        <v>1.6389329706506905E-3</v>
      </c>
      <c r="N1186">
        <v>0.14914466883706146</v>
      </c>
      <c r="O1186">
        <v>2.0930993399091099E-2</v>
      </c>
      <c r="P1186">
        <v>2.8453963302485195E-2</v>
      </c>
      <c r="Q1186">
        <v>5.4770479631746551E-3</v>
      </c>
      <c r="R1186">
        <v>1.6173162151390675E-3</v>
      </c>
      <c r="S1186">
        <v>0.25783501038334727</v>
      </c>
      <c r="T1186">
        <v>1.3680575692130568</v>
      </c>
      <c r="U1186">
        <v>0.21162326244768423</v>
      </c>
      <c r="V1186">
        <v>0.24770341908696883</v>
      </c>
      <c r="W1186">
        <v>9.7979705838174613E-2</v>
      </c>
      <c r="X1186">
        <v>1.6411497171966351E-2</v>
      </c>
      <c r="Y1186">
        <v>4.4018015894615086E-3</v>
      </c>
    </row>
    <row r="1187" spans="1:25">
      <c r="A1187" s="1010"/>
      <c r="B1187" s="1351">
        <v>937</v>
      </c>
      <c r="C1187" s="1014">
        <v>1.0237106392608686</v>
      </c>
      <c r="D1187" s="1014">
        <v>0.97629382627528938</v>
      </c>
      <c r="E1187" s="1014">
        <v>1.0385985307058156</v>
      </c>
      <c r="F1187" s="1014">
        <v>0.98899102858062171</v>
      </c>
      <c r="G1187" s="1014">
        <v>1.0044843937461512</v>
      </c>
      <c r="H1187" s="1014">
        <v>1.01713787475239</v>
      </c>
      <c r="I1187" s="1014">
        <v>1.0156906808029467</v>
      </c>
      <c r="K1187">
        <v>2.402038061084756</v>
      </c>
      <c r="L1187">
        <v>0</v>
      </c>
      <c r="M1187">
        <v>1.5133804012719852E-3</v>
      </c>
      <c r="N1187">
        <v>0.15477537800598154</v>
      </c>
      <c r="O1187">
        <v>2.0633254280171813E-2</v>
      </c>
      <c r="P1187">
        <v>2.9067763466692025E-2</v>
      </c>
      <c r="Q1187">
        <v>5.6106059925414876E-3</v>
      </c>
      <c r="R1187">
        <v>1.4937407171906421E-3</v>
      </c>
      <c r="S1187">
        <v>0.2614792571491707</v>
      </c>
      <c r="T1187">
        <v>1.357367012712998</v>
      </c>
      <c r="U1187">
        <v>0.20719303054431892</v>
      </c>
      <c r="V1187">
        <v>0.24471453392366116</v>
      </c>
      <c r="W1187">
        <v>9.9405200129373539E-2</v>
      </c>
      <c r="X1187">
        <v>1.7746194743230199E-2</v>
      </c>
      <c r="Y1187">
        <v>4.0654698206978443E-3</v>
      </c>
    </row>
    <row r="1188" spans="1:25">
      <c r="A1188" s="1010"/>
      <c r="B1188" s="1351">
        <v>938</v>
      </c>
      <c r="C1188" s="1014">
        <v>1.0286513415637648</v>
      </c>
      <c r="D1188" s="1014">
        <v>1.0016981450716991</v>
      </c>
      <c r="E1188" s="1014">
        <v>0.97908908520745741</v>
      </c>
      <c r="F1188" s="1014">
        <v>0.99609872806902289</v>
      </c>
      <c r="G1188" s="1014">
        <v>1.0025334890109618</v>
      </c>
      <c r="H1188" s="1014">
        <v>1.03968765427412</v>
      </c>
      <c r="I1188" s="1014">
        <v>1.0159583487139656</v>
      </c>
      <c r="K1188">
        <v>2.3946193744711142</v>
      </c>
      <c r="L1188">
        <v>0</v>
      </c>
      <c r="M1188">
        <v>1.7322360306925818E-3</v>
      </c>
      <c r="N1188">
        <v>0.14806521842439124</v>
      </c>
      <c r="O1188">
        <v>2.0379999482301146E-2</v>
      </c>
      <c r="P1188">
        <v>2.7866655893503442E-2</v>
      </c>
      <c r="Q1188">
        <v>5.2214687784941363E-3</v>
      </c>
      <c r="R1188">
        <v>1.7102437434540917E-3</v>
      </c>
      <c r="S1188">
        <v>0.2583746151552837</v>
      </c>
      <c r="T1188">
        <v>1.3658379260650286</v>
      </c>
      <c r="U1188">
        <v>0.2059998535655671</v>
      </c>
      <c r="V1188">
        <v>0.24430247375664324</v>
      </c>
      <c r="W1188">
        <v>9.8495386568781026E-2</v>
      </c>
      <c r="X1188">
        <v>1.5443049380371408E-2</v>
      </c>
      <c r="Y1188">
        <v>4.6547196879835268E-3</v>
      </c>
    </row>
    <row r="1189" spans="1:25">
      <c r="A1189" s="1010"/>
      <c r="B1189" s="1351">
        <v>939</v>
      </c>
      <c r="C1189" s="1014">
        <v>1.0048180815991699</v>
      </c>
      <c r="D1189" s="1014">
        <v>0.96386286723555692</v>
      </c>
      <c r="E1189" s="1014">
        <v>1.0273050183305126</v>
      </c>
      <c r="F1189" s="1014">
        <v>1.0111468640287589</v>
      </c>
      <c r="G1189" s="1014">
        <v>0.97178119731686741</v>
      </c>
      <c r="H1189" s="1014">
        <v>1.0017060180205606</v>
      </c>
      <c r="I1189" s="1014">
        <v>0.98374136433352299</v>
      </c>
      <c r="K1189">
        <v>2.428540766105308</v>
      </c>
      <c r="L1189">
        <v>0</v>
      </c>
      <c r="M1189">
        <v>1.5590049827322108E-3</v>
      </c>
      <c r="N1189">
        <v>0.15407454214761698</v>
      </c>
      <c r="O1189">
        <v>2.1072989557733145E-2</v>
      </c>
      <c r="P1189">
        <v>2.9199229859951551E-2</v>
      </c>
      <c r="Q1189">
        <v>5.666654943843062E-3</v>
      </c>
      <c r="R1189">
        <v>1.5384615299257238E-3</v>
      </c>
      <c r="S1189">
        <v>0.25829487868045126</v>
      </c>
      <c r="T1189">
        <v>1.3875268194611832</v>
      </c>
      <c r="U1189">
        <v>0.21105005852781955</v>
      </c>
      <c r="V1189">
        <v>0.24032005163119174</v>
      </c>
      <c r="W1189">
        <v>9.9604419449786916E-2</v>
      </c>
      <c r="X1189">
        <v>1.7564480167786382E-2</v>
      </c>
      <c r="Y1189">
        <v>4.1871851307507795E-3</v>
      </c>
    </row>
    <row r="1190" spans="1:25">
      <c r="A1190" s="1010"/>
      <c r="B1190" s="1351">
        <v>940</v>
      </c>
      <c r="C1190" s="1014">
        <v>0.99810234179365742</v>
      </c>
      <c r="D1190" s="1014">
        <v>0.98500323316285487</v>
      </c>
      <c r="E1190" s="1014">
        <v>0.95312493704423018</v>
      </c>
      <c r="F1190" s="1014">
        <v>1.0150736623981476</v>
      </c>
      <c r="G1190" s="1014">
        <v>0.98264459963126027</v>
      </c>
      <c r="H1190" s="1014">
        <v>1.0063557246271708</v>
      </c>
      <c r="I1190" s="1014">
        <v>1.0126755926258584</v>
      </c>
      <c r="K1190">
        <v>2.4269408748238468</v>
      </c>
      <c r="L1190">
        <v>0</v>
      </c>
      <c r="M1190">
        <v>1.8298642082610693E-3</v>
      </c>
      <c r="N1190">
        <v>0.14451978878368085</v>
      </c>
      <c r="O1190">
        <v>2.1064352213967494E-2</v>
      </c>
      <c r="P1190">
        <v>2.779533907751313E-2</v>
      </c>
      <c r="Q1190">
        <v>5.2551653040436123E-3</v>
      </c>
      <c r="R1190">
        <v>1.8058629749021801E-3</v>
      </c>
      <c r="S1190">
        <v>0.2645526023024633</v>
      </c>
      <c r="T1190">
        <v>1.3912901465546508</v>
      </c>
      <c r="U1190">
        <v>0.21221648154613257</v>
      </c>
      <c r="V1190">
        <v>0.24285394772957269</v>
      </c>
      <c r="W1190">
        <v>9.7673009226863547E-2</v>
      </c>
      <c r="X1190">
        <v>1.4829079603202937E-2</v>
      </c>
      <c r="Y1190">
        <v>4.9149637151140492E-3</v>
      </c>
    </row>
    <row r="1191" spans="1:25">
      <c r="A1191" s="1010"/>
      <c r="B1191" s="1351">
        <v>941</v>
      </c>
      <c r="C1191" s="1014">
        <v>1.031937697132314</v>
      </c>
      <c r="D1191" s="1014">
        <v>1.0152442165133209</v>
      </c>
      <c r="E1191" s="1014">
        <v>1.0054264388025793</v>
      </c>
      <c r="F1191" s="1014">
        <v>0.9755066670296848</v>
      </c>
      <c r="G1191" s="1014">
        <v>0.99010519461042756</v>
      </c>
      <c r="H1191" s="1014">
        <v>1.0382456315262836</v>
      </c>
      <c r="I1191" s="1014">
        <v>1.0325711079064717</v>
      </c>
      <c r="K1191">
        <v>2.3691923168551203</v>
      </c>
      <c r="L1191">
        <v>0</v>
      </c>
      <c r="M1191">
        <v>1.6279390118895747E-3</v>
      </c>
      <c r="N1191">
        <v>0.15067916286122446</v>
      </c>
      <c r="O1191">
        <v>2.0272012348421915E-2</v>
      </c>
      <c r="P1191">
        <v>2.802681354095888E-2</v>
      </c>
      <c r="Q1191">
        <v>5.3337464119844972E-3</v>
      </c>
      <c r="R1191">
        <v>1.6072421626277843E-3</v>
      </c>
      <c r="S1191">
        <v>0.26011870752994326</v>
      </c>
      <c r="T1191">
        <v>1.3381571508101178</v>
      </c>
      <c r="U1191">
        <v>0.20543095016120727</v>
      </c>
      <c r="V1191">
        <v>0.24189102791558897</v>
      </c>
      <c r="W1191">
        <v>9.8667914288665767E-2</v>
      </c>
      <c r="X1191">
        <v>1.6261144496831092E-2</v>
      </c>
      <c r="Y1191">
        <v>4.3743833394363123E-3</v>
      </c>
    </row>
    <row r="1192" spans="1:25">
      <c r="A1192" s="1010"/>
      <c r="B1192" s="1351">
        <v>942</v>
      </c>
      <c r="C1192" s="1014">
        <v>0.98676790253428104</v>
      </c>
      <c r="D1192" s="1014">
        <v>1.0054945647345142</v>
      </c>
      <c r="E1192" s="1014">
        <v>1.009144997200071</v>
      </c>
      <c r="F1192" s="1014">
        <v>1.0125364921457565</v>
      </c>
      <c r="G1192" s="1014">
        <v>1.0214943912848493</v>
      </c>
      <c r="H1192" s="1014">
        <v>0.97200337930391667</v>
      </c>
      <c r="I1192" s="1014">
        <v>0.95408531172064137</v>
      </c>
      <c r="K1192">
        <v>2.4229602933777987</v>
      </c>
      <c r="L1192">
        <v>0</v>
      </c>
      <c r="M1192">
        <v>1.5849390362469924E-3</v>
      </c>
      <c r="N1192">
        <v>0.14822546853824867</v>
      </c>
      <c r="O1192">
        <v>2.1247528488984486E-2</v>
      </c>
      <c r="P1192">
        <v>2.886560508681452E-2</v>
      </c>
      <c r="Q1192">
        <v>5.6112640988830531E-3</v>
      </c>
      <c r="R1192">
        <v>1.5634156298684589E-3</v>
      </c>
      <c r="S1192">
        <v>0.24714142707543252</v>
      </c>
      <c r="T1192">
        <v>1.3890345893872218</v>
      </c>
      <c r="U1192">
        <v>0.21484755063441432</v>
      </c>
      <c r="V1192">
        <v>0.25000498207865957</v>
      </c>
      <c r="W1192">
        <v>9.6848131042143334E-2</v>
      </c>
      <c r="X1192">
        <v>1.690016838869858E-2</v>
      </c>
      <c r="Y1192">
        <v>4.2551019646780708E-3</v>
      </c>
    </row>
    <row r="1193" spans="1:25">
      <c r="A1193" s="1010"/>
      <c r="B1193" s="1351">
        <v>943</v>
      </c>
      <c r="C1193" s="1014">
        <v>1.0114693450813179</v>
      </c>
      <c r="D1193" s="1014">
        <v>0.97686120434945767</v>
      </c>
      <c r="E1193" s="1014">
        <v>0.97431866021228897</v>
      </c>
      <c r="F1193" s="1014">
        <v>1.0200989740393756</v>
      </c>
      <c r="G1193" s="1014">
        <v>0.97195288428499182</v>
      </c>
      <c r="H1193" s="1014">
        <v>0.96197755506543525</v>
      </c>
      <c r="I1193" s="1014">
        <v>0.99434564549199667</v>
      </c>
      <c r="K1193">
        <v>2.4085495828596915</v>
      </c>
      <c r="L1193">
        <v>0</v>
      </c>
      <c r="M1193">
        <v>1.6552560621595474E-3</v>
      </c>
      <c r="N1193">
        <v>0.13931241116566553</v>
      </c>
      <c r="O1193">
        <v>2.0837864023705667E-2</v>
      </c>
      <c r="P1193">
        <v>2.8134836695930209E-2</v>
      </c>
      <c r="Q1193">
        <v>5.3129056862571584E-3</v>
      </c>
      <c r="R1193">
        <v>1.632543482352241E-3</v>
      </c>
      <c r="S1193">
        <v>0.25384742310708835</v>
      </c>
      <c r="T1193">
        <v>1.39864201628693</v>
      </c>
      <c r="U1193">
        <v>0.20948314612328314</v>
      </c>
      <c r="V1193">
        <v>0.2401240392371404</v>
      </c>
      <c r="W1193">
        <v>9.294090640057906E-2</v>
      </c>
      <c r="X1193">
        <v>1.5493501521771211E-2</v>
      </c>
      <c r="Y1193">
        <v>4.4432451911484783E-3</v>
      </c>
    </row>
    <row r="1194" spans="1:25">
      <c r="A1194" s="1010"/>
      <c r="B1194" s="1351">
        <v>944</v>
      </c>
      <c r="C1194" s="1014">
        <v>0.95313535582464171</v>
      </c>
      <c r="D1194" s="1014">
        <v>0.99006030485887564</v>
      </c>
      <c r="E1194" s="1014">
        <v>1.0228527061844928</v>
      </c>
      <c r="F1194" s="1014">
        <v>1.0131209232178511</v>
      </c>
      <c r="G1194" s="1014">
        <v>0.95889678035732462</v>
      </c>
      <c r="H1194" s="1014">
        <v>0.98852729634990633</v>
      </c>
      <c r="I1194" s="1014">
        <v>0.96769816030311817</v>
      </c>
      <c r="K1194">
        <v>2.4582420413753172</v>
      </c>
      <c r="L1194">
        <v>0</v>
      </c>
      <c r="M1194">
        <v>1.6273943767047955E-3</v>
      </c>
      <c r="N1194">
        <v>0.15866010887340484</v>
      </c>
      <c r="O1194">
        <v>2.2081850775337052E-2</v>
      </c>
      <c r="P1194">
        <v>2.9382439222763686E-2</v>
      </c>
      <c r="Q1194">
        <v>5.911792164074085E-3</v>
      </c>
      <c r="R1194">
        <v>1.6056638444726901E-3</v>
      </c>
      <c r="S1194">
        <v>0.26308763494340259</v>
      </c>
      <c r="T1194">
        <v>1.3901376463699002</v>
      </c>
      <c r="U1194">
        <v>0.2224779898163767</v>
      </c>
      <c r="V1194">
        <v>0.24150438838304594</v>
      </c>
      <c r="W1194">
        <v>0.10283530305050362</v>
      </c>
      <c r="X1194">
        <v>1.781453063102954E-2</v>
      </c>
      <c r="Y1194">
        <v>4.3700876777105872E-3</v>
      </c>
    </row>
    <row r="1195" spans="1:25">
      <c r="A1195" s="1010"/>
      <c r="B1195" s="1351">
        <v>945</v>
      </c>
      <c r="C1195" s="1014">
        <v>0.98889614618756172</v>
      </c>
      <c r="D1195" s="1014">
        <v>1.0119509036946925</v>
      </c>
      <c r="E1195" s="1014">
        <v>0.96535472757437313</v>
      </c>
      <c r="F1195" s="1014">
        <v>1.0048430936349071</v>
      </c>
      <c r="G1195" s="1014">
        <v>1.0291255718401153</v>
      </c>
      <c r="H1195" s="1014">
        <v>0.98691619975771849</v>
      </c>
      <c r="I1195" s="1014">
        <v>1.0093721682372641</v>
      </c>
      <c r="K1195">
        <v>2.4188635294041143</v>
      </c>
      <c r="L1195">
        <v>0</v>
      </c>
      <c r="M1195">
        <v>1.7556883415994348E-3</v>
      </c>
      <c r="N1195">
        <v>0.14385899839197794</v>
      </c>
      <c r="O1195">
        <v>2.1142715364465003E-2</v>
      </c>
      <c r="P1195">
        <v>2.7968844116738136E-2</v>
      </c>
      <c r="Q1195">
        <v>5.3414647968195251E-3</v>
      </c>
      <c r="R1195">
        <v>1.7322064344800327E-3</v>
      </c>
      <c r="S1195">
        <v>0.26099322945295478</v>
      </c>
      <c r="T1195">
        <v>1.3775313261971212</v>
      </c>
      <c r="U1195">
        <v>0.21423411457781935</v>
      </c>
      <c r="V1195">
        <v>0.25133639432472493</v>
      </c>
      <c r="W1195">
        <v>9.6499228559347019E-2</v>
      </c>
      <c r="X1195">
        <v>1.5266200636307941E-2</v>
      </c>
      <c r="Y1195">
        <v>4.7144948929569901E-3</v>
      </c>
    </row>
    <row r="1196" spans="1:25">
      <c r="A1196" s="1010"/>
      <c r="B1196" s="1351">
        <v>946</v>
      </c>
      <c r="C1196" s="1014">
        <v>0.9904315169939486</v>
      </c>
      <c r="D1196" s="1014">
        <v>0.95829878078942632</v>
      </c>
      <c r="E1196" s="1014">
        <v>0.99942137637700079</v>
      </c>
      <c r="F1196" s="1014">
        <v>0.99597230491531707</v>
      </c>
      <c r="G1196" s="1014">
        <v>1.0053959948928057</v>
      </c>
      <c r="H1196" s="1014">
        <v>0.97969810767984877</v>
      </c>
      <c r="I1196" s="1014">
        <v>0.98574012990953463</v>
      </c>
      <c r="K1196">
        <v>2.4118241279830972</v>
      </c>
      <c r="L1196">
        <v>0</v>
      </c>
      <c r="M1196">
        <v>1.6412939652896597E-3</v>
      </c>
      <c r="N1196">
        <v>0.14906966512593889</v>
      </c>
      <c r="O1196">
        <v>2.1387434598227218E-2</v>
      </c>
      <c r="P1196">
        <v>2.8485941060566518E-2</v>
      </c>
      <c r="Q1196">
        <v>5.5934045968974262E-3</v>
      </c>
      <c r="R1196">
        <v>1.6191803208753543E-3</v>
      </c>
      <c r="S1196">
        <v>0.26123581101184923</v>
      </c>
      <c r="T1196">
        <v>1.3661015939939083</v>
      </c>
      <c r="U1196">
        <v>0.21401924668614244</v>
      </c>
      <c r="V1196">
        <v>0.24705746194852979</v>
      </c>
      <c r="W1196">
        <v>9.7962327724322451E-2</v>
      </c>
      <c r="X1196">
        <v>1.6526479810353854E-2</v>
      </c>
      <c r="Y1196">
        <v>4.40687507077339E-3</v>
      </c>
    </row>
    <row r="1197" spans="1:25">
      <c r="A1197" s="1010"/>
      <c r="B1197" s="1351">
        <v>947</v>
      </c>
      <c r="C1197" s="1014">
        <v>1.0234224867979556</v>
      </c>
      <c r="D1197" s="1014">
        <v>0.99810891442295957</v>
      </c>
      <c r="E1197" s="1014">
        <v>1.0166959336649535</v>
      </c>
      <c r="F1197" s="1014">
        <v>1.0352351223947978</v>
      </c>
      <c r="G1197" s="1014">
        <v>0.96567086802056179</v>
      </c>
      <c r="H1197" s="1014">
        <v>1.0052030292017395</v>
      </c>
      <c r="I1197" s="1014">
        <v>0.99100597495081466</v>
      </c>
      <c r="K1197">
        <v>2.4395852251511778</v>
      </c>
      <c r="L1197">
        <v>0</v>
      </c>
      <c r="M1197">
        <v>1.5582860025535358E-3</v>
      </c>
      <c r="N1197">
        <v>0.14916022629621037</v>
      </c>
      <c r="O1197">
        <v>2.0524696701998416E-2</v>
      </c>
      <c r="P1197">
        <v>2.9246411952053755E-2</v>
      </c>
      <c r="Q1197">
        <v>5.4613738774027479E-3</v>
      </c>
      <c r="R1197">
        <v>1.5378234598235358E-3</v>
      </c>
      <c r="S1197">
        <v>0.25122769660952582</v>
      </c>
      <c r="T1197">
        <v>1.4203429018388523</v>
      </c>
      <c r="U1197">
        <v>0.20717790734146804</v>
      </c>
      <c r="V1197">
        <v>0.23818375889810997</v>
      </c>
      <c r="W1197">
        <v>9.7026897089120781E-2</v>
      </c>
      <c r="X1197">
        <v>1.7068368574892856E-2</v>
      </c>
      <c r="Y1197">
        <v>4.1854485142723778E-3</v>
      </c>
    </row>
    <row r="1198" spans="1:25">
      <c r="A1198" s="1010"/>
      <c r="B1198" s="1351">
        <v>948</v>
      </c>
      <c r="C1198" s="1014">
        <v>0.99648568513691038</v>
      </c>
      <c r="D1198" s="1014">
        <v>1.0278233866980206</v>
      </c>
      <c r="E1198" s="1014">
        <v>1.0203837298897245</v>
      </c>
      <c r="F1198" s="1014">
        <v>1.0347736381481527</v>
      </c>
      <c r="G1198" s="1014">
        <v>1.0113410606708064</v>
      </c>
      <c r="H1198" s="1014">
        <v>1.0256855320254576</v>
      </c>
      <c r="I1198" s="1014">
        <v>0.97041615279040394</v>
      </c>
      <c r="K1198">
        <v>2.4657919776357304</v>
      </c>
      <c r="L1198">
        <v>0</v>
      </c>
      <c r="M1198">
        <v>1.6101151806846663E-3</v>
      </c>
      <c r="N1198">
        <v>0.1558871655043815</v>
      </c>
      <c r="O1198">
        <v>2.0946356003315084E-2</v>
      </c>
      <c r="P1198">
        <v>2.9519094066748925E-2</v>
      </c>
      <c r="Q1198">
        <v>5.594060159141467E-3</v>
      </c>
      <c r="R1198">
        <v>1.5893942654770254E-3</v>
      </c>
      <c r="S1198">
        <v>0.25070542008687396</v>
      </c>
      <c r="T1198">
        <v>1.4197925811350964</v>
      </c>
      <c r="U1198">
        <v>0.2127909851673673</v>
      </c>
      <c r="V1198">
        <v>0.24761459466643676</v>
      </c>
      <c r="W1198">
        <v>0.10118389140665686</v>
      </c>
      <c r="X1198">
        <v>1.7452743107970476E-2</v>
      </c>
      <c r="Y1198">
        <v>4.3258072469496605E-3</v>
      </c>
    </row>
    <row r="1199" spans="1:25">
      <c r="A1199" s="1010"/>
      <c r="B1199" s="1351">
        <v>949</v>
      </c>
      <c r="C1199" s="1014">
        <v>1.0289197997395902</v>
      </c>
      <c r="D1199" s="1014">
        <v>1.0087508705733024</v>
      </c>
      <c r="E1199" s="1014">
        <v>1.0233652813349285</v>
      </c>
      <c r="F1199" s="1014">
        <v>0.95226660757101778</v>
      </c>
      <c r="G1199" s="1014">
        <v>0.98281572055453525</v>
      </c>
      <c r="H1199" s="1014">
        <v>0.97199194849495218</v>
      </c>
      <c r="I1199" s="1014">
        <v>0.99711971568255275</v>
      </c>
      <c r="K1199">
        <v>2.3123573966834128</v>
      </c>
      <c r="L1199">
        <v>0</v>
      </c>
      <c r="M1199">
        <v>1.4746521120127722E-3</v>
      </c>
      <c r="N1199">
        <v>0.14395803923460973</v>
      </c>
      <c r="O1199">
        <v>2.0371766289298932E-2</v>
      </c>
      <c r="P1199">
        <v>2.7778902728667926E-2</v>
      </c>
      <c r="Q1199">
        <v>5.456740471529116E-3</v>
      </c>
      <c r="R1199">
        <v>1.4546261619851186E-3</v>
      </c>
      <c r="S1199">
        <v>0.24741587385547703</v>
      </c>
      <c r="T1199">
        <v>1.3066479766990713</v>
      </c>
      <c r="U1199">
        <v>0.20609322155196236</v>
      </c>
      <c r="V1199">
        <v>0.24076137662635355</v>
      </c>
      <c r="W1199">
        <v>9.3278270928122839E-2</v>
      </c>
      <c r="X1199">
        <v>1.6656241352805901E-2</v>
      </c>
      <c r="Y1199">
        <v>3.9590128955380678E-3</v>
      </c>
    </row>
    <row r="1200" spans="1:25">
      <c r="A1200" s="1010"/>
      <c r="B1200" s="1351">
        <v>950</v>
      </c>
      <c r="C1200" s="1014">
        <v>0.97435667260513392</v>
      </c>
      <c r="D1200" s="1014">
        <v>0.99713828635207657</v>
      </c>
      <c r="E1200" s="1014">
        <v>0.97179777473915308</v>
      </c>
      <c r="F1200" s="1014">
        <v>1.0153752294925551</v>
      </c>
      <c r="G1200" s="1014">
        <v>0.99664906744238457</v>
      </c>
      <c r="H1200" s="1014">
        <v>0.99524426204265204</v>
      </c>
      <c r="I1200" s="1014">
        <v>0.96817822551732713</v>
      </c>
      <c r="K1200">
        <v>2.4366036710159911</v>
      </c>
      <c r="L1200">
        <v>0</v>
      </c>
      <c r="M1200">
        <v>1.7789471242759573E-3</v>
      </c>
      <c r="N1200">
        <v>0.14865357900368459</v>
      </c>
      <c r="O1200">
        <v>2.1532303999791579E-2</v>
      </c>
      <c r="P1200">
        <v>2.8226161925930311E-2</v>
      </c>
      <c r="Q1200">
        <v>5.4758600450155312E-3</v>
      </c>
      <c r="R1200">
        <v>1.7553532328948478E-3</v>
      </c>
      <c r="S1200">
        <v>0.25671872730891088</v>
      </c>
      <c r="T1200">
        <v>1.3921103121053466</v>
      </c>
      <c r="U1200">
        <v>0.21745343079700732</v>
      </c>
      <c r="V1200">
        <v>0.24670230087892223</v>
      </c>
      <c r="W1200">
        <v>9.9324682257824135E-2</v>
      </c>
      <c r="X1200">
        <v>1.5652413737036727E-2</v>
      </c>
      <c r="Y1200">
        <v>4.7774928479020692E-3</v>
      </c>
    </row>
    <row r="1201" spans="1:25">
      <c r="A1201" s="1010"/>
      <c r="B1201" s="1351">
        <v>951</v>
      </c>
      <c r="C1201" s="1014">
        <v>1.0042066684339486</v>
      </c>
      <c r="D1201" s="1014">
        <v>0.97814083078300917</v>
      </c>
      <c r="E1201" s="1014">
        <v>0.96783573556608782</v>
      </c>
      <c r="F1201" s="1014">
        <v>0.98012954435920518</v>
      </c>
      <c r="G1201" s="1014">
        <v>1.0120651047168587</v>
      </c>
      <c r="H1201" s="1014">
        <v>1.0224726662757149</v>
      </c>
      <c r="I1201" s="1014">
        <v>1.0005149879555228</v>
      </c>
      <c r="K1201">
        <v>2.3856632498251495</v>
      </c>
      <c r="L1201">
        <v>0</v>
      </c>
      <c r="M1201">
        <v>1.795436316217884E-3</v>
      </c>
      <c r="N1201">
        <v>0.14829538170320486</v>
      </c>
      <c r="O1201">
        <v>2.0978239741456208E-2</v>
      </c>
      <c r="P1201">
        <v>2.7492531824817309E-2</v>
      </c>
      <c r="Q1201">
        <v>5.3133940120817964E-3</v>
      </c>
      <c r="R1201">
        <v>1.7722578594569461E-3</v>
      </c>
      <c r="S1201">
        <v>0.26219325765368517</v>
      </c>
      <c r="T1201">
        <v>1.343703945744815</v>
      </c>
      <c r="U1201">
        <v>0.21097621765362753</v>
      </c>
      <c r="V1201">
        <v>0.24744931162572895</v>
      </c>
      <c r="W1201">
        <v>9.9324608974155543E-2</v>
      </c>
      <c r="X1201">
        <v>1.5136037679541421E-2</v>
      </c>
      <c r="Y1201">
        <v>4.8235016687954504E-3</v>
      </c>
    </row>
    <row r="1202" spans="1:25">
      <c r="A1202" s="1010"/>
      <c r="B1202" s="1351">
        <v>952</v>
      </c>
      <c r="C1202" s="1014">
        <v>0.9906816151055754</v>
      </c>
      <c r="D1202" s="1014">
        <v>0.97888471854184678</v>
      </c>
      <c r="E1202" s="1014">
        <v>1.0012533405384749</v>
      </c>
      <c r="F1202" s="1014">
        <v>0.99301903628739552</v>
      </c>
      <c r="G1202" s="1014">
        <v>0.9983495116946316</v>
      </c>
      <c r="H1202" s="1014">
        <v>0.99611914788580969</v>
      </c>
      <c r="I1202" s="1014">
        <v>0.98584848036495543</v>
      </c>
      <c r="K1202">
        <v>2.4082884956516235</v>
      </c>
      <c r="L1202">
        <v>0</v>
      </c>
      <c r="M1202">
        <v>1.6543011665637361E-3</v>
      </c>
      <c r="N1202">
        <v>0.15111894084782534</v>
      </c>
      <c r="O1202">
        <v>2.1283520719569179E-2</v>
      </c>
      <c r="P1202">
        <v>2.8433219312227077E-2</v>
      </c>
      <c r="Q1202">
        <v>5.576485719279811E-3</v>
      </c>
      <c r="R1202">
        <v>1.6323797050191088E-3</v>
      </c>
      <c r="S1202">
        <v>0.25981184438376481</v>
      </c>
      <c r="T1202">
        <v>1.3620901620099342</v>
      </c>
      <c r="U1202">
        <v>0.21397153872829261</v>
      </c>
      <c r="V1202">
        <v>0.24583167315152021</v>
      </c>
      <c r="W1202">
        <v>9.9200983751575864E-2</v>
      </c>
      <c r="X1202">
        <v>1.654924904594279E-2</v>
      </c>
      <c r="Y1202">
        <v>4.4427994432368759E-3</v>
      </c>
    </row>
    <row r="1203" spans="1:25">
      <c r="A1203" s="1010"/>
      <c r="B1203" s="1351">
        <v>953</v>
      </c>
      <c r="C1203" s="1014">
        <v>1.0325443240905317</v>
      </c>
      <c r="D1203" s="1014">
        <v>0.99593634466655845</v>
      </c>
      <c r="E1203" s="1014">
        <v>0.97609185641271934</v>
      </c>
      <c r="F1203" s="1014">
        <v>0.97229753755023451</v>
      </c>
      <c r="G1203" s="1014">
        <v>1.0096985567143069</v>
      </c>
      <c r="H1203" s="1014">
        <v>1.0325329508614671</v>
      </c>
      <c r="I1203" s="1014">
        <v>0.99666596845331756</v>
      </c>
      <c r="K1203">
        <v>2.3525563872631481</v>
      </c>
      <c r="L1203">
        <v>0</v>
      </c>
      <c r="M1203">
        <v>1.726669885206752E-3</v>
      </c>
      <c r="N1203">
        <v>0.14624379887184064</v>
      </c>
      <c r="O1203">
        <v>2.0327023001233856E-2</v>
      </c>
      <c r="P1203">
        <v>2.7290860885127246E-2</v>
      </c>
      <c r="Q1203">
        <v>5.1920336069681151E-3</v>
      </c>
      <c r="R1203">
        <v>1.7045963642634196E-3</v>
      </c>
      <c r="S1203">
        <v>0.25262662314809531</v>
      </c>
      <c r="T1203">
        <v>1.3331392988593909</v>
      </c>
      <c r="U1203">
        <v>0.20521328970685582</v>
      </c>
      <c r="V1203">
        <v>0.24530939656641912</v>
      </c>
      <c r="W1203">
        <v>9.7460309273601539E-2</v>
      </c>
      <c r="X1203">
        <v>1.5136477481074346E-2</v>
      </c>
      <c r="Y1203">
        <v>4.6393493834845688E-3</v>
      </c>
    </row>
    <row r="1204" spans="1:25">
      <c r="A1204" s="1010"/>
      <c r="B1204" s="1351">
        <v>954</v>
      </c>
      <c r="C1204" s="1014">
        <v>1.0351831025517382</v>
      </c>
      <c r="D1204" s="1014">
        <v>1.0137848917670178</v>
      </c>
      <c r="E1204" s="1014">
        <v>0.98919883361624916</v>
      </c>
      <c r="F1204" s="1014">
        <v>1.025019323050677</v>
      </c>
      <c r="G1204" s="1014">
        <v>0.99254738806682863</v>
      </c>
      <c r="H1204" s="1014">
        <v>1.002025120022711</v>
      </c>
      <c r="I1204" s="1014">
        <v>0.98676407379107156</v>
      </c>
      <c r="K1204">
        <v>2.4086587969597253</v>
      </c>
      <c r="L1204">
        <v>0</v>
      </c>
      <c r="M1204">
        <v>1.6203283296446127E-3</v>
      </c>
      <c r="N1204">
        <v>0.14273138851809419</v>
      </c>
      <c r="O1204">
        <v>2.0204485483209009E-2</v>
      </c>
      <c r="P1204">
        <v>2.8392248537188903E-2</v>
      </c>
      <c r="Q1204">
        <v>5.2298430193243222E-3</v>
      </c>
      <c r="R1204">
        <v>1.5989836011707358E-3</v>
      </c>
      <c r="S1204">
        <v>0.24492229876947491</v>
      </c>
      <c r="T1204">
        <v>1.4057168760373442</v>
      </c>
      <c r="U1204">
        <v>0.20473334141078436</v>
      </c>
      <c r="V1204">
        <v>0.24217673079423607</v>
      </c>
      <c r="W1204">
        <v>9.4371282678211793E-2</v>
      </c>
      <c r="X1204">
        <v>1.5849740182748335E-2</v>
      </c>
      <c r="Y1204">
        <v>4.3519062575842786E-3</v>
      </c>
    </row>
    <row r="1205" spans="1:25">
      <c r="A1205" s="1010"/>
      <c r="B1205" s="1351">
        <v>955</v>
      </c>
      <c r="C1205" s="1014">
        <v>1.0232360181569016</v>
      </c>
      <c r="D1205" s="1014">
        <v>1.0081854898567804</v>
      </c>
      <c r="E1205" s="1014">
        <v>0.98781806546952666</v>
      </c>
      <c r="F1205" s="1014">
        <v>1.0156841537034254</v>
      </c>
      <c r="G1205" s="1014">
        <v>1.0350792445592216</v>
      </c>
      <c r="H1205" s="1014">
        <v>0.99030552122876703</v>
      </c>
      <c r="I1205" s="1014">
        <v>1.0076663005248194</v>
      </c>
      <c r="K1205">
        <v>2.4144071361768646</v>
      </c>
      <c r="L1205">
        <v>0</v>
      </c>
      <c r="M1205">
        <v>1.6266937479588045E-3</v>
      </c>
      <c r="N1205">
        <v>0.14267254791999756</v>
      </c>
      <c r="O1205">
        <v>2.0464417898008191E-2</v>
      </c>
      <c r="P1205">
        <v>2.8435003455466172E-2</v>
      </c>
      <c r="Q1205">
        <v>5.2897315917573113E-3</v>
      </c>
      <c r="R1205">
        <v>1.6050115744475422E-3</v>
      </c>
      <c r="S1205">
        <v>0.25274052849307849</v>
      </c>
      <c r="T1205">
        <v>1.392884314967437</v>
      </c>
      <c r="U1205">
        <v>0.20711915983356535</v>
      </c>
      <c r="V1205">
        <v>0.25015103791075943</v>
      </c>
      <c r="W1205">
        <v>9.4410531247338669E-2</v>
      </c>
      <c r="X1205">
        <v>1.589323261924587E-2</v>
      </c>
      <c r="Y1205">
        <v>4.3683124137228893E-3</v>
      </c>
    </row>
    <row r="1206" spans="1:25">
      <c r="A1206" s="1010"/>
      <c r="B1206" s="1351">
        <v>956</v>
      </c>
      <c r="C1206" s="1014">
        <v>1.0234822250214011</v>
      </c>
      <c r="D1206" s="1014">
        <v>0.98129342926356677</v>
      </c>
      <c r="E1206" s="1014">
        <v>1.0099858431778428</v>
      </c>
      <c r="F1206" s="1014">
        <v>0.95587400765100772</v>
      </c>
      <c r="G1206" s="1014">
        <v>0.99378094533462624</v>
      </c>
      <c r="H1206" s="1014">
        <v>0.97923507531653642</v>
      </c>
      <c r="I1206" s="1014">
        <v>0.97138357895514305</v>
      </c>
      <c r="K1206">
        <v>2.3211915512122725</v>
      </c>
      <c r="L1206">
        <v>0</v>
      </c>
      <c r="M1206">
        <v>1.5450254588109712E-3</v>
      </c>
      <c r="N1206">
        <v>0.14487470315856574</v>
      </c>
      <c r="O1206">
        <v>2.0595980711989023E-2</v>
      </c>
      <c r="P1206">
        <v>2.7599896744851506E-2</v>
      </c>
      <c r="Q1206">
        <v>5.4437716090127508E-3</v>
      </c>
      <c r="R1206">
        <v>1.5241990256259328E-3</v>
      </c>
      <c r="S1206">
        <v>0.24618802651558791</v>
      </c>
      <c r="T1206">
        <v>1.3113203376503182</v>
      </c>
      <c r="U1206">
        <v>0.20714335841365838</v>
      </c>
      <c r="V1206">
        <v>0.24300202278228383</v>
      </c>
      <c r="W1206">
        <v>9.4611856173769118E-2</v>
      </c>
      <c r="X1206">
        <v>1.6284056589737812E-2</v>
      </c>
      <c r="Y1206">
        <v>4.1483672956800291E-3</v>
      </c>
    </row>
    <row r="1207" spans="1:25">
      <c r="A1207" s="1010"/>
      <c r="B1207" s="1351">
        <v>957</v>
      </c>
      <c r="C1207" s="1014">
        <v>1.0182659083838779</v>
      </c>
      <c r="D1207" s="1014">
        <v>0.99746602293459785</v>
      </c>
      <c r="E1207" s="1014">
        <v>0.99366708817648208</v>
      </c>
      <c r="F1207" s="1014">
        <v>1.0095209486229209</v>
      </c>
      <c r="G1207" s="1014">
        <v>1.0492290524142212</v>
      </c>
      <c r="H1207" s="1014">
        <v>1.0122125921907597</v>
      </c>
      <c r="I1207" s="1014">
        <v>0.99923842442540534</v>
      </c>
      <c r="K1207">
        <v>2.4208993615920456</v>
      </c>
      <c r="L1207">
        <v>0</v>
      </c>
      <c r="M1207">
        <v>1.6545607894878607E-3</v>
      </c>
      <c r="N1207">
        <v>0.14774881733494308</v>
      </c>
      <c r="O1207">
        <v>2.0616529722191721E-2</v>
      </c>
      <c r="P1207">
        <v>2.8529531560161431E-2</v>
      </c>
      <c r="Q1207">
        <v>5.3606356870385501E-3</v>
      </c>
      <c r="R1207">
        <v>1.6329844776295844E-3</v>
      </c>
      <c r="S1207">
        <v>0.2550794322311139</v>
      </c>
      <c r="T1207">
        <v>1.3845597147323643</v>
      </c>
      <c r="U1207">
        <v>0.20814970492529475</v>
      </c>
      <c r="V1207">
        <v>0.25284315895121251</v>
      </c>
      <c r="W1207">
        <v>9.7427867329691012E-2</v>
      </c>
      <c r="X1207">
        <v>1.616109999497253E-2</v>
      </c>
      <c r="Y1207">
        <v>4.4444454349193514E-3</v>
      </c>
    </row>
    <row r="1208" spans="1:25">
      <c r="A1208" s="1010"/>
      <c r="B1208" s="1351">
        <v>958</v>
      </c>
      <c r="C1208" s="1014">
        <v>1.0023676983715046</v>
      </c>
      <c r="D1208" s="1014">
        <v>0.99174903743819842</v>
      </c>
      <c r="E1208" s="1014">
        <v>1.004755813539282</v>
      </c>
      <c r="F1208" s="1014">
        <v>1.0252249515970167</v>
      </c>
      <c r="G1208" s="1014">
        <v>0.96522988044707569</v>
      </c>
      <c r="H1208" s="1014">
        <v>1.0065918423269238</v>
      </c>
      <c r="I1208" s="1014">
        <v>1.007992830130098</v>
      </c>
      <c r="K1208">
        <v>2.4456198145222565</v>
      </c>
      <c r="L1208">
        <v>0</v>
      </c>
      <c r="M1208">
        <v>1.6355339994532966E-3</v>
      </c>
      <c r="N1208">
        <v>0.15101467327753634</v>
      </c>
      <c r="O1208">
        <v>2.0977376946763118E-2</v>
      </c>
      <c r="P1208">
        <v>2.9018383365391046E-2</v>
      </c>
      <c r="Q1208">
        <v>5.5156252327860002E-3</v>
      </c>
      <c r="R1208">
        <v>1.6140867112079281E-3</v>
      </c>
      <c r="S1208">
        <v>0.26175845840951645</v>
      </c>
      <c r="T1208">
        <v>1.4063436218597132</v>
      </c>
      <c r="U1208">
        <v>0.21148890552110466</v>
      </c>
      <c r="V1208">
        <v>0.23942978495741035</v>
      </c>
      <c r="W1208">
        <v>9.8926878314301817E-2</v>
      </c>
      <c r="X1208">
        <v>1.6774541981612521E-2</v>
      </c>
      <c r="Y1208">
        <v>4.3930119443666305E-3</v>
      </c>
    </row>
    <row r="1209" spans="1:25">
      <c r="A1209" s="1010"/>
      <c r="B1209" s="1351">
        <v>959</v>
      </c>
      <c r="C1209" s="1014">
        <v>1.012053552464083</v>
      </c>
      <c r="D1209" s="1014">
        <v>1.0030796237260511</v>
      </c>
      <c r="E1209" s="1014">
        <v>0.95103663334782751</v>
      </c>
      <c r="F1209" s="1014">
        <v>0.99958906885125487</v>
      </c>
      <c r="G1209" s="1014">
        <v>1.0102197439836353</v>
      </c>
      <c r="H1209" s="1014">
        <v>0.99200586425914405</v>
      </c>
      <c r="I1209" s="1014">
        <v>1.0290147205428961</v>
      </c>
      <c r="K1209">
        <v>2.3941813938610332</v>
      </c>
      <c r="L1209">
        <v>0</v>
      </c>
      <c r="M1209">
        <v>1.779436529927943E-3</v>
      </c>
      <c r="N1209">
        <v>0.13962324193669384</v>
      </c>
      <c r="O1209">
        <v>2.0689675858344733E-2</v>
      </c>
      <c r="P1209">
        <v>2.7442050639569494E-2</v>
      </c>
      <c r="Q1209">
        <v>5.1505743943834484E-3</v>
      </c>
      <c r="R1209">
        <v>1.7557591043174333E-3</v>
      </c>
      <c r="S1209">
        <v>0.26145529111930516</v>
      </c>
      <c r="T1209">
        <v>1.3700218150407426</v>
      </c>
      <c r="U1209">
        <v>0.20928406931280108</v>
      </c>
      <c r="V1209">
        <v>0.24671618098205511</v>
      </c>
      <c r="W1209">
        <v>9.4485439263950227E-2</v>
      </c>
      <c r="X1209">
        <v>1.455813524268023E-2</v>
      </c>
      <c r="Y1209">
        <v>4.7785974961188672E-3</v>
      </c>
    </row>
    <row r="1210" spans="1:25">
      <c r="A1210" s="1010"/>
      <c r="B1210" s="1351">
        <v>960</v>
      </c>
      <c r="C1210" s="1014">
        <v>1.0078107709924669</v>
      </c>
      <c r="D1210" s="1014">
        <v>1.0284291414319511</v>
      </c>
      <c r="E1210" s="1014">
        <v>0.9794764105985202</v>
      </c>
      <c r="F1210" s="1014">
        <v>1.0019694907842485</v>
      </c>
      <c r="G1210" s="1014">
        <v>0.99527893449081417</v>
      </c>
      <c r="H1210" s="1014">
        <v>1.0003078157568941</v>
      </c>
      <c r="I1210" s="1014">
        <v>0.97097242696538499</v>
      </c>
      <c r="K1210">
        <v>2.3886070186612365</v>
      </c>
      <c r="L1210">
        <v>0</v>
      </c>
      <c r="M1210">
        <v>1.6899077745859549E-3</v>
      </c>
      <c r="N1210">
        <v>0.14454333138100559</v>
      </c>
      <c r="O1210">
        <v>2.0681518576725129E-2</v>
      </c>
      <c r="P1210">
        <v>2.7868516903384353E-2</v>
      </c>
      <c r="Q1210">
        <v>5.3008068673021302E-3</v>
      </c>
      <c r="R1210">
        <v>1.6676082522571285E-3</v>
      </c>
      <c r="S1210">
        <v>0.24557165968406239</v>
      </c>
      <c r="T1210">
        <v>1.3738961991399401</v>
      </c>
      <c r="U1210">
        <v>0.21026104442220167</v>
      </c>
      <c r="V1210">
        <v>0.24431534591912699</v>
      </c>
      <c r="W1210">
        <v>9.6130072196173991E-2</v>
      </c>
      <c r="X1210">
        <v>1.5522143157908248E-2</v>
      </c>
      <c r="Y1210">
        <v>4.5386799357312897E-3</v>
      </c>
    </row>
    <row r="1211" spans="1:25">
      <c r="A1211" s="1010"/>
      <c r="B1211" s="1351">
        <v>961</v>
      </c>
      <c r="C1211" s="1014">
        <v>1.0244286369368631</v>
      </c>
      <c r="D1211" s="1014">
        <v>1.0334022755696031</v>
      </c>
      <c r="E1211" s="1014">
        <v>1.0204155384087779</v>
      </c>
      <c r="F1211" s="1014">
        <v>1.0012070893624472</v>
      </c>
      <c r="G1211" s="1014">
        <v>1.0041234240551209</v>
      </c>
      <c r="H1211" s="1014">
        <v>1.0385209760477485</v>
      </c>
      <c r="I1211" s="1014">
        <v>0.99045894552230351</v>
      </c>
      <c r="K1211">
        <v>2.4033801308326095</v>
      </c>
      <c r="L1211">
        <v>0</v>
      </c>
      <c r="M1211">
        <v>1.5838038539877336E-3</v>
      </c>
      <c r="N1211">
        <v>0.15337919574346975</v>
      </c>
      <c r="O1211">
        <v>2.0350780518044915E-2</v>
      </c>
      <c r="P1211">
        <v>2.8740975303953288E-2</v>
      </c>
      <c r="Q1211">
        <v>5.4351740101029732E-3</v>
      </c>
      <c r="R1211">
        <v>1.5636734569360385E-3</v>
      </c>
      <c r="S1211">
        <v>0.24928729620869425</v>
      </c>
      <c r="T1211">
        <v>1.3737372705066861</v>
      </c>
      <c r="U1211">
        <v>0.20698687255267809</v>
      </c>
      <c r="V1211">
        <v>0.24467416131500941</v>
      </c>
      <c r="W1211">
        <v>9.9554155831133695E-2</v>
      </c>
      <c r="X1211">
        <v>1.6998575554922762E-2</v>
      </c>
      <c r="Y1211">
        <v>4.2558036849633532E-3</v>
      </c>
    </row>
    <row r="1212" spans="1:25">
      <c r="A1212" s="1010"/>
      <c r="B1212" s="1351">
        <v>962</v>
      </c>
      <c r="C1212" s="1014">
        <v>1.0286081864336476</v>
      </c>
      <c r="D1212" s="1014">
        <v>0.9961527115872566</v>
      </c>
      <c r="E1212" s="1014">
        <v>1.0288731176648973</v>
      </c>
      <c r="F1212" s="1014">
        <v>1.017556973192159</v>
      </c>
      <c r="G1212" s="1014">
        <v>1.0078503133208008</v>
      </c>
      <c r="H1212" s="1014">
        <v>1.0078996378864049</v>
      </c>
      <c r="I1212" s="1014">
        <v>0.98199763830474884</v>
      </c>
      <c r="K1212">
        <v>2.4202611031489969</v>
      </c>
      <c r="L1212">
        <v>0</v>
      </c>
      <c r="M1212">
        <v>1.5163342369020642E-3</v>
      </c>
      <c r="N1212">
        <v>0.15057997524508254</v>
      </c>
      <c r="O1212">
        <v>2.0437928659489398E-2</v>
      </c>
      <c r="P1212">
        <v>2.9213240621112847E-2</v>
      </c>
      <c r="Q1212">
        <v>5.5044194356243742E-3</v>
      </c>
      <c r="R1212">
        <v>1.4964758544671311E-3</v>
      </c>
      <c r="S1212">
        <v>0.24824753289665344</v>
      </c>
      <c r="T1212">
        <v>1.3963576680136682</v>
      </c>
      <c r="U1212">
        <v>0.20617403265074946</v>
      </c>
      <c r="V1212">
        <v>0.24503260354028678</v>
      </c>
      <c r="W1212">
        <v>9.7256589708450816E-2</v>
      </c>
      <c r="X1212">
        <v>1.7404056797584846E-2</v>
      </c>
      <c r="Y1212">
        <v>4.0729139627266858E-3</v>
      </c>
    </row>
    <row r="1213" spans="1:25">
      <c r="A1213" s="1010"/>
      <c r="B1213" s="1351">
        <v>963</v>
      </c>
      <c r="C1213" s="1014">
        <v>0.99403948732319891</v>
      </c>
      <c r="D1213" s="1014">
        <v>0.97376166638292827</v>
      </c>
      <c r="E1213" s="1014">
        <v>0.99135724072137554</v>
      </c>
      <c r="F1213" s="1014">
        <v>0.98164997460338854</v>
      </c>
      <c r="G1213" s="1014">
        <v>0.96478613329376672</v>
      </c>
      <c r="H1213" s="1014">
        <v>0.99146762297508839</v>
      </c>
      <c r="I1213" s="1014">
        <v>0.96809785676034377</v>
      </c>
      <c r="K1213">
        <v>2.3758216568440989</v>
      </c>
      <c r="L1213">
        <v>0</v>
      </c>
      <c r="M1213">
        <v>1.6769631181274942E-3</v>
      </c>
      <c r="N1213">
        <v>0.14866622146498115</v>
      </c>
      <c r="O1213">
        <v>2.122948371682342E-2</v>
      </c>
      <c r="P1213">
        <v>2.784662186047384E-2</v>
      </c>
      <c r="Q1213">
        <v>5.5071590578534158E-3</v>
      </c>
      <c r="R1213">
        <v>1.6546371041160559E-3</v>
      </c>
      <c r="S1213">
        <v>0.25447838327888839</v>
      </c>
      <c r="T1213">
        <v>1.3462856593292218</v>
      </c>
      <c r="U1213">
        <v>0.21321473122739784</v>
      </c>
      <c r="V1213">
        <v>0.23992132883459444</v>
      </c>
      <c r="W1213">
        <v>9.8168294025506406E-2</v>
      </c>
      <c r="X1213">
        <v>1.6022723315940814E-2</v>
      </c>
      <c r="Y1213">
        <v>4.5033767464291259E-3</v>
      </c>
    </row>
    <row r="1214" spans="1:25">
      <c r="A1214" s="1010"/>
      <c r="B1214" s="1351">
        <v>964</v>
      </c>
      <c r="C1214" s="1014">
        <v>0.97013139980852503</v>
      </c>
      <c r="D1214" s="1014">
        <v>0.99339187894827818</v>
      </c>
      <c r="E1214" s="1014">
        <v>0.99688799920863969</v>
      </c>
      <c r="F1214" s="1014">
        <v>1.019496015210225</v>
      </c>
      <c r="G1214" s="1014">
        <v>1.020311896687931</v>
      </c>
      <c r="H1214" s="1014">
        <v>0.97531549791492533</v>
      </c>
      <c r="I1214" s="1014">
        <v>1.0140725607126297</v>
      </c>
      <c r="K1214">
        <v>2.4629569119919061</v>
      </c>
      <c r="L1214">
        <v>0</v>
      </c>
      <c r="M1214">
        <v>1.6637127890249525E-3</v>
      </c>
      <c r="N1214">
        <v>0.14994435394908753</v>
      </c>
      <c r="O1214">
        <v>2.1661148027674069E-2</v>
      </c>
      <c r="P1214">
        <v>2.9090072645608468E-2</v>
      </c>
      <c r="Q1214">
        <v>5.6505659770937468E-3</v>
      </c>
      <c r="R1214">
        <v>1.6411963634668726E-3</v>
      </c>
      <c r="S1214">
        <v>0.26900957484189569</v>
      </c>
      <c r="T1214">
        <v>1.3983114886518604</v>
      </c>
      <c r="U1214">
        <v>0.21848870167240217</v>
      </c>
      <c r="V1214">
        <v>0.25093217001741075</v>
      </c>
      <c r="W1214">
        <v>9.8685832396982351E-2</v>
      </c>
      <c r="X1214">
        <v>1.6738724756330276E-2</v>
      </c>
      <c r="Y1214">
        <v>4.4667954811210119E-3</v>
      </c>
    </row>
    <row r="1215" spans="1:25">
      <c r="A1215" s="1010"/>
      <c r="B1215" s="1351">
        <v>965</v>
      </c>
      <c r="C1215" s="1014">
        <v>0.99817915469520258</v>
      </c>
      <c r="D1215" s="1014">
        <v>0.98801638193872032</v>
      </c>
      <c r="E1215" s="1014">
        <v>0.98529763681471505</v>
      </c>
      <c r="F1215" s="1014">
        <v>1.0018852313236417</v>
      </c>
      <c r="G1215" s="1014">
        <v>1.0074482043492459</v>
      </c>
      <c r="H1215" s="1014">
        <v>1.0004221390834969</v>
      </c>
      <c r="I1215" s="1014">
        <v>1.0074268237592339</v>
      </c>
      <c r="K1215">
        <v>2.4171840764497787</v>
      </c>
      <c r="L1215">
        <v>0</v>
      </c>
      <c r="M1215">
        <v>1.7009195570849105E-3</v>
      </c>
      <c r="N1215">
        <v>0.14807011128189287</v>
      </c>
      <c r="O1215">
        <v>2.1069922883800152E-2</v>
      </c>
      <c r="P1215">
        <v>2.8283939753190768E-2</v>
      </c>
      <c r="Q1215">
        <v>5.4323616832310006E-3</v>
      </c>
      <c r="R1215">
        <v>1.6784772914216152E-3</v>
      </c>
      <c r="S1215">
        <v>0.26251385543827443</v>
      </c>
      <c r="T1215">
        <v>1.373906346483758</v>
      </c>
      <c r="U1215">
        <v>0.21230977068527271</v>
      </c>
      <c r="V1215">
        <v>0.24697045620549474</v>
      </c>
      <c r="W1215">
        <v>9.8130712624784483E-2</v>
      </c>
      <c r="X1215">
        <v>1.5950779798383816E-2</v>
      </c>
      <c r="Y1215">
        <v>4.5682618773592266E-3</v>
      </c>
    </row>
    <row r="1216" spans="1:25">
      <c r="A1216" s="1010"/>
      <c r="B1216" s="1351">
        <v>966</v>
      </c>
      <c r="C1216" s="1014">
        <v>1.0032872366785153</v>
      </c>
      <c r="D1216" s="1014">
        <v>1.0274904482462623</v>
      </c>
      <c r="E1216" s="1014">
        <v>0.99651856499781466</v>
      </c>
      <c r="F1216" s="1014">
        <v>0.96327107678994583</v>
      </c>
      <c r="G1216" s="1014">
        <v>0.96109893838274485</v>
      </c>
      <c r="H1216" s="1014">
        <v>1.0217627529724604</v>
      </c>
      <c r="I1216" s="1014">
        <v>1.0341210430416261</v>
      </c>
      <c r="K1216">
        <v>2.3605159861951619</v>
      </c>
      <c r="L1216">
        <v>0</v>
      </c>
      <c r="M1216">
        <v>1.6741587122861565E-3</v>
      </c>
      <c r="N1216">
        <v>0.15081144697362761</v>
      </c>
      <c r="O1216">
        <v>2.0790124540310075E-2</v>
      </c>
      <c r="P1216">
        <v>2.7710957650184831E-2</v>
      </c>
      <c r="Q1216">
        <v>5.4213319737815898E-3</v>
      </c>
      <c r="R1216">
        <v>1.6525308906823152E-3</v>
      </c>
      <c r="S1216">
        <v>0.26485255388060069</v>
      </c>
      <c r="T1216">
        <v>1.321187284390082</v>
      </c>
      <c r="U1216">
        <v>0.21126700319637354</v>
      </c>
      <c r="V1216">
        <v>0.2386953681588655</v>
      </c>
      <c r="W1216">
        <v>9.9278362533984102E-2</v>
      </c>
      <c r="X1216">
        <v>1.6025536391180307E-2</v>
      </c>
      <c r="Y1216">
        <v>4.4976443277755553E-3</v>
      </c>
    </row>
    <row r="1217" spans="1:25">
      <c r="A1217" s="1010"/>
      <c r="B1217" s="1351">
        <v>967</v>
      </c>
      <c r="C1217" s="1014">
        <v>0.99942416592289529</v>
      </c>
      <c r="D1217" s="1014">
        <v>1.0298111610295426</v>
      </c>
      <c r="E1217" s="1014">
        <v>0.9950867835978946</v>
      </c>
      <c r="F1217" s="1014">
        <v>0.97339068321784861</v>
      </c>
      <c r="G1217" s="1014">
        <v>1.0321256601211044</v>
      </c>
      <c r="H1217" s="1014">
        <v>0.97715543555447848</v>
      </c>
      <c r="I1217" s="1014">
        <v>0.97623302634049569</v>
      </c>
      <c r="K1217">
        <v>2.3591928485114422</v>
      </c>
      <c r="L1217">
        <v>0</v>
      </c>
      <c r="M1217">
        <v>1.6112357487428437E-3</v>
      </c>
      <c r="N1217">
        <v>0.14443019705098184</v>
      </c>
      <c r="O1217">
        <v>2.085918427986299E-2</v>
      </c>
      <c r="P1217">
        <v>2.7806331267686758E-2</v>
      </c>
      <c r="Q1217">
        <v>5.4314994782608079E-3</v>
      </c>
      <c r="R1217">
        <v>1.5894705992071222E-3</v>
      </c>
      <c r="S1217">
        <v>0.24701944676719295</v>
      </c>
      <c r="T1217">
        <v>1.335036848118593</v>
      </c>
      <c r="U1217">
        <v>0.21207871906384851</v>
      </c>
      <c r="V1217">
        <v>0.25107160509552695</v>
      </c>
      <c r="W1217">
        <v>9.5158831882437497E-2</v>
      </c>
      <c r="X1217">
        <v>1.5995935654382541E-2</v>
      </c>
      <c r="Y1217">
        <v>4.3260150021995781E-3</v>
      </c>
    </row>
    <row r="1218" spans="1:25">
      <c r="A1218" s="1010"/>
      <c r="B1218" s="1351">
        <v>968</v>
      </c>
      <c r="C1218" s="1014">
        <v>1.002496595902987</v>
      </c>
      <c r="D1218" s="1014">
        <v>0.9863372257371068</v>
      </c>
      <c r="E1218" s="1014">
        <v>1.0266785074597982</v>
      </c>
      <c r="F1218" s="1014">
        <v>1.0142104053595888</v>
      </c>
      <c r="G1218" s="1014">
        <v>1.0106122113261087</v>
      </c>
      <c r="H1218" s="1014">
        <v>0.96787535115060075</v>
      </c>
      <c r="I1218" s="1014">
        <v>0.95978227206173006</v>
      </c>
      <c r="K1218">
        <v>2.4187864947643294</v>
      </c>
      <c r="L1218">
        <v>0</v>
      </c>
      <c r="M1218">
        <v>1.5041656574377984E-3</v>
      </c>
      <c r="N1218">
        <v>0.14830503082255403</v>
      </c>
      <c r="O1218">
        <v>2.1014536504973893E-2</v>
      </c>
      <c r="P1218">
        <v>2.9186618875600076E-2</v>
      </c>
      <c r="Q1218">
        <v>5.6474315156471418E-3</v>
      </c>
      <c r="R1218">
        <v>1.4836520303005557E-3</v>
      </c>
      <c r="S1218">
        <v>0.24690021500386247</v>
      </c>
      <c r="T1218">
        <v>1.3917168897876337</v>
      </c>
      <c r="U1218">
        <v>0.21153664310613124</v>
      </c>
      <c r="V1218">
        <v>0.24709231147749422</v>
      </c>
      <c r="W1218">
        <v>9.590956500113873E-2</v>
      </c>
      <c r="X1218">
        <v>1.7459754555710069E-2</v>
      </c>
      <c r="Y1218">
        <v>4.0380117407177677E-3</v>
      </c>
    </row>
    <row r="1219" spans="1:25">
      <c r="A1219" s="1010"/>
      <c r="B1219" s="1351">
        <v>969</v>
      </c>
      <c r="C1219" s="1014">
        <v>0.95999916813329778</v>
      </c>
      <c r="D1219" s="1014">
        <v>0.99542970928881491</v>
      </c>
      <c r="E1219" s="1014">
        <v>1.0345159949738476</v>
      </c>
      <c r="F1219" s="1014">
        <v>1.0171030263841379</v>
      </c>
      <c r="G1219" s="1014">
        <v>0.98719637732536247</v>
      </c>
      <c r="H1219" s="1014">
        <v>0.98913610392871465</v>
      </c>
      <c r="I1219" s="1014">
        <v>0.98935369305243048</v>
      </c>
      <c r="K1219">
        <v>2.4708369682766156</v>
      </c>
      <c r="L1219">
        <v>0</v>
      </c>
      <c r="M1219">
        <v>1.5760654734237596E-3</v>
      </c>
      <c r="N1219">
        <v>0.15915636255243884</v>
      </c>
      <c r="O1219">
        <v>2.1906004097199235E-2</v>
      </c>
      <c r="P1219">
        <v>2.9798833164468009E-2</v>
      </c>
      <c r="Q1219">
        <v>5.9327837582249113E-3</v>
      </c>
      <c r="R1219">
        <v>1.5550332871530055E-3</v>
      </c>
      <c r="S1219">
        <v>0.26647879571881056</v>
      </c>
      <c r="T1219">
        <v>1.3958596292097241</v>
      </c>
      <c r="U1219">
        <v>0.22092902314603577</v>
      </c>
      <c r="V1219">
        <v>0.24582650244343049</v>
      </c>
      <c r="W1219">
        <v>0.10246018943179459</v>
      </c>
      <c r="X1219">
        <v>1.827758894971377E-2</v>
      </c>
      <c r="Y1219">
        <v>4.2322879910451413E-3</v>
      </c>
    </row>
    <row r="1220" spans="1:25">
      <c r="A1220" s="1010"/>
      <c r="B1220" s="1351">
        <v>970</v>
      </c>
      <c r="C1220" s="1014">
        <v>0.96181207147100189</v>
      </c>
      <c r="D1220" s="1014">
        <v>0.99079179145482144</v>
      </c>
      <c r="E1220" s="1014">
        <v>0.98921455305146466</v>
      </c>
      <c r="F1220" s="1014">
        <v>0.99288777143032569</v>
      </c>
      <c r="G1220" s="1014">
        <v>0.97727599308411395</v>
      </c>
      <c r="H1220" s="1014">
        <v>1.0283766466437656</v>
      </c>
      <c r="I1220" s="1014">
        <v>1.0213700146367326</v>
      </c>
      <c r="K1220">
        <v>2.4450777962064554</v>
      </c>
      <c r="L1220">
        <v>0</v>
      </c>
      <c r="M1220">
        <v>1.7987938199396257E-3</v>
      </c>
      <c r="N1220">
        <v>0.15851378008606509</v>
      </c>
      <c r="O1220">
        <v>2.1855810330336123E-2</v>
      </c>
      <c r="P1220">
        <v>2.8487493479015202E-2</v>
      </c>
      <c r="Q1220">
        <v>5.6573711867208458E-3</v>
      </c>
      <c r="R1220">
        <v>1.7757053369173233E-3</v>
      </c>
      <c r="S1220">
        <v>0.27838525895934718</v>
      </c>
      <c r="T1220">
        <v>1.3616518344326478</v>
      </c>
      <c r="U1220">
        <v>0.22035130924677096</v>
      </c>
      <c r="V1220">
        <v>0.24416505949597914</v>
      </c>
      <c r="W1220">
        <v>0.10480531260610665</v>
      </c>
      <c r="X1220">
        <v>1.6394770300504229E-2</v>
      </c>
      <c r="Y1220">
        <v>4.8328845659819583E-3</v>
      </c>
    </row>
    <row r="1221" spans="1:25">
      <c r="A1221" s="1010"/>
      <c r="B1221" s="1351">
        <v>971</v>
      </c>
      <c r="C1221" s="1014">
        <v>1.0027264243546485</v>
      </c>
      <c r="D1221" s="1014">
        <v>0.97809835732609807</v>
      </c>
      <c r="E1221" s="1014">
        <v>0.97824855315031944</v>
      </c>
      <c r="F1221" s="1014">
        <v>0.99831130968809711</v>
      </c>
      <c r="G1221" s="1014">
        <v>0.98082975444679421</v>
      </c>
      <c r="H1221" s="1014">
        <v>1.000782531851901</v>
      </c>
      <c r="I1221" s="1014">
        <v>0.95369840368043546</v>
      </c>
      <c r="K1221">
        <v>2.3897995942323278</v>
      </c>
      <c r="L1221">
        <v>0</v>
      </c>
      <c r="M1221">
        <v>1.7225119734123814E-3</v>
      </c>
      <c r="N1221">
        <v>0.14678662555364339</v>
      </c>
      <c r="O1221">
        <v>2.1016304287192707E-2</v>
      </c>
      <c r="P1221">
        <v>2.7801153976177728E-2</v>
      </c>
      <c r="Q1221">
        <v>5.3798920991000336E-3</v>
      </c>
      <c r="R1221">
        <v>1.6997929974801489E-3</v>
      </c>
      <c r="S1221">
        <v>0.24861890592447825</v>
      </c>
      <c r="T1221">
        <v>1.3688537212668055</v>
      </c>
      <c r="U1221">
        <v>0.21132300627211686</v>
      </c>
      <c r="V1221">
        <v>0.24216461126633049</v>
      </c>
      <c r="W1221">
        <v>9.7694468740403481E-2</v>
      </c>
      <c r="X1221">
        <v>1.5557347619479153E-2</v>
      </c>
      <c r="Y1221">
        <v>4.6262762025299411E-3</v>
      </c>
    </row>
    <row r="1222" spans="1:25">
      <c r="A1222" s="1010"/>
      <c r="B1222" s="1351">
        <v>972</v>
      </c>
      <c r="C1222" s="1014">
        <v>1.0430750357254628</v>
      </c>
      <c r="D1222" s="1014">
        <v>1.0107144984648391</v>
      </c>
      <c r="E1222" s="1014">
        <v>1.0280801347991846</v>
      </c>
      <c r="F1222" s="1014">
        <v>1.0024105386581288</v>
      </c>
      <c r="G1222" s="1014">
        <v>0.98564859682925732</v>
      </c>
      <c r="H1222" s="1014">
        <v>0.95236062212071715</v>
      </c>
      <c r="I1222" s="1014">
        <v>1.007858296426946</v>
      </c>
      <c r="K1222">
        <v>2.369052728500205</v>
      </c>
      <c r="L1222">
        <v>0</v>
      </c>
      <c r="M1222">
        <v>1.4107316400970157E-3</v>
      </c>
      <c r="N1222">
        <v>0.13965039507273383</v>
      </c>
      <c r="O1222">
        <v>2.0089716547119198E-2</v>
      </c>
      <c r="P1222">
        <v>2.8755261547303106E-2</v>
      </c>
      <c r="Q1222">
        <v>5.4063937259486985E-3</v>
      </c>
      <c r="R1222">
        <v>1.3911788294175423E-3</v>
      </c>
      <c r="S1222">
        <v>0.2448715388834023</v>
      </c>
      <c r="T1222">
        <v>1.3755554607262426</v>
      </c>
      <c r="U1222">
        <v>0.20331190786010694</v>
      </c>
      <c r="V1222">
        <v>0.2404052758660655</v>
      </c>
      <c r="W1222">
        <v>9.0238970567986743E-2</v>
      </c>
      <c r="X1222">
        <v>1.7001030342281044E-2</v>
      </c>
      <c r="Y1222">
        <v>3.7863301716966843E-3</v>
      </c>
    </row>
    <row r="1223" spans="1:25">
      <c r="A1223" s="1010"/>
      <c r="B1223" s="1351">
        <v>973</v>
      </c>
      <c r="C1223" s="1014">
        <v>0.998030824351405</v>
      </c>
      <c r="D1223" s="1014">
        <v>0.9761759858855974</v>
      </c>
      <c r="E1223" s="1014">
        <v>0.97156245620214143</v>
      </c>
      <c r="F1223" s="1014">
        <v>1.0181938630944323</v>
      </c>
      <c r="G1223" s="1014">
        <v>1.0003726923874172</v>
      </c>
      <c r="H1223" s="1014">
        <v>0.96421156295908539</v>
      </c>
      <c r="I1223" s="1014">
        <v>1.0065140376476442</v>
      </c>
      <c r="K1223">
        <v>2.4250482167893659</v>
      </c>
      <c r="L1223">
        <v>0</v>
      </c>
      <c r="M1223">
        <v>1.691300361648387E-3</v>
      </c>
      <c r="N1223">
        <v>0.14116783453072435</v>
      </c>
      <c r="O1223">
        <v>2.1119872468112189E-2</v>
      </c>
      <c r="P1223">
        <v>2.8244814229951492E-2</v>
      </c>
      <c r="Q1223">
        <v>5.3696845413756652E-3</v>
      </c>
      <c r="R1223">
        <v>1.6681469696402797E-3</v>
      </c>
      <c r="S1223">
        <v>0.26067640604613973</v>
      </c>
      <c r="T1223">
        <v>1.395969592894565</v>
      </c>
      <c r="U1223">
        <v>0.21229444565643713</v>
      </c>
      <c r="V1223">
        <v>0.24582126762668283</v>
      </c>
      <c r="W1223">
        <v>9.4336483921957509E-2</v>
      </c>
      <c r="X1223">
        <v>1.5530822118566894E-2</v>
      </c>
      <c r="Y1223">
        <v>4.5401461468600902E-3</v>
      </c>
    </row>
    <row r="1224" spans="1:25">
      <c r="A1224" s="1010"/>
      <c r="B1224" s="1351">
        <v>974</v>
      </c>
      <c r="C1224" s="1014">
        <v>0.9860068368957825</v>
      </c>
      <c r="D1224" s="1014">
        <v>0.96930258546306769</v>
      </c>
      <c r="E1224" s="1014">
        <v>1.005740477969993</v>
      </c>
      <c r="F1224" s="1014">
        <v>1.0100132849466132</v>
      </c>
      <c r="G1224" s="1014">
        <v>1.0349685010767236</v>
      </c>
      <c r="H1224" s="1014">
        <v>1.0287626425767569</v>
      </c>
      <c r="I1224" s="1014">
        <v>0.99268609651210127</v>
      </c>
      <c r="K1224">
        <v>2.4588095095181983</v>
      </c>
      <c r="L1224">
        <v>0</v>
      </c>
      <c r="M1224">
        <v>1.7043863959599389E-3</v>
      </c>
      <c r="N1224">
        <v>0.1578859388688168</v>
      </c>
      <c r="O1224">
        <v>2.1433800464217445E-2</v>
      </c>
      <c r="P1224">
        <v>2.9051336370096943E-2</v>
      </c>
      <c r="Q1224">
        <v>5.6411981418005835E-3</v>
      </c>
      <c r="R1224">
        <v>1.6825178910686149E-3</v>
      </c>
      <c r="S1224">
        <v>0.26701486898721399</v>
      </c>
      <c r="T1224">
        <v>1.3854986797461852</v>
      </c>
      <c r="U1224">
        <v>0.21500156802992379</v>
      </c>
      <c r="V1224">
        <v>0.25236681837597458</v>
      </c>
      <c r="W1224">
        <v>0.10336785385251886</v>
      </c>
      <c r="X1224">
        <v>1.6990056128725655E-2</v>
      </c>
      <c r="Y1224">
        <v>4.5792590576150443E-3</v>
      </c>
    </row>
    <row r="1225" spans="1:25">
      <c r="A1225" s="1010"/>
      <c r="B1225" s="1351">
        <v>975</v>
      </c>
      <c r="C1225" s="1014">
        <v>0.9918581391484752</v>
      </c>
      <c r="D1225" s="1014">
        <v>1.014336170784752</v>
      </c>
      <c r="E1225" s="1014">
        <v>1.0141891260869202</v>
      </c>
      <c r="F1225" s="1014">
        <v>0.95880599779757181</v>
      </c>
      <c r="G1225" s="1014">
        <v>0.9968257080305335</v>
      </c>
      <c r="H1225" s="1014">
        <v>1.001407855186685</v>
      </c>
      <c r="I1225" s="1014">
        <v>0.98179861082401754</v>
      </c>
      <c r="K1225">
        <v>2.3564764569529415</v>
      </c>
      <c r="L1225">
        <v>0</v>
      </c>
      <c r="M1225">
        <v>1.604473447258741E-3</v>
      </c>
      <c r="N1225">
        <v>0.15241617144196129</v>
      </c>
      <c r="O1225">
        <v>2.1101181420894389E-2</v>
      </c>
      <c r="P1225">
        <v>2.7980753776847958E-2</v>
      </c>
      <c r="Q1225">
        <v>5.600759114719793E-3</v>
      </c>
      <c r="R1225">
        <v>1.5833245484654726E-3</v>
      </c>
      <c r="S1225">
        <v>0.25441462863138681</v>
      </c>
      <c r="T1225">
        <v>1.3154299764394981</v>
      </c>
      <c r="U1225">
        <v>0.21376236337862758</v>
      </c>
      <c r="V1225">
        <v>0.24545107514132442</v>
      </c>
      <c r="W1225">
        <v>9.9290886544566442E-2</v>
      </c>
      <c r="X1225">
        <v>1.6740522483782435E-2</v>
      </c>
      <c r="Y1225">
        <v>4.3092874781258898E-3</v>
      </c>
    </row>
    <row r="1226" spans="1:25">
      <c r="A1226" s="1010"/>
      <c r="B1226" s="1351">
        <v>976</v>
      </c>
      <c r="C1226" s="1014">
        <v>0.98473661556915193</v>
      </c>
      <c r="D1226" s="1014">
        <v>0.96388954770093793</v>
      </c>
      <c r="E1226" s="1014">
        <v>0.99865277675548425</v>
      </c>
      <c r="F1226" s="1014">
        <v>0.97872358750395394</v>
      </c>
      <c r="G1226" s="1014">
        <v>0.99293494944355642</v>
      </c>
      <c r="H1226" s="1014">
        <v>1.0278569973419796</v>
      </c>
      <c r="I1226" s="1014">
        <v>1.01933786320234</v>
      </c>
      <c r="K1226">
        <v>2.4150982830505874</v>
      </c>
      <c r="L1226">
        <v>0</v>
      </c>
      <c r="M1226">
        <v>1.7324777616544728E-3</v>
      </c>
      <c r="N1226">
        <v>0.15708685221997853</v>
      </c>
      <c r="O1226">
        <v>2.1483088158434881E-2</v>
      </c>
      <c r="P1226">
        <v>2.8329679358393291E-2</v>
      </c>
      <c r="Q1226">
        <v>5.6140793260187078E-3</v>
      </c>
      <c r="R1226">
        <v>1.7102292383849175E-3</v>
      </c>
      <c r="S1226">
        <v>0.27516891807770699</v>
      </c>
      <c r="T1226">
        <v>1.3424265366080887</v>
      </c>
      <c r="U1226">
        <v>0.21525428927233006</v>
      </c>
      <c r="V1226">
        <v>0.24529647630396206</v>
      </c>
      <c r="W1226">
        <v>0.10327809053612912</v>
      </c>
      <c r="X1226">
        <v>1.6527841502846329E-2</v>
      </c>
      <c r="Y1226">
        <v>4.65468020996683E-3</v>
      </c>
    </row>
    <row r="1227" spans="1:25">
      <c r="A1227" s="1010"/>
      <c r="B1227" s="1351">
        <v>977</v>
      </c>
      <c r="C1227" s="1014">
        <v>1.0254299663772877</v>
      </c>
      <c r="D1227" s="1014">
        <v>1.0093613397054542</v>
      </c>
      <c r="E1227" s="1014">
        <v>1.0132630574503212</v>
      </c>
      <c r="F1227" s="1014">
        <v>0.97839917028876755</v>
      </c>
      <c r="G1227" s="1014">
        <v>0.99821278957997583</v>
      </c>
      <c r="H1227" s="1014">
        <v>1.0195802895328292</v>
      </c>
      <c r="I1227" s="1014">
        <v>1.0045764304215214</v>
      </c>
      <c r="K1227">
        <v>2.3695317803463696</v>
      </c>
      <c r="L1227">
        <v>0</v>
      </c>
      <c r="M1227">
        <v>1.5848651004611643E-3</v>
      </c>
      <c r="N1227">
        <v>0.15016901401656424</v>
      </c>
      <c r="O1227">
        <v>2.0431833534038286E-2</v>
      </c>
      <c r="P1227">
        <v>2.8203425108552272E-2</v>
      </c>
      <c r="Q1227">
        <v>5.4180904241589462E-3</v>
      </c>
      <c r="R1227">
        <v>1.5643470029520314E-3</v>
      </c>
      <c r="S1227">
        <v>0.2539177287525734</v>
      </c>
      <c r="T1227">
        <v>1.3422910995525736</v>
      </c>
      <c r="U1227">
        <v>0.20676084638075126</v>
      </c>
      <c r="V1227">
        <v>0.24363117451800939</v>
      </c>
      <c r="W1227">
        <v>9.7880264480159448E-2</v>
      </c>
      <c r="X1227">
        <v>1.6591184821313994E-2</v>
      </c>
      <c r="Y1227">
        <v>4.2576368551845009E-3</v>
      </c>
    </row>
    <row r="1228" spans="1:25">
      <c r="A1228" s="1010"/>
      <c r="B1228" s="1351">
        <v>978</v>
      </c>
      <c r="C1228" s="1014">
        <v>0.99090981489120578</v>
      </c>
      <c r="D1228" s="1014">
        <v>1.0381952506424508</v>
      </c>
      <c r="E1228" s="1014">
        <v>0.97660288301810694</v>
      </c>
      <c r="F1228" s="1014">
        <v>1.017398142609319</v>
      </c>
      <c r="G1228" s="1014">
        <v>0.97366110541824447</v>
      </c>
      <c r="H1228" s="1014">
        <v>0.98102766024973187</v>
      </c>
      <c r="I1228" s="1014">
        <v>1.0328200779643346</v>
      </c>
      <c r="K1228">
        <v>2.427109404912974</v>
      </c>
      <c r="L1228">
        <v>0</v>
      </c>
      <c r="M1228">
        <v>1.6921237944104667E-3</v>
      </c>
      <c r="N1228">
        <v>0.1434420887608589</v>
      </c>
      <c r="O1228">
        <v>2.0988669505345666E-2</v>
      </c>
      <c r="P1228">
        <v>2.8333020390208869E-2</v>
      </c>
      <c r="Q1228">
        <v>5.3638257373665671E-3</v>
      </c>
      <c r="R1228">
        <v>1.6693562025061927E-3</v>
      </c>
      <c r="S1228">
        <v>0.26270702869486534</v>
      </c>
      <c r="T1228">
        <v>1.3949889555174506</v>
      </c>
      <c r="U1228">
        <v>0.21383737901089542</v>
      </c>
      <c r="V1228">
        <v>0.24168723305388207</v>
      </c>
      <c r="W1228">
        <v>9.5563605571831481E-2</v>
      </c>
      <c r="X1228">
        <v>1.5676928982073766E-2</v>
      </c>
      <c r="Y1228">
        <v>4.5434372800975988E-3</v>
      </c>
    </row>
    <row r="1229" spans="1:25">
      <c r="A1229" s="1010"/>
      <c r="B1229" s="1351">
        <v>979</v>
      </c>
      <c r="C1229" s="1014">
        <v>1.0226617242285685</v>
      </c>
      <c r="D1229" s="1014">
        <v>0.97217854293966832</v>
      </c>
      <c r="E1229" s="1014">
        <v>1.011611849441695</v>
      </c>
      <c r="F1229" s="1014">
        <v>0.98005344361919067</v>
      </c>
      <c r="G1229" s="1014">
        <v>0.99394053958570061</v>
      </c>
      <c r="H1229" s="1014">
        <v>0.95761911020837942</v>
      </c>
      <c r="I1229" s="1014">
        <v>0.98146095353074836</v>
      </c>
      <c r="K1229">
        <v>2.353121560170492</v>
      </c>
      <c r="L1229">
        <v>0</v>
      </c>
      <c r="M1229">
        <v>1.5101294374899627E-3</v>
      </c>
      <c r="N1229">
        <v>0.14225544884394162</v>
      </c>
      <c r="O1229">
        <v>2.0655930842902733E-2</v>
      </c>
      <c r="P1229">
        <v>2.8123252997641152E-2</v>
      </c>
      <c r="Q1229">
        <v>5.4684946312208473E-3</v>
      </c>
      <c r="R1229">
        <v>1.4893139020072358E-3</v>
      </c>
      <c r="S1229">
        <v>0.2483558844089164</v>
      </c>
      <c r="T1229">
        <v>1.3445255530161111</v>
      </c>
      <c r="U1229">
        <v>0.20731499741239032</v>
      </c>
      <c r="V1229">
        <v>0.2430724378131616</v>
      </c>
      <c r="W1229">
        <v>9.2812349561576565E-2</v>
      </c>
      <c r="X1229">
        <v>1.650460468904592E-2</v>
      </c>
      <c r="Y1229">
        <v>4.0534214890678441E-3</v>
      </c>
    </row>
    <row r="1230" spans="1:25">
      <c r="A1230" s="1010"/>
      <c r="B1230" s="1351">
        <v>980</v>
      </c>
      <c r="C1230" s="1014">
        <v>1.0054033651926015</v>
      </c>
      <c r="D1230" s="1014">
        <v>1.0257582989248943</v>
      </c>
      <c r="E1230" s="1014">
        <v>1.0170578175960876</v>
      </c>
      <c r="F1230" s="1014">
        <v>0.98089479782644218</v>
      </c>
      <c r="G1230" s="1014">
        <v>0.9525674823582071</v>
      </c>
      <c r="H1230" s="1014">
        <v>1.0333095911198797</v>
      </c>
      <c r="I1230" s="1014">
        <v>0.96703774300872292</v>
      </c>
      <c r="K1230">
        <v>2.3741009939054534</v>
      </c>
      <c r="L1230">
        <v>0</v>
      </c>
      <c r="M1230">
        <v>1.619574191614029E-3</v>
      </c>
      <c r="N1230">
        <v>0.15525232345356138</v>
      </c>
      <c r="O1230">
        <v>2.0767565375835451E-2</v>
      </c>
      <c r="P1230">
        <v>2.8221239786997258E-2</v>
      </c>
      <c r="Q1230">
        <v>5.5279901381385822E-3</v>
      </c>
      <c r="R1230">
        <v>1.5988853294865591E-3</v>
      </c>
      <c r="S1230">
        <v>0.24845784463626816</v>
      </c>
      <c r="T1230">
        <v>1.3457956630330559</v>
      </c>
      <c r="U1230">
        <v>0.21089224154852629</v>
      </c>
      <c r="V1230">
        <v>0.23703886663406817</v>
      </c>
      <c r="W1230">
        <v>0.10096829955258793</v>
      </c>
      <c r="X1230">
        <v>1.6848009814085626E-2</v>
      </c>
      <c r="Y1230">
        <v>4.351638794455201E-3</v>
      </c>
    </row>
    <row r="1231" spans="1:25">
      <c r="A1231" s="1010"/>
      <c r="B1231" s="1351">
        <v>981</v>
      </c>
      <c r="C1231" s="1014">
        <v>0.97799495965256766</v>
      </c>
      <c r="D1231" s="1014">
        <v>0.97337982923226984</v>
      </c>
      <c r="E1231" s="1014">
        <v>0.99109817114324683</v>
      </c>
      <c r="F1231" s="1014">
        <v>0.99560698564579886</v>
      </c>
      <c r="G1231" s="1014">
        <v>1.0136648989432002</v>
      </c>
      <c r="H1231" s="1014">
        <v>0.9953280323414655</v>
      </c>
      <c r="I1231" s="1014">
        <v>1.0104498007434086</v>
      </c>
      <c r="K1231">
        <v>2.4302324230731656</v>
      </c>
      <c r="L1231">
        <v>0</v>
      </c>
      <c r="M1231">
        <v>1.7121774351869482E-3</v>
      </c>
      <c r="N1231">
        <v>0.15167714491812445</v>
      </c>
      <c r="O1231">
        <v>2.1579449993420815E-2</v>
      </c>
      <c r="P1231">
        <v>2.8490428396288833E-2</v>
      </c>
      <c r="Q1231">
        <v>5.5964794378297383E-3</v>
      </c>
      <c r="R1231">
        <v>1.6894710107336539E-3</v>
      </c>
      <c r="S1231">
        <v>0.2703611676732216</v>
      </c>
      <c r="T1231">
        <v>1.3654214590841836</v>
      </c>
      <c r="U1231">
        <v>0.21671172811025133</v>
      </c>
      <c r="V1231">
        <v>0.24930098452631697</v>
      </c>
      <c r="W1231">
        <v>0.10017201779702091</v>
      </c>
      <c r="X1231">
        <v>1.6346086403709163E-2</v>
      </c>
      <c r="Y1231">
        <v>4.5981831572479964E-3</v>
      </c>
    </row>
    <row r="1232" spans="1:25">
      <c r="A1232" s="1010"/>
      <c r="B1232" s="1351">
        <v>982</v>
      </c>
      <c r="C1232" s="1014">
        <v>0.98467014969059485</v>
      </c>
      <c r="D1232" s="1014">
        <v>0.98995953309819906</v>
      </c>
      <c r="E1232" s="1014">
        <v>1.0010193059071562</v>
      </c>
      <c r="F1232" s="1014">
        <v>0.98610269391009064</v>
      </c>
      <c r="G1232" s="1014">
        <v>1.0298545659194038</v>
      </c>
      <c r="H1232" s="1014">
        <v>1.0112166127508901</v>
      </c>
      <c r="I1232" s="1014">
        <v>0.97669027818458287</v>
      </c>
      <c r="K1232">
        <v>2.4097057013222738</v>
      </c>
      <c r="L1232">
        <v>0</v>
      </c>
      <c r="M1232">
        <v>1.6862687333527335E-3</v>
      </c>
      <c r="N1232">
        <v>0.15396114350059739</v>
      </c>
      <c r="O1232">
        <v>2.1360366015591041E-2</v>
      </c>
      <c r="P1232">
        <v>2.8381116834343106E-2</v>
      </c>
      <c r="Q1232">
        <v>5.595304316501193E-3</v>
      </c>
      <c r="R1232">
        <v>1.6642572753710336E-3</v>
      </c>
      <c r="S1232">
        <v>0.25878267728116466</v>
      </c>
      <c r="T1232">
        <v>1.3525982597656894</v>
      </c>
      <c r="U1232">
        <v>0.21527703415526467</v>
      </c>
      <c r="V1232">
        <v>0.25159701253978772</v>
      </c>
      <c r="W1232">
        <v>0.1010807745165757</v>
      </c>
      <c r="X1232">
        <v>1.656446417344486E-2</v>
      </c>
      <c r="Y1232">
        <v>4.5295596812965746E-3</v>
      </c>
    </row>
    <row r="1233" spans="1:25">
      <c r="A1233" s="1010"/>
      <c r="B1233" s="1351">
        <v>983</v>
      </c>
      <c r="C1233" s="1014">
        <v>1.0168130097963186</v>
      </c>
      <c r="D1233" s="1014">
        <v>1.0147552117655343</v>
      </c>
      <c r="E1233" s="1014">
        <v>0.98656629531965889</v>
      </c>
      <c r="F1233" s="1014">
        <v>0.99777716871014355</v>
      </c>
      <c r="G1233" s="1014">
        <v>1.0058192351327311</v>
      </c>
      <c r="H1233" s="1014">
        <v>0.99390855627531893</v>
      </c>
      <c r="I1233" s="1014">
        <v>1.0216968398656876</v>
      </c>
      <c r="K1233">
        <v>2.3926399651382986</v>
      </c>
      <c r="L1233">
        <v>0</v>
      </c>
      <c r="M1233">
        <v>1.6448358923463514E-3</v>
      </c>
      <c r="N1233">
        <v>0.14372571273348486</v>
      </c>
      <c r="O1233">
        <v>2.056346846215508E-2</v>
      </c>
      <c r="P1233">
        <v>2.8093578314514409E-2</v>
      </c>
      <c r="Q1233">
        <v>5.3086031797190585E-3</v>
      </c>
      <c r="R1233">
        <v>1.6229913795324093E-3</v>
      </c>
      <c r="S1233">
        <v>0.25733852466638246</v>
      </c>
      <c r="T1233">
        <v>1.3683001726257134</v>
      </c>
      <c r="U1233">
        <v>0.2084232914358016</v>
      </c>
      <c r="V1233">
        <v>0.24554226393228923</v>
      </c>
      <c r="W1233">
        <v>9.5178946003632151E-2</v>
      </c>
      <c r="X1233">
        <v>1.5770000781295108E-2</v>
      </c>
      <c r="Y1233">
        <v>4.4172475161227444E-3</v>
      </c>
    </row>
    <row r="1234" spans="1:25">
      <c r="A1234" s="1010"/>
      <c r="B1234" s="1351">
        <v>984</v>
      </c>
      <c r="C1234" s="1014">
        <v>1.0396610349211084</v>
      </c>
      <c r="D1234" s="1014">
        <v>1.0115388075205636</v>
      </c>
      <c r="E1234" s="1014">
        <v>1.0180443813607956</v>
      </c>
      <c r="F1234" s="1014">
        <v>1.0092076885586962</v>
      </c>
      <c r="G1234" s="1014">
        <v>0.9880327835318663</v>
      </c>
      <c r="H1234" s="1014">
        <v>1.0051998834460232</v>
      </c>
      <c r="I1234" s="1014">
        <v>1.0103769103891178</v>
      </c>
      <c r="K1234">
        <v>2.3971528009910905</v>
      </c>
      <c r="L1234">
        <v>0</v>
      </c>
      <c r="M1234">
        <v>1.5251549971129531E-3</v>
      </c>
      <c r="N1234">
        <v>0.14658410102049693</v>
      </c>
      <c r="O1234">
        <v>2.0145659082251664E-2</v>
      </c>
      <c r="P1234">
        <v>2.8766290680714478E-2</v>
      </c>
      <c r="Q1234">
        <v>5.3677178382389775E-3</v>
      </c>
      <c r="R1234">
        <v>1.5051274495935802E-3</v>
      </c>
      <c r="S1234">
        <v>0.25046974850864173</v>
      </c>
      <c r="T1234">
        <v>1.3846627887699654</v>
      </c>
      <c r="U1234">
        <v>0.20394642445636194</v>
      </c>
      <c r="V1234">
        <v>0.24104354420209215</v>
      </c>
      <c r="W1234">
        <v>9.5275809424966829E-2</v>
      </c>
      <c r="X1234">
        <v>1.6814283802211449E-2</v>
      </c>
      <c r="Y1234">
        <v>4.0964607526633133E-3</v>
      </c>
    </row>
    <row r="1235" spans="1:25">
      <c r="A1235" s="1010"/>
      <c r="B1235" s="1351">
        <v>985</v>
      </c>
      <c r="C1235" s="1014">
        <v>0.99885992629642806</v>
      </c>
      <c r="D1235" s="1014">
        <v>0.98213741340118577</v>
      </c>
      <c r="E1235" s="1014">
        <v>0.98614232652615053</v>
      </c>
      <c r="F1235" s="1014">
        <v>0.98677740779979317</v>
      </c>
      <c r="G1235" s="1014">
        <v>1.0179870313759882</v>
      </c>
      <c r="H1235" s="1014">
        <v>1.0066613828561564</v>
      </c>
      <c r="I1235" s="1014">
        <v>1.0026594215446782</v>
      </c>
      <c r="K1235">
        <v>2.3996202405974709</v>
      </c>
      <c r="L1235">
        <v>0</v>
      </c>
      <c r="M1235">
        <v>1.7096167584162497E-3</v>
      </c>
      <c r="N1235">
        <v>0.14922028385883079</v>
      </c>
      <c r="O1235">
        <v>2.1083788385655972E-2</v>
      </c>
      <c r="P1235">
        <v>2.8042934684145496E-2</v>
      </c>
      <c r="Q1235">
        <v>5.4405907078751937E-3</v>
      </c>
      <c r="R1235">
        <v>1.6871995476005468E-3</v>
      </c>
      <c r="S1235">
        <v>0.26241962001255664</v>
      </c>
      <c r="T1235">
        <v>1.3532066443666568</v>
      </c>
      <c r="U1235">
        <v>0.21216795531125482</v>
      </c>
      <c r="V1235">
        <v>0.24872519329039958</v>
      </c>
      <c r="W1235">
        <v>9.8842769192079127E-2</v>
      </c>
      <c r="X1235">
        <v>1.5900877015444372E-2</v>
      </c>
      <c r="Y1235">
        <v>4.5920009833873001E-3</v>
      </c>
    </row>
    <row r="1236" spans="1:25">
      <c r="A1236" s="1010"/>
      <c r="B1236" s="1351">
        <v>986</v>
      </c>
      <c r="C1236" s="1014">
        <v>1.0242583005393344</v>
      </c>
      <c r="D1236" s="1014">
        <v>0.97873418334000728</v>
      </c>
      <c r="E1236" s="1014">
        <v>1.0239634028830435</v>
      </c>
      <c r="F1236" s="1014">
        <v>0.97832800330353897</v>
      </c>
      <c r="G1236" s="1014">
        <v>0.98583995444040973</v>
      </c>
      <c r="H1236" s="1014">
        <v>0.99125804620515767</v>
      </c>
      <c r="I1236" s="1014">
        <v>0.99789787012205311</v>
      </c>
      <c r="K1236">
        <v>2.3655880478846849</v>
      </c>
      <c r="L1236">
        <v>0</v>
      </c>
      <c r="M1236">
        <v>1.5189067473914152E-3</v>
      </c>
      <c r="N1236">
        <v>0.14858572255076158</v>
      </c>
      <c r="O1236">
        <v>2.0601325901703101E-2</v>
      </c>
      <c r="P1236">
        <v>2.8405653242164975E-2</v>
      </c>
      <c r="Q1236">
        <v>5.5215054566618684E-3</v>
      </c>
      <c r="R1236">
        <v>1.4986807193885757E-3</v>
      </c>
      <c r="S1236">
        <v>0.25416392529794368</v>
      </c>
      <c r="T1236">
        <v>1.3424207082795965</v>
      </c>
      <c r="U1236">
        <v>0.20703317513584005</v>
      </c>
      <c r="V1236">
        <v>0.2415515109760811</v>
      </c>
      <c r="W1236">
        <v>9.6243211868156153E-2</v>
      </c>
      <c r="X1236">
        <v>1.7002620325567465E-2</v>
      </c>
      <c r="Y1236">
        <v>4.0789148782093328E-3</v>
      </c>
    </row>
    <row r="1237" spans="1:25">
      <c r="A1237" s="1010"/>
      <c r="B1237" s="1351">
        <v>987</v>
      </c>
      <c r="C1237" s="1014">
        <v>0.99054538655436586</v>
      </c>
      <c r="D1237" s="1014">
        <v>0.96047528543934046</v>
      </c>
      <c r="E1237" s="1014">
        <v>1.0224978074589919</v>
      </c>
      <c r="F1237" s="1014">
        <v>1.0046197673184725</v>
      </c>
      <c r="G1237" s="1014">
        <v>1.0218481913404864</v>
      </c>
      <c r="H1237" s="1014">
        <v>1.0154030975499024</v>
      </c>
      <c r="I1237" s="1014">
        <v>1.0012167023352463</v>
      </c>
      <c r="K1237">
        <v>2.4491342657081598</v>
      </c>
      <c r="L1237">
        <v>0</v>
      </c>
      <c r="M1237">
        <v>1.6204746881141236E-3</v>
      </c>
      <c r="N1237">
        <v>0.15787299297294757</v>
      </c>
      <c r="O1237">
        <v>2.1389930964496155E-2</v>
      </c>
      <c r="P1237">
        <v>2.9283226310414322E-2</v>
      </c>
      <c r="Q1237">
        <v>5.7245330512951855E-3</v>
      </c>
      <c r="R1237">
        <v>1.5994092747231368E-3</v>
      </c>
      <c r="S1237">
        <v>0.2682945278191648</v>
      </c>
      <c r="T1237">
        <v>1.3784651758719093</v>
      </c>
      <c r="U1237">
        <v>0.21407441148281284</v>
      </c>
      <c r="V1237">
        <v>0.24977590568768934</v>
      </c>
      <c r="W1237">
        <v>0.10234633890422712</v>
      </c>
      <c r="X1237">
        <v>1.7575223255920428E-2</v>
      </c>
      <c r="Y1237">
        <v>4.3530648006706654E-3</v>
      </c>
    </row>
    <row r="1238" spans="1:25">
      <c r="A1238" s="1010"/>
      <c r="B1238" s="1351">
        <v>988</v>
      </c>
      <c r="C1238" s="1014">
        <v>1.0004653646768837</v>
      </c>
      <c r="D1238" s="1014">
        <v>1.0351285026670147</v>
      </c>
      <c r="E1238" s="1014">
        <v>1.0317579460358182</v>
      </c>
      <c r="F1238" s="1014">
        <v>0.99156250468849827</v>
      </c>
      <c r="G1238" s="1014">
        <v>0.97399969709538836</v>
      </c>
      <c r="H1238" s="1014">
        <v>0.99062949132022382</v>
      </c>
      <c r="I1238" s="1014">
        <v>0.99225099511225412</v>
      </c>
      <c r="K1238">
        <v>2.3908844753785607</v>
      </c>
      <c r="L1238">
        <v>0</v>
      </c>
      <c r="M1238">
        <v>1.5102852096830876E-3</v>
      </c>
      <c r="N1238">
        <v>0.15125423113274258</v>
      </c>
      <c r="O1238">
        <v>2.0838071611325604E-2</v>
      </c>
      <c r="P1238">
        <v>2.8847935314735982E-2</v>
      </c>
      <c r="Q1238">
        <v>5.6282146648660176E-3</v>
      </c>
      <c r="R1238">
        <v>1.4901612270048167E-3</v>
      </c>
      <c r="S1238">
        <v>0.25158782835505822</v>
      </c>
      <c r="T1238">
        <v>1.3607486045241102</v>
      </c>
      <c r="U1238">
        <v>0.21198355421995937</v>
      </c>
      <c r="V1238">
        <v>0.24095396706063268</v>
      </c>
      <c r="W1238">
        <v>9.7528662882364017E-2</v>
      </c>
      <c r="X1238">
        <v>1.7477801967052859E-2</v>
      </c>
      <c r="Y1238">
        <v>4.0557276283906488E-3</v>
      </c>
    </row>
    <row r="1239" spans="1:25">
      <c r="A1239" s="1010"/>
      <c r="B1239" s="1351">
        <v>989</v>
      </c>
      <c r="C1239" s="1014">
        <v>1.0186554025793659</v>
      </c>
      <c r="D1239" s="1014">
        <v>0.97372623874444564</v>
      </c>
      <c r="E1239" s="1014">
        <v>1.0017456268947544</v>
      </c>
      <c r="F1239" s="1014">
        <v>1.0287109967666641</v>
      </c>
      <c r="G1239" s="1014">
        <v>1.0231350456902324</v>
      </c>
      <c r="H1239" s="1014">
        <v>0.99099400051175346</v>
      </c>
      <c r="I1239" s="1014">
        <v>0.9618106184679569</v>
      </c>
      <c r="K1239">
        <v>2.4326567436464206</v>
      </c>
      <c r="L1239">
        <v>0</v>
      </c>
      <c r="M1239">
        <v>1.6008195079169724E-3</v>
      </c>
      <c r="N1239">
        <v>0.14644089886510217</v>
      </c>
      <c r="O1239">
        <v>2.0723441170346076E-2</v>
      </c>
      <c r="P1239">
        <v>2.888829361829668E-2</v>
      </c>
      <c r="Q1239">
        <v>5.4324247937161622E-3</v>
      </c>
      <c r="R1239">
        <v>1.5794970355039535E-3</v>
      </c>
      <c r="S1239">
        <v>0.24676343507538487</v>
      </c>
      <c r="T1239">
        <v>1.41105855664691</v>
      </c>
      <c r="U1239">
        <v>0.20809721538977619</v>
      </c>
      <c r="V1239">
        <v>0.24833277545014867</v>
      </c>
      <c r="W1239">
        <v>9.6102026294009296E-2</v>
      </c>
      <c r="X1239">
        <v>1.6540128565558976E-2</v>
      </c>
      <c r="Y1239">
        <v>4.2988702495839453E-3</v>
      </c>
    </row>
    <row r="1240" spans="1:25">
      <c r="A1240" s="1010"/>
      <c r="B1240" s="1351">
        <v>990</v>
      </c>
      <c r="C1240" s="1014">
        <v>1.0166753690736736</v>
      </c>
      <c r="D1240" s="1014">
        <v>0.99899041900077301</v>
      </c>
      <c r="E1240" s="1014">
        <v>0.98348051832621752</v>
      </c>
      <c r="F1240" s="1014">
        <v>1.0158493822334334</v>
      </c>
      <c r="G1240" s="1014">
        <v>0.98704509170941135</v>
      </c>
      <c r="H1240" s="1014">
        <v>1.0290085410758565</v>
      </c>
      <c r="I1240" s="1014">
        <v>0.98679758164873976</v>
      </c>
      <c r="K1240">
        <v>2.4196080833425513</v>
      </c>
      <c r="L1240">
        <v>0</v>
      </c>
      <c r="M1240">
        <v>1.7199793728616003E-3</v>
      </c>
      <c r="N1240">
        <v>0.14896394982411498</v>
      </c>
      <c r="O1240">
        <v>2.0635208118930399E-2</v>
      </c>
      <c r="P1240">
        <v>2.826562002867376E-2</v>
      </c>
      <c r="Q1240">
        <v>5.3104880357029201E-3</v>
      </c>
      <c r="R1240">
        <v>1.6979160724955686E-3</v>
      </c>
      <c r="S1240">
        <v>0.25341042684085063</v>
      </c>
      <c r="T1240">
        <v>1.3930158849284968</v>
      </c>
      <c r="U1240">
        <v>0.20844115835168373</v>
      </c>
      <c r="V1240">
        <v>0.24235436095128043</v>
      </c>
      <c r="W1240">
        <v>9.8831091324836792E-2</v>
      </c>
      <c r="X1240">
        <v>1.5780790406893935E-2</v>
      </c>
      <c r="Y1240">
        <v>4.6211678314500675E-3</v>
      </c>
    </row>
    <row r="1241" spans="1:25">
      <c r="A1241" s="1010"/>
      <c r="B1241" s="1351">
        <v>991</v>
      </c>
      <c r="C1241" s="1014">
        <v>0.99014272888294275</v>
      </c>
      <c r="D1241" s="1014">
        <v>0.97152718743253086</v>
      </c>
      <c r="E1241" s="1014">
        <v>1.0186756175454517</v>
      </c>
      <c r="F1241" s="1014">
        <v>0.99230613923736666</v>
      </c>
      <c r="G1241" s="1014">
        <v>0.98249906039138857</v>
      </c>
      <c r="H1241" s="1014">
        <v>0.99762573028747092</v>
      </c>
      <c r="I1241" s="1014">
        <v>0.98624105232813442</v>
      </c>
      <c r="K1241">
        <v>2.4117566866941442</v>
      </c>
      <c r="L1241">
        <v>0</v>
      </c>
      <c r="M1241">
        <v>1.6014337329731058E-3</v>
      </c>
      <c r="N1241">
        <v>0.15419316040717845</v>
      </c>
      <c r="O1241">
        <v>2.134225007152387E-2</v>
      </c>
      <c r="P1241">
        <v>2.8778713013748427E-2</v>
      </c>
      <c r="Q1241">
        <v>5.6901168592923346E-3</v>
      </c>
      <c r="R1241">
        <v>1.5802448750453525E-3</v>
      </c>
      <c r="S1241">
        <v>0.26132084424366636</v>
      </c>
      <c r="T1241">
        <v>1.3614869599049315</v>
      </c>
      <c r="U1241">
        <v>0.21414823167306932</v>
      </c>
      <c r="V1241">
        <v>0.24309908952521186</v>
      </c>
      <c r="W1241">
        <v>0.10018444446938574</v>
      </c>
      <c r="X1241">
        <v>1.7233159761769288E-2</v>
      </c>
      <c r="Y1241">
        <v>4.3009056222903935E-3</v>
      </c>
    </row>
    <row r="1242" spans="1:25">
      <c r="A1242" s="1010"/>
      <c r="B1242" s="1351">
        <v>992</v>
      </c>
      <c r="C1242" s="1014">
        <v>0.99090552942233967</v>
      </c>
      <c r="D1242" s="1014">
        <v>1.0132686077719522</v>
      </c>
      <c r="E1242" s="1014">
        <v>0.98227402628024274</v>
      </c>
      <c r="F1242" s="1014">
        <v>1.0182222333778179</v>
      </c>
      <c r="G1242" s="1014">
        <v>1.0189884146213444</v>
      </c>
      <c r="H1242" s="1014">
        <v>0.98784457620521737</v>
      </c>
      <c r="I1242" s="1014">
        <v>1.0017801417399173</v>
      </c>
      <c r="K1242">
        <v>2.4365523666229234</v>
      </c>
      <c r="L1242">
        <v>0</v>
      </c>
      <c r="M1242">
        <v>1.6930546266859046E-3</v>
      </c>
      <c r="N1242">
        <v>0.14601876052783858</v>
      </c>
      <c r="O1242">
        <v>2.1105053184569643E-2</v>
      </c>
      <c r="P1242">
        <v>2.8520494127957919E-2</v>
      </c>
      <c r="Q1242">
        <v>5.4247573759854464E-3</v>
      </c>
      <c r="R1242">
        <v>1.6704317113796852E-3</v>
      </c>
      <c r="S1242">
        <v>0.25855397109710238</v>
      </c>
      <c r="T1242">
        <v>1.3962432564364435</v>
      </c>
      <c r="U1242">
        <v>0.21385780232382653</v>
      </c>
      <c r="V1242">
        <v>0.24941199574831349</v>
      </c>
      <c r="W1242">
        <v>9.6947527141338724E-2</v>
      </c>
      <c r="X1242">
        <v>1.5945007114144243E-2</v>
      </c>
      <c r="Y1242">
        <v>4.546364460709839E-3</v>
      </c>
    </row>
    <row r="1243" spans="1:25">
      <c r="A1243" s="1010"/>
      <c r="B1243" s="1351">
        <v>993</v>
      </c>
      <c r="C1243" s="1014">
        <v>0.99455693079130147</v>
      </c>
      <c r="D1243" s="1014">
        <v>1.001670095901029</v>
      </c>
      <c r="E1243" s="1014">
        <v>1.0170050151222303</v>
      </c>
      <c r="F1243" s="1014">
        <v>1.0306223205569858</v>
      </c>
      <c r="G1243" s="1014">
        <v>0.9824941266726086</v>
      </c>
      <c r="H1243" s="1014">
        <v>0.99708999716873759</v>
      </c>
      <c r="I1243" s="1014">
        <v>0.99870846741853592</v>
      </c>
      <c r="K1243">
        <v>2.4582447979371991</v>
      </c>
      <c r="L1243">
        <v>0</v>
      </c>
      <c r="M1243">
        <v>1.5883038827162646E-3</v>
      </c>
      <c r="N1243">
        <v>0.15215894282676964</v>
      </c>
      <c r="O1243">
        <v>2.1104060278689992E-2</v>
      </c>
      <c r="P1243">
        <v>2.9425500518461732E-2</v>
      </c>
      <c r="Q1243">
        <v>5.6172642822173349E-3</v>
      </c>
      <c r="R1243">
        <v>1.5672774568387634E-3</v>
      </c>
      <c r="S1243">
        <v>0.25937408048131982</v>
      </c>
      <c r="T1243">
        <v>1.4140210488529121</v>
      </c>
      <c r="U1243">
        <v>0.21319200723356962</v>
      </c>
      <c r="V1243">
        <v>0.24282420793438358</v>
      </c>
      <c r="W1243">
        <v>9.8959584621269248E-2</v>
      </c>
      <c r="X1243">
        <v>1.7323514748839097E-2</v>
      </c>
      <c r="Y1243">
        <v>4.2656125846403208E-3</v>
      </c>
    </row>
    <row r="1244" spans="1:25">
      <c r="A1244" s="1010"/>
      <c r="B1244" s="1351">
        <v>994</v>
      </c>
      <c r="C1244" s="1014">
        <v>0.97204773144323153</v>
      </c>
      <c r="D1244" s="1014">
        <v>1.0191930842526467</v>
      </c>
      <c r="E1244" s="1014">
        <v>1.0074993710366416</v>
      </c>
      <c r="F1244" s="1014">
        <v>0.99211721815345433</v>
      </c>
      <c r="G1244" s="1014">
        <v>0.99462308136180611</v>
      </c>
      <c r="H1244" s="1014">
        <v>0.98457942899099216</v>
      </c>
      <c r="I1244" s="1014">
        <v>1.0171356567182799</v>
      </c>
      <c r="K1244">
        <v>2.4203581893608108</v>
      </c>
      <c r="L1244">
        <v>0</v>
      </c>
      <c r="M1244">
        <v>1.6304762168932927E-3</v>
      </c>
      <c r="N1244">
        <v>0.15175506586254658</v>
      </c>
      <c r="O1244">
        <v>2.1504053659570255E-2</v>
      </c>
      <c r="P1244">
        <v>2.8709651293855151E-2</v>
      </c>
      <c r="Q1244">
        <v>5.6696667676738336E-3</v>
      </c>
      <c r="R1244">
        <v>1.6086172350681894E-3</v>
      </c>
      <c r="S1244">
        <v>0.26675460441933679</v>
      </c>
      <c r="T1244">
        <v>1.360987312452544</v>
      </c>
      <c r="U1244">
        <v>0.21809529270470288</v>
      </c>
      <c r="V1244">
        <v>0.24638073699762142</v>
      </c>
      <c r="W1244">
        <v>9.9250705152469157E-2</v>
      </c>
      <c r="X1244">
        <v>1.6894833198985427E-2</v>
      </c>
      <c r="Y1244">
        <v>4.3781258333265875E-3</v>
      </c>
    </row>
    <row r="1245" spans="1:25">
      <c r="A1245" s="1010"/>
      <c r="B1245" s="1351">
        <v>995</v>
      </c>
      <c r="C1245" s="1014">
        <v>1.002924117901586</v>
      </c>
      <c r="D1245" s="1014">
        <v>0.95669200817449962</v>
      </c>
      <c r="E1245" s="1014">
        <v>0.97674748021862556</v>
      </c>
      <c r="F1245" s="1014">
        <v>1.0120568356431314</v>
      </c>
      <c r="G1245" s="1014">
        <v>0.99460317022920142</v>
      </c>
      <c r="H1245" s="1014">
        <v>0.95641805867780627</v>
      </c>
      <c r="I1245" s="1014">
        <v>0.96665622365277215</v>
      </c>
      <c r="K1245">
        <v>2.4035374113810111</v>
      </c>
      <c r="L1245">
        <v>0</v>
      </c>
      <c r="M1245">
        <v>1.6590001890361269E-3</v>
      </c>
      <c r="N1245">
        <v>0.14064636735647279</v>
      </c>
      <c r="O1245">
        <v>2.1113705526812757E-2</v>
      </c>
      <c r="P1245">
        <v>2.8085764400062094E-2</v>
      </c>
      <c r="Q1245">
        <v>5.3965742489300913E-3</v>
      </c>
      <c r="R1245">
        <v>1.6361039112100888E-3</v>
      </c>
      <c r="S1245">
        <v>0.25109594401995156</v>
      </c>
      <c r="T1245">
        <v>1.3876684589496897</v>
      </c>
      <c r="U1245">
        <v>0.21127625338428166</v>
      </c>
      <c r="V1245">
        <v>0.24451136714288918</v>
      </c>
      <c r="W1245">
        <v>9.3692845133946392E-2</v>
      </c>
      <c r="X1245">
        <v>1.5620091990993347E-2</v>
      </c>
      <c r="Y1245">
        <v>4.4529355048044828E-3</v>
      </c>
    </row>
    <row r="1246" spans="1:25">
      <c r="A1246" s="1010"/>
      <c r="B1246" s="1351">
        <v>996</v>
      </c>
      <c r="C1246" s="1014">
        <v>1.0252584644595917</v>
      </c>
      <c r="D1246" s="1014">
        <v>1.0090974763528222</v>
      </c>
      <c r="E1246" s="1014">
        <v>0.99127475255310005</v>
      </c>
      <c r="F1246" s="1014">
        <v>0.97977121502360165</v>
      </c>
      <c r="G1246" s="1014">
        <v>1.0163018548602396</v>
      </c>
      <c r="H1246" s="1014">
        <v>1.0246801256417812</v>
      </c>
      <c r="I1246" s="1014">
        <v>1.0355291412716952</v>
      </c>
      <c r="K1246">
        <v>2.3787350248715193</v>
      </c>
      <c r="L1246">
        <v>0</v>
      </c>
      <c r="M1246">
        <v>1.6675239185655053E-3</v>
      </c>
      <c r="N1246">
        <v>0.14785719287203633</v>
      </c>
      <c r="O1246">
        <v>2.0422216502291639E-2</v>
      </c>
      <c r="P1246">
        <v>2.79182493893563E-2</v>
      </c>
      <c r="Q1246">
        <v>5.2973037941174504E-3</v>
      </c>
      <c r="R1246">
        <v>1.6460431420088407E-3</v>
      </c>
      <c r="S1246">
        <v>0.26207434445387123</v>
      </c>
      <c r="T1246">
        <v>1.3437072861567776</v>
      </c>
      <c r="U1246">
        <v>0.20672209778321476</v>
      </c>
      <c r="V1246">
        <v>0.24681016323611424</v>
      </c>
      <c r="W1246">
        <v>9.7638890472503181E-2</v>
      </c>
      <c r="X1246">
        <v>1.5828774173218388E-2</v>
      </c>
      <c r="Y1246">
        <v>4.4799868145721329E-3</v>
      </c>
    </row>
    <row r="1247" spans="1:25">
      <c r="A1247" s="1010"/>
      <c r="B1247" s="1351">
        <v>997</v>
      </c>
      <c r="C1247" s="1014">
        <v>1.0123586205381672</v>
      </c>
      <c r="D1247" s="1014">
        <v>1.0302503878818081</v>
      </c>
      <c r="E1247" s="1014">
        <v>0.99545887771567387</v>
      </c>
      <c r="F1247" s="1014">
        <v>0.96778606778256571</v>
      </c>
      <c r="G1247" s="1014">
        <v>0.97544006351368417</v>
      </c>
      <c r="H1247" s="1014">
        <v>1.011285715254548</v>
      </c>
      <c r="I1247" s="1014">
        <v>1.0306829613700903</v>
      </c>
      <c r="K1247">
        <v>2.3565987683321943</v>
      </c>
      <c r="L1247">
        <v>0</v>
      </c>
      <c r="M1247">
        <v>1.6447847488492986E-3</v>
      </c>
      <c r="N1247">
        <v>0.14767161940535597</v>
      </c>
      <c r="O1247">
        <v>2.0590986183886033E-2</v>
      </c>
      <c r="P1247">
        <v>2.7711638242824712E-2</v>
      </c>
      <c r="Q1247">
        <v>5.3636746886614791E-3</v>
      </c>
      <c r="R1247">
        <v>1.6233162629567565E-3</v>
      </c>
      <c r="S1247">
        <v>0.26034935543251114</v>
      </c>
      <c r="T1247">
        <v>1.3273577175758828</v>
      </c>
      <c r="U1247">
        <v>0.2093703392921557</v>
      </c>
      <c r="V1247">
        <v>0.24059113296029308</v>
      </c>
      <c r="W1247">
        <v>9.7272870371678241E-2</v>
      </c>
      <c r="X1247">
        <v>1.5922770923128524E-2</v>
      </c>
      <c r="Y1247">
        <v>4.4181317417060252E-3</v>
      </c>
    </row>
    <row r="1248" spans="1:25">
      <c r="A1248" s="1010"/>
      <c r="B1248" s="1351">
        <v>998</v>
      </c>
      <c r="C1248" s="1014">
        <v>1.0012312449655791</v>
      </c>
      <c r="D1248" s="1014">
        <v>1.0037522725118391</v>
      </c>
      <c r="E1248" s="1014">
        <v>0.97431442425993098</v>
      </c>
      <c r="F1248" s="1014">
        <v>1.0107269286246061</v>
      </c>
      <c r="G1248" s="1014">
        <v>0.99654482289244273</v>
      </c>
      <c r="H1248" s="1014">
        <v>1.0077882071581736</v>
      </c>
      <c r="I1248" s="1014">
        <v>0.98409339677421515</v>
      </c>
      <c r="K1248">
        <v>2.4155109811957844</v>
      </c>
      <c r="L1248">
        <v>0</v>
      </c>
      <c r="M1248">
        <v>1.7413939933438064E-3</v>
      </c>
      <c r="N1248">
        <v>0.14665290185194016</v>
      </c>
      <c r="O1248">
        <v>2.092554911579781E-2</v>
      </c>
      <c r="P1248">
        <v>2.8060304879220406E-2</v>
      </c>
      <c r="Q1248">
        <v>5.3352391870086129E-3</v>
      </c>
      <c r="R1248">
        <v>1.7185856370562338E-3</v>
      </c>
      <c r="S1248">
        <v>0.25416188655328109</v>
      </c>
      <c r="T1248">
        <v>1.3857920568359736</v>
      </c>
      <c r="U1248">
        <v>0.21162520372893015</v>
      </c>
      <c r="V1248">
        <v>0.2449572132299494</v>
      </c>
      <c r="W1248">
        <v>9.783829402125313E-2</v>
      </c>
      <c r="X1248">
        <v>1.5507716576254313E-2</v>
      </c>
      <c r="Y1248">
        <v>4.6774235724640709E-3</v>
      </c>
    </row>
    <row r="1249" spans="1:25">
      <c r="A1249" s="1010"/>
      <c r="B1249" s="1351">
        <v>999</v>
      </c>
      <c r="C1249" s="1014">
        <v>1.0221213166857332</v>
      </c>
      <c r="D1249" s="1014">
        <v>0.98571254133598774</v>
      </c>
      <c r="E1249" s="1014">
        <v>1.0068798058012847</v>
      </c>
      <c r="F1249" s="1014">
        <v>0.99588715359700097</v>
      </c>
      <c r="G1249" s="1014">
        <v>0.98802784111379116</v>
      </c>
      <c r="H1249" s="1014">
        <v>1.0052453369746204</v>
      </c>
      <c r="I1249" s="1014">
        <v>1.0213559043135263</v>
      </c>
      <c r="K1249">
        <v>2.3972552557034463</v>
      </c>
      <c r="L1249">
        <v>0</v>
      </c>
      <c r="M1249">
        <v>1.5968754542683083E-3</v>
      </c>
      <c r="N1249">
        <v>0.14839134804034554</v>
      </c>
      <c r="O1249">
        <v>2.060100104526854E-2</v>
      </c>
      <c r="P1249">
        <v>2.8480461643784958E-2</v>
      </c>
      <c r="Q1249">
        <v>5.4282036026159055E-3</v>
      </c>
      <c r="R1249">
        <v>1.5759070589139693E-3</v>
      </c>
      <c r="S1249">
        <v>0.26080333711184134</v>
      </c>
      <c r="T1249">
        <v>1.3661455491791048</v>
      </c>
      <c r="U1249">
        <v>0.20740875947750487</v>
      </c>
      <c r="V1249">
        <v>0.24211193736531658</v>
      </c>
      <c r="W1249">
        <v>9.7086311522854213E-2</v>
      </c>
      <c r="X1249">
        <v>1.6530215593423804E-2</v>
      </c>
      <c r="Y1249">
        <v>4.2890995167414727E-3</v>
      </c>
    </row>
    <row r="1250" spans="1:25">
      <c r="A1250" s="1010"/>
      <c r="B1250" s="1351">
        <v>1000</v>
      </c>
      <c r="C1250" s="1014">
        <v>1.0053895662310004</v>
      </c>
      <c r="D1250" s="1014">
        <v>1.0132688391113549</v>
      </c>
      <c r="E1250" s="1014">
        <v>0.99882695235340524</v>
      </c>
      <c r="F1250" s="1014">
        <v>0.98290491750478415</v>
      </c>
      <c r="G1250" s="1014">
        <v>0.98580185366179174</v>
      </c>
      <c r="H1250" s="1014">
        <v>0.97384570468770426</v>
      </c>
      <c r="I1250" s="1014">
        <v>0.96454975014850186</v>
      </c>
      <c r="K1250">
        <v>2.3594685633485057</v>
      </c>
      <c r="L1250">
        <v>0</v>
      </c>
      <c r="M1250">
        <v>1.5895731891451845E-3</v>
      </c>
      <c r="N1250">
        <v>0.14410126520340139</v>
      </c>
      <c r="O1250">
        <v>2.0811883382808778E-2</v>
      </c>
      <c r="P1250">
        <v>2.7896689625630584E-2</v>
      </c>
      <c r="Q1250">
        <v>5.439629323380539E-3</v>
      </c>
      <c r="R1250">
        <v>1.5680276882871166E-3</v>
      </c>
      <c r="S1250">
        <v>0.24434781117273816</v>
      </c>
      <c r="T1250">
        <v>1.3481653901933321</v>
      </c>
      <c r="U1250">
        <v>0.21083307672927401</v>
      </c>
      <c r="V1250">
        <v>0.24277614363020159</v>
      </c>
      <c r="W1250">
        <v>9.4730788775259783E-2</v>
      </c>
      <c r="X1250">
        <v>1.6119776346007076E-2</v>
      </c>
      <c r="Y1250">
        <v>4.2676544673290063E-3</v>
      </c>
    </row>
    <row r="1251" spans="1:25">
      <c r="A1251" s="1010"/>
      <c r="B1251" s="1351">
        <v>1001</v>
      </c>
      <c r="C1251" s="1014">
        <v>0.97145026975185433</v>
      </c>
      <c r="D1251" s="1014">
        <v>0.97661726646882219</v>
      </c>
      <c r="E1251" s="1014">
        <v>1.0232149649551368</v>
      </c>
      <c r="F1251" s="1014">
        <v>0.97449568399421815</v>
      </c>
      <c r="G1251" s="1014">
        <v>1.0082892096579579</v>
      </c>
      <c r="H1251" s="1014">
        <v>1.0165229296898173</v>
      </c>
      <c r="I1251" s="1014">
        <v>1.0000794002414222</v>
      </c>
      <c r="K1251">
        <v>2.4183120475555056</v>
      </c>
      <c r="L1251">
        <v>0</v>
      </c>
      <c r="M1251">
        <v>1.645636957072911E-3</v>
      </c>
      <c r="N1251">
        <v>0.16067389701231524</v>
      </c>
      <c r="O1251">
        <v>2.173104752048341E-2</v>
      </c>
      <c r="P1251">
        <v>2.8807152268877475E-2</v>
      </c>
      <c r="Q1251">
        <v>5.8199666115649317E-3</v>
      </c>
      <c r="R1251">
        <v>1.6242680125802616E-3</v>
      </c>
      <c r="S1251">
        <v>0.27107895299154522</v>
      </c>
      <c r="T1251">
        <v>1.33714631276337</v>
      </c>
      <c r="U1251">
        <v>0.21828485431871669</v>
      </c>
      <c r="V1251">
        <v>0.24869794349058544</v>
      </c>
      <c r="W1251">
        <v>0.10411851999460421</v>
      </c>
      <c r="X1251">
        <v>1.755404743749946E-2</v>
      </c>
      <c r="Y1251">
        <v>4.4207220904370279E-3</v>
      </c>
    </row>
    <row r="1252" spans="1:25">
      <c r="A1252" s="1010"/>
      <c r="B1252" s="1351">
        <v>1002</v>
      </c>
      <c r="C1252" s="1014">
        <v>1.0008582561935722</v>
      </c>
      <c r="D1252" s="1014">
        <v>1.0284853125842965</v>
      </c>
      <c r="E1252" s="1014">
        <v>1.0083482795161858</v>
      </c>
      <c r="F1252" s="1014">
        <v>1.0089472718755781</v>
      </c>
      <c r="G1252" s="1014">
        <v>1.0298716695918615</v>
      </c>
      <c r="H1252" s="1014">
        <v>1.0308365507777677</v>
      </c>
      <c r="I1252" s="1014">
        <v>0.99789671171051941</v>
      </c>
      <c r="K1252">
        <v>2.4348947154562479</v>
      </c>
      <c r="L1252">
        <v>0</v>
      </c>
      <c r="M1252">
        <v>1.6517172091541582E-3</v>
      </c>
      <c r="N1252">
        <v>0.15422059149315395</v>
      </c>
      <c r="O1252">
        <v>2.0843942349054866E-2</v>
      </c>
      <c r="P1252">
        <v>2.8881099994563487E-2</v>
      </c>
      <c r="Q1252">
        <v>5.5002955742680833E-3</v>
      </c>
      <c r="R1252">
        <v>1.6305671248408645E-3</v>
      </c>
      <c r="S1252">
        <v>0.25693338641264557</v>
      </c>
      <c r="T1252">
        <v>1.3840933496305046</v>
      </c>
      <c r="U1252">
        <v>0.21182014389565132</v>
      </c>
      <c r="V1252">
        <v>0.2505478494969553</v>
      </c>
      <c r="W1252">
        <v>0.10081264569022956</v>
      </c>
      <c r="X1252">
        <v>1.6824694806023725E-2</v>
      </c>
      <c r="Y1252">
        <v>4.4378661975085906E-3</v>
      </c>
    </row>
    <row r="1253" spans="1:25">
      <c r="A1253" s="1010"/>
      <c r="B1253" s="1351">
        <v>1003</v>
      </c>
      <c r="C1253" s="1014">
        <v>1.0168896886306347</v>
      </c>
      <c r="D1253" s="1014">
        <v>1.0221363965915506</v>
      </c>
      <c r="E1253" s="1014">
        <v>0.99456678386049913</v>
      </c>
      <c r="F1253" s="1014">
        <v>1.0169088910229824</v>
      </c>
      <c r="G1253" s="1014">
        <v>0.96523928892752076</v>
      </c>
      <c r="H1253" s="1014">
        <v>0.9958458449385752</v>
      </c>
      <c r="I1253" s="1014">
        <v>0.9875588667125148</v>
      </c>
      <c r="K1253">
        <v>2.4048235636624504</v>
      </c>
      <c r="L1253">
        <v>0</v>
      </c>
      <c r="M1253">
        <v>1.6182527287508354E-3</v>
      </c>
      <c r="N1253">
        <v>0.14486861670066736</v>
      </c>
      <c r="O1253">
        <v>2.0534347601310565E-2</v>
      </c>
      <c r="P1253">
        <v>2.8401204457802542E-2</v>
      </c>
      <c r="Q1253">
        <v>5.3441135421369596E-3</v>
      </c>
      <c r="R1253">
        <v>1.5968030668636838E-3</v>
      </c>
      <c r="S1253">
        <v>0.2480452796330283</v>
      </c>
      <c r="T1253">
        <v>1.3947120547080056</v>
      </c>
      <c r="U1253">
        <v>0.20843442828619432</v>
      </c>
      <c r="V1253">
        <v>0.23857739135397193</v>
      </c>
      <c r="W1253">
        <v>9.5477312080659404E-2</v>
      </c>
      <c r="X1253">
        <v>1.6104293398549036E-2</v>
      </c>
      <c r="Y1253">
        <v>4.3459715620134242E-3</v>
      </c>
    </row>
    <row r="1254" spans="1:25">
      <c r="A1254" s="1010"/>
      <c r="B1254" s="1351">
        <v>1004</v>
      </c>
      <c r="C1254" s="1014">
        <v>1.0166842834647751</v>
      </c>
      <c r="D1254" s="1014">
        <v>1.0163427653683386</v>
      </c>
      <c r="E1254" s="1014">
        <v>1.0217044252607481</v>
      </c>
      <c r="F1254" s="1014">
        <v>0.98445615762710137</v>
      </c>
      <c r="G1254" s="1014">
        <v>0.96629192156573884</v>
      </c>
      <c r="H1254" s="1014">
        <v>0.97450131773198967</v>
      </c>
      <c r="I1254" s="1014">
        <v>0.97946264111764503</v>
      </c>
      <c r="K1254">
        <v>2.3585930111365796</v>
      </c>
      <c r="L1254">
        <v>0</v>
      </c>
      <c r="M1254">
        <v>1.4989589170233285E-3</v>
      </c>
      <c r="N1254">
        <v>0.14560485888182551</v>
      </c>
      <c r="O1254">
        <v>2.0581870686588559E-2</v>
      </c>
      <c r="P1254">
        <v>2.8332273962891587E-2</v>
      </c>
      <c r="Q1254">
        <v>5.5039360801082612E-3</v>
      </c>
      <c r="R1254">
        <v>1.4786552951031615E-3</v>
      </c>
      <c r="S1254">
        <v>0.24522792599236828</v>
      </c>
      <c r="T1254">
        <v>1.350781191237987</v>
      </c>
      <c r="U1254">
        <v>0.20856789371895298</v>
      </c>
      <c r="V1254">
        <v>0.23867706028898741</v>
      </c>
      <c r="W1254">
        <v>9.4436871478194323E-2</v>
      </c>
      <c r="X1254">
        <v>1.6875020155908506E-2</v>
      </c>
      <c r="Y1254">
        <v>4.0244122746837781E-3</v>
      </c>
    </row>
    <row r="1255" spans="1:25">
      <c r="A1255" s="1010"/>
      <c r="B1255" s="1351">
        <v>1005</v>
      </c>
      <c r="C1255" s="1014">
        <v>1.046715270829544</v>
      </c>
      <c r="D1255" s="1014">
        <v>1.0116035593410511</v>
      </c>
      <c r="E1255" s="1014">
        <v>1.0026519536478495</v>
      </c>
      <c r="F1255" s="1014">
        <v>0.96417747768894502</v>
      </c>
      <c r="G1255" s="1014">
        <v>0.95547615711968525</v>
      </c>
      <c r="H1255" s="1014">
        <v>0.96604920253022852</v>
      </c>
      <c r="I1255" s="1014">
        <v>1.0393729999421879</v>
      </c>
      <c r="K1255">
        <v>2.3135656801182689</v>
      </c>
      <c r="L1255">
        <v>0</v>
      </c>
      <c r="M1255">
        <v>1.5031641363270488E-3</v>
      </c>
      <c r="N1255">
        <v>0.13783642750619216</v>
      </c>
      <c r="O1255">
        <v>1.9999857075998613E-2</v>
      </c>
      <c r="P1255">
        <v>2.7519380553195801E-2</v>
      </c>
      <c r="Q1255">
        <v>5.2475177040369921E-3</v>
      </c>
      <c r="R1255">
        <v>1.482625416173892E-3</v>
      </c>
      <c r="S1255">
        <v>0.2524895717612477</v>
      </c>
      <c r="T1255">
        <v>1.3225583624661321</v>
      </c>
      <c r="U1255">
        <v>0.2025216004078236</v>
      </c>
      <c r="V1255">
        <v>0.2351340313256842</v>
      </c>
      <c r="W1255">
        <v>9.0406702916021348E-2</v>
      </c>
      <c r="X1255">
        <v>1.5837549486603E-2</v>
      </c>
      <c r="Y1255">
        <v>4.0352176354882469E-3</v>
      </c>
    </row>
    <row r="1256" spans="1:25">
      <c r="A1256" s="1010"/>
      <c r="B1256" s="1351">
        <v>1006</v>
      </c>
      <c r="C1256" s="1014">
        <v>1.0042970587985276</v>
      </c>
      <c r="D1256" s="1014">
        <v>0.99984167715116323</v>
      </c>
      <c r="E1256" s="1014">
        <v>0.98441647740411009</v>
      </c>
      <c r="F1256" s="1014">
        <v>0.98496255846850056</v>
      </c>
      <c r="G1256" s="1014">
        <v>1.0028113305620237</v>
      </c>
      <c r="H1256" s="1014">
        <v>1.0001512167462372</v>
      </c>
      <c r="I1256" s="1014">
        <v>1.0274836424930751</v>
      </c>
      <c r="K1256">
        <v>2.390309663052661</v>
      </c>
      <c r="L1256">
        <v>0</v>
      </c>
      <c r="M1256">
        <v>1.688758746019377E-3</v>
      </c>
      <c r="N1256">
        <v>0.14661966140565075</v>
      </c>
      <c r="O1256">
        <v>2.0886247136948834E-2</v>
      </c>
      <c r="P1256">
        <v>2.7945340133861886E-2</v>
      </c>
      <c r="Q1256">
        <v>5.3801977056394407E-3</v>
      </c>
      <c r="R1256">
        <v>1.666470896749975E-3</v>
      </c>
      <c r="S1256">
        <v>0.26449506629463515</v>
      </c>
      <c r="T1256">
        <v>1.3506812152168461</v>
      </c>
      <c r="U1256">
        <v>0.21101344552966314</v>
      </c>
      <c r="V1256">
        <v>0.24580081768501591</v>
      </c>
      <c r="W1256">
        <v>9.7220969462134502E-2</v>
      </c>
      <c r="X1256">
        <v>1.5753405902562433E-2</v>
      </c>
      <c r="Y1256">
        <v>4.5355844289699607E-3</v>
      </c>
    </row>
    <row r="1257" spans="1:25">
      <c r="A1257" s="1010"/>
      <c r="B1257" s="1351">
        <v>1007</v>
      </c>
      <c r="C1257" s="1014">
        <v>0.97166939022880938</v>
      </c>
      <c r="D1257" s="1014">
        <v>0.97002740381786035</v>
      </c>
      <c r="E1257" s="1014">
        <v>0.99932777983483334</v>
      </c>
      <c r="F1257" s="1014">
        <v>0.99611263142918149</v>
      </c>
      <c r="G1257" s="1014">
        <v>1.0200907338277174</v>
      </c>
      <c r="H1257" s="1014">
        <v>0.97232206717085456</v>
      </c>
      <c r="I1257" s="1014">
        <v>0.98137675092442533</v>
      </c>
      <c r="K1257">
        <v>2.4243929128431549</v>
      </c>
      <c r="L1257">
        <v>0</v>
      </c>
      <c r="M1257">
        <v>1.6562740981695165E-3</v>
      </c>
      <c r="N1257">
        <v>0.15037211312865634</v>
      </c>
      <c r="O1257">
        <v>2.1742078740201457E-2</v>
      </c>
      <c r="P1257">
        <v>2.8615490265630705E-2</v>
      </c>
      <c r="Q1257">
        <v>5.6856187100191259E-3</v>
      </c>
      <c r="R1257">
        <v>1.6337893366207474E-3</v>
      </c>
      <c r="S1257">
        <v>0.26283150735602251</v>
      </c>
      <c r="T1257">
        <v>1.3662920532920944</v>
      </c>
      <c r="U1257">
        <v>0.21815145088375684</v>
      </c>
      <c r="V1257">
        <v>0.25078368112317379</v>
      </c>
      <c r="W1257">
        <v>9.8823741884574476E-2</v>
      </c>
      <c r="X1257">
        <v>1.6671026224801107E-2</v>
      </c>
      <c r="Y1257">
        <v>4.4466359957716023E-3</v>
      </c>
    </row>
    <row r="1258" spans="1:25">
      <c r="A1258" s="1010"/>
      <c r="B1258" s="1351">
        <v>1008</v>
      </c>
      <c r="C1258" s="1014">
        <v>0.97599158752628667</v>
      </c>
      <c r="D1258" s="1014">
        <v>0.99255243210126509</v>
      </c>
      <c r="E1258" s="1014">
        <v>1.0211380049348615</v>
      </c>
      <c r="F1258" s="1014">
        <v>1.0162794348104793</v>
      </c>
      <c r="G1258" s="1014">
        <v>0.98366826576873723</v>
      </c>
      <c r="H1258" s="1014">
        <v>1.0261646640941335</v>
      </c>
      <c r="I1258" s="1014">
        <v>0.99906229443449301</v>
      </c>
      <c r="K1258">
        <v>2.4676850548819584</v>
      </c>
      <c r="L1258">
        <v>0</v>
      </c>
      <c r="M1258">
        <v>1.6547767583473224E-3</v>
      </c>
      <c r="N1258">
        <v>0.16057711358815799</v>
      </c>
      <c r="O1258">
        <v>2.1551632085748122E-2</v>
      </c>
      <c r="P1258">
        <v>2.9440997641286808E-2</v>
      </c>
      <c r="Q1258">
        <v>5.7600246146065383E-3</v>
      </c>
      <c r="R1258">
        <v>1.6334910270620984E-3</v>
      </c>
      <c r="S1258">
        <v>0.26818907999028202</v>
      </c>
      <c r="T1258">
        <v>1.3944336949580196</v>
      </c>
      <c r="U1258">
        <v>0.21726186968233968</v>
      </c>
      <c r="V1258">
        <v>0.24420420665683326</v>
      </c>
      <c r="W1258">
        <v>0.10418210520715855</v>
      </c>
      <c r="X1258">
        <v>1.7659792093319693E-2</v>
      </c>
      <c r="Y1258">
        <v>4.4458240954906806E-3</v>
      </c>
    </row>
    <row r="1259" spans="1:25">
      <c r="A1259" s="1010"/>
      <c r="B1259" s="1351">
        <v>1009</v>
      </c>
      <c r="C1259" s="1014">
        <v>0.95844729866370348</v>
      </c>
      <c r="D1259" s="1014">
        <v>1.0368376371200971</v>
      </c>
      <c r="E1259" s="1014">
        <v>1.0213907765404686</v>
      </c>
      <c r="F1259" s="1014">
        <v>1.0041113743788077</v>
      </c>
      <c r="G1259" s="1014">
        <v>0.98076443823714532</v>
      </c>
      <c r="H1259" s="1014">
        <v>1.0101015078334814</v>
      </c>
      <c r="I1259" s="1014">
        <v>0.98782879336282048</v>
      </c>
      <c r="K1259">
        <v>2.448309798771211</v>
      </c>
      <c r="L1259">
        <v>0</v>
      </c>
      <c r="M1259">
        <v>1.6419735415686885E-3</v>
      </c>
      <c r="N1259">
        <v>0.15942320210345104</v>
      </c>
      <c r="O1259">
        <v>2.1736563123195871E-2</v>
      </c>
      <c r="P1259">
        <v>2.9205415410665941E-2</v>
      </c>
      <c r="Q1259">
        <v>5.8109094781786516E-3</v>
      </c>
      <c r="R1259">
        <v>1.6205166229658619E-3</v>
      </c>
      <c r="S1259">
        <v>0.26284150514728272</v>
      </c>
      <c r="T1259">
        <v>1.3777434513859426</v>
      </c>
      <c r="U1259">
        <v>0.221239732460528</v>
      </c>
      <c r="V1259">
        <v>0.24487836342809172</v>
      </c>
      <c r="W1259">
        <v>0.10341816987001853</v>
      </c>
      <c r="X1259">
        <v>1.7623431237902745E-2</v>
      </c>
      <c r="Y1259">
        <v>4.410512044551884E-3</v>
      </c>
    </row>
    <row r="1260" spans="1:25">
      <c r="A1260" s="1010"/>
      <c r="B1260" s="1351">
        <v>1010</v>
      </c>
      <c r="C1260" s="1014">
        <v>0.9609898311590882</v>
      </c>
      <c r="D1260" s="1014">
        <v>0.97446214967550404</v>
      </c>
      <c r="E1260" s="1014">
        <v>0.99408552825526109</v>
      </c>
      <c r="F1260" s="1014">
        <v>0.99592832136780896</v>
      </c>
      <c r="G1260" s="1014">
        <v>1.0040682446866249</v>
      </c>
      <c r="H1260" s="1014">
        <v>0.97319601968332281</v>
      </c>
      <c r="I1260" s="1014">
        <v>1.0040772658393415</v>
      </c>
      <c r="K1260">
        <v>2.4349598068496716</v>
      </c>
      <c r="L1260">
        <v>0</v>
      </c>
      <c r="M1260">
        <v>1.6928030066136524E-3</v>
      </c>
      <c r="N1260">
        <v>0.15127489978279376</v>
      </c>
      <c r="O1260">
        <v>2.195801153226851E-2</v>
      </c>
      <c r="P1260">
        <v>2.8619214553291871E-2</v>
      </c>
      <c r="Q1260">
        <v>5.7118530494432032E-3</v>
      </c>
      <c r="R1260">
        <v>1.6698429837556665E-3</v>
      </c>
      <c r="S1260">
        <v>0.27130466336264136</v>
      </c>
      <c r="T1260">
        <v>1.3659264052006816</v>
      </c>
      <c r="U1260">
        <v>0.22055714892732828</v>
      </c>
      <c r="V1260">
        <v>0.24877978442896925</v>
      </c>
      <c r="W1260">
        <v>9.972809536751702E-2</v>
      </c>
      <c r="X1260">
        <v>1.6577928529404873E-2</v>
      </c>
      <c r="Y1260">
        <v>4.54476213819127E-3</v>
      </c>
    </row>
    <row r="1261" spans="1:25">
      <c r="A1261" s="1010"/>
      <c r="B1261" s="1351">
        <v>1011</v>
      </c>
      <c r="C1261" s="1014">
        <v>1.0288994692743092</v>
      </c>
      <c r="D1261" s="1014">
        <v>1.0284945870605229</v>
      </c>
      <c r="E1261" s="1014">
        <v>0.9691739285296479</v>
      </c>
      <c r="F1261" s="1014">
        <v>1.0385925343412903</v>
      </c>
      <c r="G1261" s="1014">
        <v>0.98472045069619007</v>
      </c>
      <c r="H1261" s="1014">
        <v>1.0388053978941649</v>
      </c>
      <c r="I1261" s="1014">
        <v>0.99222505243979364</v>
      </c>
      <c r="K1261">
        <v>2.4366527619252594</v>
      </c>
      <c r="L1261">
        <v>0</v>
      </c>
      <c r="M1261">
        <v>1.7559292148678523E-3</v>
      </c>
      <c r="N1261">
        <v>0.14565112042852457</v>
      </c>
      <c r="O1261">
        <v>2.0250761959666231E-2</v>
      </c>
      <c r="P1261">
        <v>2.8262124489352156E-2</v>
      </c>
      <c r="Q1261">
        <v>5.1361635254398297E-3</v>
      </c>
      <c r="R1261">
        <v>1.7336171879424951E-3</v>
      </c>
      <c r="S1261">
        <v>0.24885121626525605</v>
      </c>
      <c r="T1261">
        <v>1.4238833662683663</v>
      </c>
      <c r="U1261">
        <v>0.20591737263076099</v>
      </c>
      <c r="V1261">
        <v>0.24128012466185389</v>
      </c>
      <c r="W1261">
        <v>9.747403132470768E-2</v>
      </c>
      <c r="X1261">
        <v>1.5250457899430969E-2</v>
      </c>
      <c r="Y1261">
        <v>4.7183344988270572E-3</v>
      </c>
    </row>
    <row r="1262" spans="1:25">
      <c r="A1262" s="1010"/>
      <c r="B1262" s="1351">
        <v>1012</v>
      </c>
      <c r="C1262" s="1014">
        <v>1.029456048102646</v>
      </c>
      <c r="D1262" s="1014">
        <v>1.0116046680400528</v>
      </c>
      <c r="E1262" s="1014">
        <v>1.0364861718708978</v>
      </c>
      <c r="F1262" s="1014">
        <v>0.99424834466073908</v>
      </c>
      <c r="G1262" s="1014">
        <v>1.0453844890845196</v>
      </c>
      <c r="H1262" s="1014">
        <v>1.009970562330482</v>
      </c>
      <c r="I1262" s="1014">
        <v>0.99215954286306018</v>
      </c>
      <c r="K1262">
        <v>2.3959151888558097</v>
      </c>
      <c r="L1262">
        <v>0</v>
      </c>
      <c r="M1262">
        <v>1.4892427773324981E-3</v>
      </c>
      <c r="N1262">
        <v>0.15132641655592183</v>
      </c>
      <c r="O1262">
        <v>2.0356979305646526E-2</v>
      </c>
      <c r="P1262">
        <v>2.9024746751474324E-2</v>
      </c>
      <c r="Q1262">
        <v>5.5239800934582042E-3</v>
      </c>
      <c r="R1262">
        <v>1.4697791847458667E-3</v>
      </c>
      <c r="S1262">
        <v>0.24891973550730331</v>
      </c>
      <c r="T1262">
        <v>1.3645368033183691</v>
      </c>
      <c r="U1262">
        <v>0.20602963005336292</v>
      </c>
      <c r="V1262">
        <v>0.25135905038961887</v>
      </c>
      <c r="W1262">
        <v>9.7308630192381576E-2</v>
      </c>
      <c r="X1262">
        <v>1.7548425852558749E-2</v>
      </c>
      <c r="Y1262">
        <v>4.000254428300213E-3</v>
      </c>
    </row>
    <row r="1263" spans="1:25">
      <c r="A1263" s="1010"/>
      <c r="B1263" s="1351">
        <v>1013</v>
      </c>
      <c r="C1263" s="1014">
        <v>1.0235883626657218</v>
      </c>
      <c r="D1263" s="1014">
        <v>1.0253403320185239</v>
      </c>
      <c r="E1263" s="1014">
        <v>0.9942993405696533</v>
      </c>
      <c r="F1263" s="1014">
        <v>0.99640323913876461</v>
      </c>
      <c r="G1263" s="1014">
        <v>1.0166981129030965</v>
      </c>
      <c r="H1263" s="1014">
        <v>0.99678621149961999</v>
      </c>
      <c r="I1263" s="1014">
        <v>0.97083182625081454</v>
      </c>
      <c r="K1263">
        <v>2.3752905352064837</v>
      </c>
      <c r="L1263">
        <v>0</v>
      </c>
      <c r="M1263">
        <v>1.6089644805805288E-3</v>
      </c>
      <c r="N1263">
        <v>0.1439225583598838</v>
      </c>
      <c r="O1263">
        <v>2.0385751283318647E-2</v>
      </c>
      <c r="P1263">
        <v>2.8025760861213066E-2</v>
      </c>
      <c r="Q1263">
        <v>5.3040105265495501E-3</v>
      </c>
      <c r="R1263">
        <v>1.5876580522590266E-3</v>
      </c>
      <c r="S1263">
        <v>0.24194416150208989</v>
      </c>
      <c r="T1263">
        <v>1.3665823623645803</v>
      </c>
      <c r="U1263">
        <v>0.20706947756534269</v>
      </c>
      <c r="V1263">
        <v>0.24696589774533736</v>
      </c>
      <c r="W1263">
        <v>9.4868946569189733E-2</v>
      </c>
      <c r="X1263">
        <v>1.5921833010385883E-2</v>
      </c>
      <c r="Y1263">
        <v>4.3210818469128021E-3</v>
      </c>
    </row>
    <row r="1264" spans="1:25">
      <c r="A1264" s="1010"/>
      <c r="B1264" s="1351">
        <v>1014</v>
      </c>
      <c r="C1264" s="1014">
        <v>1.0287378694364178</v>
      </c>
      <c r="D1264" s="1014">
        <v>1.0205644430160887</v>
      </c>
      <c r="E1264" s="1014">
        <v>1.0098460689740532</v>
      </c>
      <c r="F1264" s="1014">
        <v>1.0014340032263791</v>
      </c>
      <c r="G1264" s="1014">
        <v>0.99648078873479418</v>
      </c>
      <c r="H1264" s="1014">
        <v>1.0297391831271385</v>
      </c>
      <c r="I1264" s="1014">
        <v>1.0135861207794017</v>
      </c>
      <c r="K1264">
        <v>2.4015064303344773</v>
      </c>
      <c r="L1264">
        <v>0</v>
      </c>
      <c r="M1264">
        <v>1.6029813339286487E-3</v>
      </c>
      <c r="N1264">
        <v>0.15034641117247119</v>
      </c>
      <c r="O1264">
        <v>2.0314539988970516E-2</v>
      </c>
      <c r="P1264">
        <v>2.8561977371911389E-2</v>
      </c>
      <c r="Q1264">
        <v>5.368633143748548E-3</v>
      </c>
      <c r="R1264">
        <v>1.5824334338577801E-3</v>
      </c>
      <c r="S1264">
        <v>0.25479423348568409</v>
      </c>
      <c r="T1264">
        <v>1.3738190025019834</v>
      </c>
      <c r="U1264">
        <v>0.20608463356160192</v>
      </c>
      <c r="V1264">
        <v>0.24315195084261979</v>
      </c>
      <c r="W1264">
        <v>9.8193302592063311E-2</v>
      </c>
      <c r="X1264">
        <v>1.6585431415569719E-2</v>
      </c>
      <c r="Y1264">
        <v>4.3068621579196017E-3</v>
      </c>
    </row>
    <row r="1265" spans="1:25">
      <c r="A1265" s="1010"/>
      <c r="B1265" s="1351">
        <v>1015</v>
      </c>
      <c r="C1265" s="1014">
        <v>0.99670187557129031</v>
      </c>
      <c r="D1265" s="1014">
        <v>1.010479689647291</v>
      </c>
      <c r="E1265" s="1014">
        <v>1.0127748717060052</v>
      </c>
      <c r="F1265" s="1014">
        <v>1.0133231223739589</v>
      </c>
      <c r="G1265" s="1014">
        <v>0.98655317966426448</v>
      </c>
      <c r="H1265" s="1014">
        <v>1.0207443743870401</v>
      </c>
      <c r="I1265" s="1014">
        <v>1.0089038739420675</v>
      </c>
      <c r="K1265">
        <v>2.4410310000729578</v>
      </c>
      <c r="L1265">
        <v>0</v>
      </c>
      <c r="M1265">
        <v>1.6336667148341942E-3</v>
      </c>
      <c r="N1265">
        <v>0.15456745231103355</v>
      </c>
      <c r="O1265">
        <v>2.1015297970897087E-2</v>
      </c>
      <c r="P1265">
        <v>2.9047705966191308E-2</v>
      </c>
      <c r="Q1265">
        <v>5.5700984635226212E-3</v>
      </c>
      <c r="R1265">
        <v>1.6125409381856268E-3</v>
      </c>
      <c r="S1265">
        <v>0.26231319416190307</v>
      </c>
      <c r="T1265">
        <v>1.3901934447853674</v>
      </c>
      <c r="U1265">
        <v>0.21271866830803798</v>
      </c>
      <c r="V1265">
        <v>0.24339664210380155</v>
      </c>
      <c r="W1265">
        <v>0.10077610703227277</v>
      </c>
      <c r="X1265">
        <v>1.7064709886816624E-2</v>
      </c>
      <c r="Y1265">
        <v>4.3888048597638665E-3</v>
      </c>
    </row>
    <row r="1266" spans="1:25">
      <c r="A1266" s="1010"/>
      <c r="B1266" s="1351">
        <v>1016</v>
      </c>
      <c r="C1266" s="1014">
        <v>1.0407409108667913</v>
      </c>
      <c r="D1266" s="1014">
        <v>1.005995228434672</v>
      </c>
      <c r="E1266" s="1014">
        <v>1.0163523433281034</v>
      </c>
      <c r="F1266" s="1014">
        <v>1.0350332589851536</v>
      </c>
      <c r="G1266" s="1014">
        <v>1.0190474148058357</v>
      </c>
      <c r="H1266" s="1014">
        <v>1.0065134738193591</v>
      </c>
      <c r="I1266" s="1014">
        <v>0.98610356516846465</v>
      </c>
      <c r="K1266">
        <v>2.4327011611381724</v>
      </c>
      <c r="L1266">
        <v>0</v>
      </c>
      <c r="M1266">
        <v>1.5327935261057162E-3</v>
      </c>
      <c r="N1266">
        <v>0.14657056694696136</v>
      </c>
      <c r="O1266">
        <v>2.0148020818643923E-2</v>
      </c>
      <c r="P1266">
        <v>2.9212705326472247E-2</v>
      </c>
      <c r="Q1266">
        <v>5.359310529350827E-3</v>
      </c>
      <c r="R1266">
        <v>1.5126919420231162E-3</v>
      </c>
      <c r="S1266">
        <v>0.24496231626265444</v>
      </c>
      <c r="T1266">
        <v>1.4200582284604306</v>
      </c>
      <c r="U1266">
        <v>0.2037292370060455</v>
      </c>
      <c r="V1266">
        <v>0.24628117033097635</v>
      </c>
      <c r="W1266">
        <v>9.536157544816655E-2</v>
      </c>
      <c r="X1266">
        <v>1.6921082785128317E-2</v>
      </c>
      <c r="Y1266">
        <v>4.1170488074222522E-3</v>
      </c>
    </row>
    <row r="1267" spans="1:25">
      <c r="A1267" s="1010"/>
      <c r="B1267" s="1351">
        <v>1017</v>
      </c>
      <c r="C1267" s="1014">
        <v>0.97111131096479353</v>
      </c>
      <c r="D1267" s="1014">
        <v>1.0106354552233405</v>
      </c>
      <c r="E1267" s="1014">
        <v>1.000522313154282</v>
      </c>
      <c r="F1267" s="1014">
        <v>1.0187296899488671</v>
      </c>
      <c r="G1267" s="1014">
        <v>0.98982090473048223</v>
      </c>
      <c r="H1267" s="1014">
        <v>0.96630120798939256</v>
      </c>
      <c r="I1267" s="1014">
        <v>1.0206153906412418</v>
      </c>
      <c r="K1267">
        <v>2.4518036596715511</v>
      </c>
      <c r="L1267">
        <v>0</v>
      </c>
      <c r="M1267">
        <v>1.628132287889369E-3</v>
      </c>
      <c r="N1267">
        <v>0.1483388443680968</v>
      </c>
      <c r="O1267">
        <v>2.1559995406022436E-2</v>
      </c>
      <c r="P1267">
        <v>2.9058449281704681E-2</v>
      </c>
      <c r="Q1267">
        <v>5.6447773836982929E-3</v>
      </c>
      <c r="R1267">
        <v>1.6058918473801219E-3</v>
      </c>
      <c r="S1267">
        <v>0.26736829372108845</v>
      </c>
      <c r="T1267">
        <v>1.3973404741579365</v>
      </c>
      <c r="U1267">
        <v>0.21828102299984878</v>
      </c>
      <c r="V1267">
        <v>0.24564708652064596</v>
      </c>
      <c r="W1267">
        <v>9.7418296364663898E-2</v>
      </c>
      <c r="X1267">
        <v>1.6797951681890112E-2</v>
      </c>
      <c r="Y1267">
        <v>4.3707082264634782E-3</v>
      </c>
    </row>
    <row r="1268" spans="1:25">
      <c r="A1268" s="1010"/>
      <c r="B1268" s="1351">
        <v>1018</v>
      </c>
      <c r="C1268" s="1014">
        <v>0.99638266409664877</v>
      </c>
      <c r="D1268" s="1014">
        <v>1.0192005115466314</v>
      </c>
      <c r="E1268" s="1014">
        <v>0.99366062385967557</v>
      </c>
      <c r="F1268" s="1014">
        <v>0.99418583818000961</v>
      </c>
      <c r="G1268" s="1014">
        <v>1.0280814464527415</v>
      </c>
      <c r="H1268" s="1014">
        <v>1.0149337291850877</v>
      </c>
      <c r="I1268" s="1014">
        <v>0.97850347371244206</v>
      </c>
      <c r="K1268">
        <v>2.4049974219770709</v>
      </c>
      <c r="L1268">
        <v>0</v>
      </c>
      <c r="M1268">
        <v>1.6874464584375479E-3</v>
      </c>
      <c r="N1268">
        <v>0.15068783243963116</v>
      </c>
      <c r="O1268">
        <v>2.0969640353832815E-2</v>
      </c>
      <c r="P1268">
        <v>2.8243700513744266E-2</v>
      </c>
      <c r="Q1268">
        <v>5.4524146863131088E-3</v>
      </c>
      <c r="R1268">
        <v>1.6655002987657416E-3</v>
      </c>
      <c r="S1268">
        <v>0.25276953554165948</v>
      </c>
      <c r="T1268">
        <v>1.3635274456037936</v>
      </c>
      <c r="U1268">
        <v>0.21272121036280781</v>
      </c>
      <c r="V1268">
        <v>0.25057675681225694</v>
      </c>
      <c r="W1268">
        <v>9.9366283268953373E-2</v>
      </c>
      <c r="X1268">
        <v>1.6171605772536648E-2</v>
      </c>
      <c r="Y1268">
        <v>4.5329427812144168E-3</v>
      </c>
    </row>
    <row r="1269" spans="1:25">
      <c r="A1269" s="1010"/>
      <c r="B1269" s="1351">
        <v>1019</v>
      </c>
      <c r="C1269" s="1014">
        <v>0.95407782507260219</v>
      </c>
      <c r="D1269" s="1014">
        <v>1.0305800110191834</v>
      </c>
      <c r="E1269" s="1014">
        <v>1.0349534877031819</v>
      </c>
      <c r="F1269" s="1014">
        <v>1.0077579048416601</v>
      </c>
      <c r="G1269" s="1014">
        <v>0.98539000898205875</v>
      </c>
      <c r="H1269" s="1014">
        <v>0.98993128110271944</v>
      </c>
      <c r="I1269" s="1014">
        <v>1.0001695521650065</v>
      </c>
      <c r="K1269">
        <v>2.459157320924878</v>
      </c>
      <c r="L1269">
        <v>0</v>
      </c>
      <c r="M1269">
        <v>1.5736149057093481E-3</v>
      </c>
      <c r="N1269">
        <v>0.15912026780471591</v>
      </c>
      <c r="O1269">
        <v>2.1874624527403335E-2</v>
      </c>
      <c r="P1269">
        <v>2.9649301237884465E-2</v>
      </c>
      <c r="Q1269">
        <v>5.9268416917271213E-3</v>
      </c>
      <c r="R1269">
        <v>1.5526322897822559E-3</v>
      </c>
      <c r="S1269">
        <v>0.26647385788504879</v>
      </c>
      <c r="T1269">
        <v>1.3830440995057267</v>
      </c>
      <c r="U1269">
        <v>0.22230176207647015</v>
      </c>
      <c r="V1269">
        <v>0.24592045979903251</v>
      </c>
      <c r="W1269">
        <v>0.10241103813094932</v>
      </c>
      <c r="X1269">
        <v>1.8230297614154897E-2</v>
      </c>
      <c r="Y1269">
        <v>4.22575326769053E-3</v>
      </c>
    </row>
    <row r="1270" spans="1:25">
      <c r="A1270" s="1010"/>
      <c r="B1270" s="1351">
        <v>1020</v>
      </c>
      <c r="C1270" s="1014">
        <v>0.99085115074511387</v>
      </c>
      <c r="D1270" s="1014">
        <v>1.0275334560752001</v>
      </c>
      <c r="E1270" s="1014">
        <v>0.96348630524628553</v>
      </c>
      <c r="F1270" s="1014">
        <v>0.9820595094244946</v>
      </c>
      <c r="G1270" s="1014">
        <v>1.006529253210108</v>
      </c>
      <c r="H1270" s="1014">
        <v>1.012589245843907</v>
      </c>
      <c r="I1270" s="1014">
        <v>1.01962708655962</v>
      </c>
      <c r="K1270">
        <v>2.3894538952694817</v>
      </c>
      <c r="L1270">
        <v>0</v>
      </c>
      <c r="M1270">
        <v>1.7986901975595036E-3</v>
      </c>
      <c r="N1270">
        <v>0.14660110386510239</v>
      </c>
      <c r="O1270">
        <v>2.1028943384155778E-2</v>
      </c>
      <c r="P1270">
        <v>2.7486186656401727E-2</v>
      </c>
      <c r="Q1270">
        <v>5.3025541482674904E-3</v>
      </c>
      <c r="R1270">
        <v>1.7752430900053898E-3</v>
      </c>
      <c r="S1270">
        <v>0.26333985754743888</v>
      </c>
      <c r="T1270">
        <v>1.3462581042786816</v>
      </c>
      <c r="U1270">
        <v>0.21380501063869131</v>
      </c>
      <c r="V1270">
        <v>0.24735636529328275</v>
      </c>
      <c r="W1270">
        <v>9.84509966386313E-2</v>
      </c>
      <c r="X1270">
        <v>1.5016593444111494E-2</v>
      </c>
      <c r="Y1270">
        <v>4.8316264822673297E-3</v>
      </c>
    </row>
    <row r="1271" spans="1:25">
      <c r="A1271" s="1010"/>
      <c r="B1271" s="1351">
        <v>1021</v>
      </c>
      <c r="C1271" s="1014">
        <v>1.0021307329931375</v>
      </c>
      <c r="D1271" s="1014">
        <v>1.0115820186652535</v>
      </c>
      <c r="E1271" s="1014">
        <v>0.9775575816599178</v>
      </c>
      <c r="F1271" s="1014">
        <v>0.96777856214833058</v>
      </c>
      <c r="G1271" s="1014">
        <v>0.9998996147552458</v>
      </c>
      <c r="H1271" s="1014">
        <v>0.99036204220044488</v>
      </c>
      <c r="I1271" s="1014">
        <v>0.99857040731573599</v>
      </c>
      <c r="K1271">
        <v>2.3526901356632575</v>
      </c>
      <c r="L1271">
        <v>0</v>
      </c>
      <c r="M1271">
        <v>1.6954259116063175E-3</v>
      </c>
      <c r="N1271">
        <v>0.14415638320341387</v>
      </c>
      <c r="O1271">
        <v>2.0873192467402463E-2</v>
      </c>
      <c r="P1271">
        <v>2.7359182965438822E-2</v>
      </c>
      <c r="Q1271">
        <v>5.339501750101683E-3</v>
      </c>
      <c r="R1271">
        <v>1.6728288979540743E-3</v>
      </c>
      <c r="S1271">
        <v>0.25522594424217127</v>
      </c>
      <c r="T1271">
        <v>1.3269737612728774</v>
      </c>
      <c r="U1271">
        <v>0.21144627341976036</v>
      </c>
      <c r="V1271">
        <v>0.24546270317206545</v>
      </c>
      <c r="W1271">
        <v>9.5984004804914175E-2</v>
      </c>
      <c r="X1271">
        <v>1.5338896566428844E-2</v>
      </c>
      <c r="Y1271">
        <v>4.5528888123329853E-3</v>
      </c>
    </row>
    <row r="1272" spans="1:25">
      <c r="A1272" s="1010"/>
      <c r="B1272" s="1351">
        <v>1022</v>
      </c>
      <c r="C1272" s="1014">
        <v>1.0142014880135228</v>
      </c>
      <c r="D1272" s="1014">
        <v>1.0053986309233973</v>
      </c>
      <c r="E1272" s="1014">
        <v>0.97418596446004502</v>
      </c>
      <c r="F1272" s="1014">
        <v>0.96309736095056586</v>
      </c>
      <c r="G1272" s="1014">
        <v>0.9940775663223933</v>
      </c>
      <c r="H1272" s="1014">
        <v>0.97240073323622789</v>
      </c>
      <c r="I1272" s="1014">
        <v>1.0160187201507622</v>
      </c>
      <c r="K1272">
        <v>2.3342431646264927</v>
      </c>
      <c r="L1272">
        <v>0</v>
      </c>
      <c r="M1272">
        <v>1.6586007898850828E-3</v>
      </c>
      <c r="N1272">
        <v>0.13955866625424673</v>
      </c>
      <c r="O1272">
        <v>2.0650409628858338E-2</v>
      </c>
      <c r="P1272">
        <v>2.7153346811605278E-2</v>
      </c>
      <c r="Q1272">
        <v>5.2643992165057598E-3</v>
      </c>
      <c r="R1272">
        <v>1.6360862638611264E-3</v>
      </c>
      <c r="S1272">
        <v>0.25582877339042709</v>
      </c>
      <c r="T1272">
        <v>1.3204852318498528</v>
      </c>
      <c r="U1272">
        <v>0.20891837709226005</v>
      </c>
      <c r="V1272">
        <v>0.24373942141933566</v>
      </c>
      <c r="W1272">
        <v>9.3112687483188974E-2</v>
      </c>
      <c r="X1272">
        <v>1.5101478531695354E-2</v>
      </c>
      <c r="Y1272">
        <v>4.4528874745380547E-3</v>
      </c>
    </row>
    <row r="1273" spans="1:25">
      <c r="A1273" s="1010"/>
      <c r="B1273" s="1351">
        <v>1023</v>
      </c>
      <c r="C1273" s="1014">
        <v>0.9753713896753835</v>
      </c>
      <c r="D1273" s="1014">
        <v>1.0202642050660922</v>
      </c>
      <c r="E1273" s="1014">
        <v>0.98365906439580009</v>
      </c>
      <c r="F1273" s="1014">
        <v>0.98053133712271001</v>
      </c>
      <c r="G1273" s="1014">
        <v>0.98584614284091809</v>
      </c>
      <c r="H1273" s="1014">
        <v>0.99472083351052354</v>
      </c>
      <c r="I1273" s="1014">
        <v>0.98626542921897153</v>
      </c>
      <c r="K1273">
        <v>2.388570900406517</v>
      </c>
      <c r="L1273">
        <v>0</v>
      </c>
      <c r="M1273">
        <v>1.7244239267946539E-3</v>
      </c>
      <c r="N1273">
        <v>0.14936263439651834</v>
      </c>
      <c r="O1273">
        <v>2.1409686016095081E-2</v>
      </c>
      <c r="P1273">
        <v>2.7834046677531404E-2</v>
      </c>
      <c r="Q1273">
        <v>5.5107985609709901E-3</v>
      </c>
      <c r="R1273">
        <v>1.7015411331261496E-3</v>
      </c>
      <c r="S1273">
        <v>0.25831584452772105</v>
      </c>
      <c r="T1273">
        <v>1.3445886621286303</v>
      </c>
      <c r="U1273">
        <v>0.21726862459625107</v>
      </c>
      <c r="V1273">
        <v>0.24474704242278722</v>
      </c>
      <c r="W1273">
        <v>9.9084948394153161E-2</v>
      </c>
      <c r="X1273">
        <v>1.5840461428039007E-2</v>
      </c>
      <c r="Y1273">
        <v>4.6310340514855936E-3</v>
      </c>
    </row>
    <row r="1274" spans="1:25">
      <c r="A1274" s="1010"/>
      <c r="B1274" s="1351">
        <v>1024</v>
      </c>
      <c r="C1274" s="1014">
        <v>0.99784897148352059</v>
      </c>
      <c r="D1274" s="1014">
        <v>0.99516984763828908</v>
      </c>
      <c r="E1274" s="1014">
        <v>1.0216317243436315</v>
      </c>
      <c r="F1274" s="1014">
        <v>1.0078125825761735</v>
      </c>
      <c r="G1274" s="1014">
        <v>0.99507775935797826</v>
      </c>
      <c r="H1274" s="1014">
        <v>0.99834474893365033</v>
      </c>
      <c r="I1274" s="1014">
        <v>0.98744258815975705</v>
      </c>
      <c r="K1274">
        <v>2.4257597405630165</v>
      </c>
      <c r="L1274">
        <v>0</v>
      </c>
      <c r="M1274">
        <v>1.5721222051735756E-3</v>
      </c>
      <c r="N1274">
        <v>0.15272832888444854</v>
      </c>
      <c r="O1274">
        <v>2.1067674420232201E-2</v>
      </c>
      <c r="P1274">
        <v>2.9071298051057716E-2</v>
      </c>
      <c r="Q1274">
        <v>5.6334413156569115E-3</v>
      </c>
      <c r="R1274">
        <v>1.5513361544725454E-3</v>
      </c>
      <c r="S1274">
        <v>0.2565811475759181</v>
      </c>
      <c r="T1274">
        <v>1.3828271615794128</v>
      </c>
      <c r="U1274">
        <v>0.21250455360482076</v>
      </c>
      <c r="V1274">
        <v>0.24474895292327717</v>
      </c>
      <c r="W1274">
        <v>9.9061242598774552E-2</v>
      </c>
      <c r="X1274">
        <v>1.7334500045468066E-2</v>
      </c>
      <c r="Y1274">
        <v>4.2222256146483882E-3</v>
      </c>
    </row>
    <row r="1275" spans="1:25">
      <c r="A1275" s="1010"/>
      <c r="B1275" s="1351">
        <v>1025</v>
      </c>
      <c r="C1275" s="1014">
        <v>1.0046716284025854</v>
      </c>
      <c r="D1275" s="1014">
        <v>1.0033066922071616</v>
      </c>
      <c r="E1275" s="1014">
        <v>0.9934897030877442</v>
      </c>
      <c r="F1275" s="1014">
        <v>1.0052194624138668</v>
      </c>
      <c r="G1275" s="1014">
        <v>1.0088739375548059</v>
      </c>
      <c r="H1275" s="1014">
        <v>0.98071835859955758</v>
      </c>
      <c r="I1275" s="1014">
        <v>0.9747671553858519</v>
      </c>
      <c r="K1275">
        <v>2.4006691248681555</v>
      </c>
      <c r="L1275">
        <v>0</v>
      </c>
      <c r="M1275">
        <v>1.6232827394394307E-3</v>
      </c>
      <c r="N1275">
        <v>0.14481657957942473</v>
      </c>
      <c r="O1275">
        <v>2.086855432567649E-2</v>
      </c>
      <c r="P1275">
        <v>2.8317138468178842E-2</v>
      </c>
      <c r="Q1275">
        <v>5.4251953483281275E-3</v>
      </c>
      <c r="R1275">
        <v>1.6014345182455295E-3</v>
      </c>
      <c r="S1275">
        <v>0.24886659431307256</v>
      </c>
      <c r="T1275">
        <v>1.3786563674766745</v>
      </c>
      <c r="U1275">
        <v>0.2109655897956689</v>
      </c>
      <c r="V1275">
        <v>0.24678011842506267</v>
      </c>
      <c r="W1275">
        <v>9.5504423675586578E-2</v>
      </c>
      <c r="X1275">
        <v>1.6131834835756333E-2</v>
      </c>
      <c r="Y1275">
        <v>4.3585768459172714E-3</v>
      </c>
    </row>
    <row r="1276" spans="1:25">
      <c r="A1276" s="1010"/>
      <c r="B1276" s="1351">
        <v>1026</v>
      </c>
      <c r="C1276" s="1014">
        <v>0.97028952273823166</v>
      </c>
      <c r="D1276" s="1014">
        <v>1.0306004908441113</v>
      </c>
      <c r="E1276" s="1014">
        <v>1.020659470839171</v>
      </c>
      <c r="F1276" s="1014">
        <v>1.0351609978893035</v>
      </c>
      <c r="G1276" s="1014">
        <v>0.99334449243196077</v>
      </c>
      <c r="H1276" s="1014">
        <v>1.0256848914232866</v>
      </c>
      <c r="I1276" s="1014">
        <v>1.0046634866390547</v>
      </c>
      <c r="K1276">
        <v>2.4944326888542316</v>
      </c>
      <c r="L1276">
        <v>0</v>
      </c>
      <c r="M1276">
        <v>1.6516552577481637E-3</v>
      </c>
      <c r="N1276">
        <v>0.16004203711456916</v>
      </c>
      <c r="O1276">
        <v>2.1499293701274753E-2</v>
      </c>
      <c r="P1276">
        <v>2.9807818193226917E-2</v>
      </c>
      <c r="Q1276">
        <v>5.7433047582156537E-3</v>
      </c>
      <c r="R1276">
        <v>1.6303997411655938E-3</v>
      </c>
      <c r="S1276">
        <v>0.26620731128007302</v>
      </c>
      <c r="T1276">
        <v>1.4203302682333203</v>
      </c>
      <c r="U1276">
        <v>0.2185369533270419</v>
      </c>
      <c r="V1276">
        <v>0.24623311756947072</v>
      </c>
      <c r="W1276">
        <v>0.10386400265442096</v>
      </c>
      <c r="X1276">
        <v>1.7752426904876488E-2</v>
      </c>
      <c r="Y1276">
        <v>4.4374106343225174E-3</v>
      </c>
    </row>
    <row r="1277" spans="1:25">
      <c r="A1277" s="1010"/>
      <c r="B1277" s="1351">
        <v>1027</v>
      </c>
      <c r="C1277" s="1014">
        <v>0.98067179157947493</v>
      </c>
      <c r="D1277" s="1014">
        <v>1.0401680077710667</v>
      </c>
      <c r="E1277" s="1014">
        <v>0.9856071508711487</v>
      </c>
      <c r="F1277" s="1014">
        <v>1.0006523398918099</v>
      </c>
      <c r="G1277" s="1014">
        <v>0.98988270478977225</v>
      </c>
      <c r="H1277" s="1014">
        <v>0.98429948545914892</v>
      </c>
      <c r="I1277" s="1014">
        <v>0.99841619548811256</v>
      </c>
      <c r="K1277">
        <v>2.4092611621304139</v>
      </c>
      <c r="L1277">
        <v>0</v>
      </c>
      <c r="M1277">
        <v>1.683137910240442E-3</v>
      </c>
      <c r="N1277">
        <v>0.14662727128792868</v>
      </c>
      <c r="O1277">
        <v>2.1204954545817178E-2</v>
      </c>
      <c r="P1277">
        <v>2.8215312537871858E-2</v>
      </c>
      <c r="Q1277">
        <v>5.4688912564739445E-3</v>
      </c>
      <c r="R1277">
        <v>1.6605665016610192E-3</v>
      </c>
      <c r="S1277">
        <v>0.2567186874234057</v>
      </c>
      <c r="T1277">
        <v>1.3722223351201972</v>
      </c>
      <c r="U1277">
        <v>0.21610108987611804</v>
      </c>
      <c r="V1277">
        <v>0.2450840760256659</v>
      </c>
      <c r="W1277">
        <v>9.7156416091766409E-2</v>
      </c>
      <c r="X1277">
        <v>1.5965184761823938E-2</v>
      </c>
      <c r="Y1277">
        <v>4.5195146119211401E-3</v>
      </c>
    </row>
    <row r="1278" spans="1:25">
      <c r="A1278" s="1010"/>
      <c r="B1278" s="1351">
        <v>1028</v>
      </c>
      <c r="C1278" s="1014">
        <v>1.0280893692712392</v>
      </c>
      <c r="D1278" s="1014">
        <v>0.97235683868887812</v>
      </c>
      <c r="E1278" s="1014">
        <v>1.0044583246580079</v>
      </c>
      <c r="F1278" s="1014">
        <v>0.99304055505984778</v>
      </c>
      <c r="G1278" s="1014">
        <v>1.0159579750809111</v>
      </c>
      <c r="H1278" s="1014">
        <v>0.9882226060022502</v>
      </c>
      <c r="I1278" s="1014">
        <v>1.0058437647984999</v>
      </c>
      <c r="K1278">
        <v>2.3856239140098396</v>
      </c>
      <c r="L1278">
        <v>0</v>
      </c>
      <c r="M1278">
        <v>1.5733019505521008E-3</v>
      </c>
      <c r="N1278">
        <v>0.14510225751386854</v>
      </c>
      <c r="O1278">
        <v>2.0541399716151054E-2</v>
      </c>
      <c r="P1278">
        <v>2.8348757613149235E-2</v>
      </c>
      <c r="Q1278">
        <v>5.3993821288563625E-3</v>
      </c>
      <c r="R1278">
        <v>1.5522872350368466E-3</v>
      </c>
      <c r="S1278">
        <v>0.25566430857237504</v>
      </c>
      <c r="T1278">
        <v>1.3621885539048499</v>
      </c>
      <c r="U1278">
        <v>0.20619669474088834</v>
      </c>
      <c r="V1278">
        <v>0.2465351597708926</v>
      </c>
      <c r="W1278">
        <v>9.5070512753811606E-2</v>
      </c>
      <c r="X1278">
        <v>1.6373087868089137E-2</v>
      </c>
      <c r="Y1278">
        <v>4.2248141424207917E-3</v>
      </c>
    </row>
    <row r="1279" spans="1:25">
      <c r="A1279" s="1010"/>
      <c r="B1279" s="1351">
        <v>1029</v>
      </c>
      <c r="C1279" s="1014">
        <v>0.99289038627156123</v>
      </c>
      <c r="D1279" s="1014">
        <v>1.0157759761971665</v>
      </c>
      <c r="E1279" s="1014">
        <v>1.0378839075505286</v>
      </c>
      <c r="F1279" s="1014">
        <v>1.0138220620477896</v>
      </c>
      <c r="G1279" s="1014">
        <v>0.98639008532697259</v>
      </c>
      <c r="H1279" s="1014">
        <v>1.0147630731750168</v>
      </c>
      <c r="I1279" s="1014">
        <v>0.98381252520713636</v>
      </c>
      <c r="K1279">
        <v>2.4419536859433553</v>
      </c>
      <c r="L1279">
        <v>0</v>
      </c>
      <c r="M1279">
        <v>1.5454982655634126E-3</v>
      </c>
      <c r="N1279">
        <v>0.15771532598040508</v>
      </c>
      <c r="O1279">
        <v>2.1088512900812248E-2</v>
      </c>
      <c r="P1279">
        <v>2.9524628671419164E-2</v>
      </c>
      <c r="Q1279">
        <v>5.7303682470970776E-3</v>
      </c>
      <c r="R1279">
        <v>1.5253948391123558E-3</v>
      </c>
      <c r="S1279">
        <v>0.25580587342369082</v>
      </c>
      <c r="T1279">
        <v>1.3914312392270658</v>
      </c>
      <c r="U1279">
        <v>0.21362202313615969</v>
      </c>
      <c r="V1279">
        <v>0.24352333903280365</v>
      </c>
      <c r="W1279">
        <v>0.10133515193153285</v>
      </c>
      <c r="X1279">
        <v>1.8045704913031105E-2</v>
      </c>
      <c r="Y1279">
        <v>4.1516219057902625E-3</v>
      </c>
    </row>
    <row r="1280" spans="1:25">
      <c r="A1280" s="1010"/>
      <c r="B1280" s="1351">
        <v>1030</v>
      </c>
      <c r="C1280" s="1014">
        <v>1.0301029950945364</v>
      </c>
      <c r="D1280" s="1014">
        <v>1.0287931236758223</v>
      </c>
      <c r="E1280" s="1014">
        <v>1.0219379758174192</v>
      </c>
      <c r="F1280" s="1014">
        <v>0.99672814968658008</v>
      </c>
      <c r="G1280" s="1014">
        <v>0.97886387482237636</v>
      </c>
      <c r="H1280" s="1014">
        <v>0.99365085151103971</v>
      </c>
      <c r="I1280" s="1014">
        <v>0.99609514569704216</v>
      </c>
      <c r="K1280">
        <v>2.3758879899346348</v>
      </c>
      <c r="L1280">
        <v>0</v>
      </c>
      <c r="M1280">
        <v>1.5037378866348671E-3</v>
      </c>
      <c r="N1280">
        <v>0.14621069460457722</v>
      </c>
      <c r="O1280">
        <v>2.0259568625376315E-2</v>
      </c>
      <c r="P1280">
        <v>2.8565398494800394E-2</v>
      </c>
      <c r="Q1280">
        <v>5.4190039181188435E-3</v>
      </c>
      <c r="R1280">
        <v>1.4837620696118885E-3</v>
      </c>
      <c r="S1280">
        <v>0.24621692103625226</v>
      </c>
      <c r="T1280">
        <v>1.3676247587945161</v>
      </c>
      <c r="U1280">
        <v>0.20585174645030863</v>
      </c>
      <c r="V1280">
        <v>0.24002216950924674</v>
      </c>
      <c r="W1280">
        <v>9.4816868301911883E-2</v>
      </c>
      <c r="X1280">
        <v>1.6882524785097348E-2</v>
      </c>
      <c r="Y1280">
        <v>4.0383112314487666E-3</v>
      </c>
    </row>
    <row r="1281" spans="1:25">
      <c r="A1281" s="1010"/>
      <c r="B1281" s="1351">
        <v>1031</v>
      </c>
      <c r="C1281" s="1014">
        <v>1.0125409086629504</v>
      </c>
      <c r="D1281" s="1014">
        <v>0.9985537333780532</v>
      </c>
      <c r="E1281" s="1014">
        <v>1.0174613794519587</v>
      </c>
      <c r="F1281" s="1014">
        <v>0.99804487864626645</v>
      </c>
      <c r="G1281" s="1014">
        <v>1.024475123225953</v>
      </c>
      <c r="H1281" s="1014">
        <v>0.97529770604769994</v>
      </c>
      <c r="I1281" s="1014">
        <v>1.018876381473435</v>
      </c>
      <c r="K1281">
        <v>2.4036665218163402</v>
      </c>
      <c r="L1281">
        <v>0</v>
      </c>
      <c r="M1281">
        <v>1.5255941749929218E-3</v>
      </c>
      <c r="N1281">
        <v>0.14630889716440149</v>
      </c>
      <c r="O1281">
        <v>2.0743741346126294E-2</v>
      </c>
      <c r="P1281">
        <v>2.8836192693327753E-2</v>
      </c>
      <c r="Q1281">
        <v>5.523867635330003E-3</v>
      </c>
      <c r="R1281">
        <v>1.5049466482404481E-3</v>
      </c>
      <c r="S1281">
        <v>0.25845494718283124</v>
      </c>
      <c r="T1281">
        <v>1.3693344547602508</v>
      </c>
      <c r="U1281">
        <v>0.2094069984228919</v>
      </c>
      <c r="V1281">
        <v>0.24887372574649785</v>
      </c>
      <c r="W1281">
        <v>9.5129433418500969E-2</v>
      </c>
      <c r="X1281">
        <v>1.6978942301953386E-2</v>
      </c>
      <c r="Y1281">
        <v>4.0959686709812386E-3</v>
      </c>
    </row>
    <row r="1282" spans="1:25">
      <c r="A1282" s="1010"/>
      <c r="B1282" s="1351">
        <v>1032</v>
      </c>
      <c r="C1282" s="1014">
        <v>1.0280474484962767</v>
      </c>
      <c r="D1282" s="1014">
        <v>1.0034819491971285</v>
      </c>
      <c r="E1282" s="1014">
        <v>1.0046869942409353</v>
      </c>
      <c r="F1282" s="1014">
        <v>0.98108136432748072</v>
      </c>
      <c r="G1282" s="1014">
        <v>1.024401601668574</v>
      </c>
      <c r="H1282" s="1014">
        <v>0.99137257573910564</v>
      </c>
      <c r="I1282" s="1014">
        <v>0.97711813485620369</v>
      </c>
      <c r="K1282">
        <v>2.3581928460694499</v>
      </c>
      <c r="L1282">
        <v>0</v>
      </c>
      <c r="M1282">
        <v>1.5667341338932274E-3</v>
      </c>
      <c r="N1282">
        <v>0.14460256955287334</v>
      </c>
      <c r="O1282">
        <v>2.0400482012872933E-2</v>
      </c>
      <c r="P1282">
        <v>2.7998992119853624E-2</v>
      </c>
      <c r="Q1282">
        <v>5.363570977169654E-3</v>
      </c>
      <c r="R1282">
        <v>1.5458736382564535E-3</v>
      </c>
      <c r="S1282">
        <v>0.24472024659720154</v>
      </c>
      <c r="T1282">
        <v>1.3457885691942548</v>
      </c>
      <c r="U1282">
        <v>0.20620586370301963</v>
      </c>
      <c r="V1282">
        <v>0.24797853373364001</v>
      </c>
      <c r="W1282">
        <v>9.473028971306531E-2</v>
      </c>
      <c r="X1282">
        <v>1.6217230514908018E-2</v>
      </c>
      <c r="Y1282">
        <v>4.2073584462261719E-3</v>
      </c>
    </row>
    <row r="1283" spans="1:25">
      <c r="A1283" s="1010"/>
      <c r="B1283" s="1351">
        <v>1033</v>
      </c>
      <c r="C1283" s="1014">
        <v>0.96521540448788834</v>
      </c>
      <c r="D1283" s="1014">
        <v>1.0014081499840728</v>
      </c>
      <c r="E1283" s="1014">
        <v>1.0384443779619461</v>
      </c>
      <c r="F1283" s="1014">
        <v>0.96931642615536062</v>
      </c>
      <c r="G1283" s="1014">
        <v>1.0048119351214349</v>
      </c>
      <c r="H1283" s="1014">
        <v>0.97849335486751698</v>
      </c>
      <c r="I1283" s="1014">
        <v>0.9740974942956524</v>
      </c>
      <c r="K1283">
        <v>2.3942762716092401</v>
      </c>
      <c r="L1283">
        <v>0</v>
      </c>
      <c r="M1283">
        <v>1.5360030739352791E-3</v>
      </c>
      <c r="N1283">
        <v>0.15693455758587987</v>
      </c>
      <c r="O1283">
        <v>2.176165138003508E-2</v>
      </c>
      <c r="P1283">
        <v>2.8883614763311853E-2</v>
      </c>
      <c r="Q1283">
        <v>5.9165427548687486E-3</v>
      </c>
      <c r="R1283">
        <v>1.5152825647950239E-3</v>
      </c>
      <c r="S1283">
        <v>0.25928639905015544</v>
      </c>
      <c r="T1283">
        <v>1.3303608261796451</v>
      </c>
      <c r="U1283">
        <v>0.2197490620294128</v>
      </c>
      <c r="V1283">
        <v>0.24846693181598484</v>
      </c>
      <c r="W1283">
        <v>0.10080090257302698</v>
      </c>
      <c r="X1283">
        <v>1.8012404357447151E-2</v>
      </c>
      <c r="Y1283">
        <v>4.1240996286088178E-3</v>
      </c>
    </row>
    <row r="1284" spans="1:25">
      <c r="A1284" s="1010"/>
      <c r="B1284" s="1351">
        <v>1034</v>
      </c>
      <c r="C1284" s="1014">
        <v>0.99054886950997045</v>
      </c>
      <c r="D1284" s="1014">
        <v>0.97061132266152728</v>
      </c>
      <c r="E1284" s="1014">
        <v>1.0049604881184171</v>
      </c>
      <c r="F1284" s="1014">
        <v>0.96669829498983795</v>
      </c>
      <c r="G1284" s="1014">
        <v>0.99295346321256195</v>
      </c>
      <c r="H1284" s="1014">
        <v>1.02817921753022</v>
      </c>
      <c r="I1284" s="1014">
        <v>0.99852063783397882</v>
      </c>
      <c r="K1284">
        <v>2.3879699963188137</v>
      </c>
      <c r="L1284">
        <v>0</v>
      </c>
      <c r="M1284">
        <v>1.6978528251436575E-3</v>
      </c>
      <c r="N1284">
        <v>0.15690949079771907</v>
      </c>
      <c r="O1284">
        <v>2.1328659787370152E-2</v>
      </c>
      <c r="P1284">
        <v>2.81061731573795E-2</v>
      </c>
      <c r="Q1284">
        <v>5.6091395382281218E-3</v>
      </c>
      <c r="R1284">
        <v>1.6760557892807153E-3</v>
      </c>
      <c r="S1284">
        <v>0.26711469244703751</v>
      </c>
      <c r="T1284">
        <v>1.3260644611309171</v>
      </c>
      <c r="U1284">
        <v>0.21401301252104643</v>
      </c>
      <c r="V1284">
        <v>0.2449055765205535</v>
      </c>
      <c r="W1284">
        <v>0.10277600729420346</v>
      </c>
      <c r="X1284">
        <v>1.660290881343706E-2</v>
      </c>
      <c r="Y1284">
        <v>4.5616713467796595E-3</v>
      </c>
    </row>
    <row r="1285" spans="1:25">
      <c r="A1285" s="1010"/>
      <c r="B1285" s="1351">
        <v>1035</v>
      </c>
      <c r="C1285" s="1014">
        <v>0.99030048418755179</v>
      </c>
      <c r="D1285" s="1014">
        <v>1.0050369285854017</v>
      </c>
      <c r="E1285" s="1014">
        <v>0.99345367336305301</v>
      </c>
      <c r="F1285" s="1014">
        <v>1.016096854950044</v>
      </c>
      <c r="G1285" s="1014">
        <v>0.96068760404327547</v>
      </c>
      <c r="H1285" s="1014">
        <v>1.0271418505244312</v>
      </c>
      <c r="I1285" s="1014">
        <v>1.009034424371209</v>
      </c>
      <c r="K1285">
        <v>2.4439457028259364</v>
      </c>
      <c r="L1285">
        <v>0</v>
      </c>
      <c r="M1285">
        <v>1.724269846525393E-3</v>
      </c>
      <c r="N1285">
        <v>0.15390394821731515</v>
      </c>
      <c r="O1285">
        <v>2.1163348724552927E-2</v>
      </c>
      <c r="P1285">
        <v>2.868213726351785E-2</v>
      </c>
      <c r="Q1285">
        <v>5.5016330353279321E-3</v>
      </c>
      <c r="R1285">
        <v>1.7021113123794726E-3</v>
      </c>
      <c r="S1285">
        <v>0.26514597568627812</v>
      </c>
      <c r="T1285">
        <v>1.3935738975877738</v>
      </c>
      <c r="U1285">
        <v>0.2140269776600254</v>
      </c>
      <c r="V1285">
        <v>0.23945104966174219</v>
      </c>
      <c r="W1285">
        <v>0.10149959559010292</v>
      </c>
      <c r="X1285">
        <v>1.6386712041990922E-2</v>
      </c>
      <c r="Y1285">
        <v>4.6325858914535983E-3</v>
      </c>
    </row>
    <row r="1286" spans="1:25">
      <c r="A1286" s="1010"/>
      <c r="B1286" s="1351">
        <v>1036</v>
      </c>
      <c r="C1286" s="1014">
        <v>0.98487917986912188</v>
      </c>
      <c r="D1286" s="1014">
        <v>0.99959453121582875</v>
      </c>
      <c r="E1286" s="1014">
        <v>1.0157614208423431</v>
      </c>
      <c r="F1286" s="1014">
        <v>0.98970369564831961</v>
      </c>
      <c r="G1286" s="1014">
        <v>1.0048115324777285</v>
      </c>
      <c r="H1286" s="1014">
        <v>0.99149499652540163</v>
      </c>
      <c r="I1286" s="1014">
        <v>1.0011827400413003</v>
      </c>
      <c r="K1286">
        <v>2.4119122840472493</v>
      </c>
      <c r="L1286">
        <v>0</v>
      </c>
      <c r="M1286">
        <v>1.5997707931498129E-3</v>
      </c>
      <c r="N1286">
        <v>0.15267186576845268</v>
      </c>
      <c r="O1286">
        <v>2.1320322996265576E-2</v>
      </c>
      <c r="P1286">
        <v>2.8754288469278418E-2</v>
      </c>
      <c r="Q1286">
        <v>5.6678014034260782E-3</v>
      </c>
      <c r="R1286">
        <v>1.5784730563762582E-3</v>
      </c>
      <c r="S1286">
        <v>0.26235022960058968</v>
      </c>
      <c r="T1286">
        <v>1.3578537025813819</v>
      </c>
      <c r="U1286">
        <v>0.21528257591005884</v>
      </c>
      <c r="V1286">
        <v>0.24725458606448342</v>
      </c>
      <c r="W1286">
        <v>9.9365649077753984E-2</v>
      </c>
      <c r="X1286">
        <v>1.7116476596376502E-2</v>
      </c>
      <c r="Y1286">
        <v>4.296083315952986E-3</v>
      </c>
    </row>
    <row r="1287" spans="1:25">
      <c r="A1287" s="1010"/>
      <c r="B1287" s="1351">
        <v>1037</v>
      </c>
      <c r="C1287" s="1014">
        <v>0.99697552691754598</v>
      </c>
      <c r="D1287" s="1014">
        <v>1.0384887156016618</v>
      </c>
      <c r="E1287" s="1014">
        <v>0.95934819615467137</v>
      </c>
      <c r="F1287" s="1014">
        <v>1.0107398230513702</v>
      </c>
      <c r="G1287" s="1014">
        <v>1.027882595218103</v>
      </c>
      <c r="H1287" s="1014">
        <v>1.0043086401486434</v>
      </c>
      <c r="I1287" s="1014">
        <v>0.99379705411947616</v>
      </c>
      <c r="K1287">
        <v>2.415490433483908</v>
      </c>
      <c r="L1287">
        <v>0</v>
      </c>
      <c r="M1287">
        <v>1.7840453003298419E-3</v>
      </c>
      <c r="N1287">
        <v>0.14358015609557437</v>
      </c>
      <c r="O1287">
        <v>2.0848343306836596E-2</v>
      </c>
      <c r="P1287">
        <v>2.7806873508209776E-2</v>
      </c>
      <c r="Q1287">
        <v>5.234721129641808E-3</v>
      </c>
      <c r="R1287">
        <v>1.7605973493676676E-3</v>
      </c>
      <c r="S1287">
        <v>0.25302666700156135</v>
      </c>
      <c r="T1287">
        <v>1.3854848394869341</v>
      </c>
      <c r="U1287">
        <v>0.21247751812338639</v>
      </c>
      <c r="V1287">
        <v>0.250636067431104</v>
      </c>
      <c r="W1287">
        <v>9.6667079039115492E-2</v>
      </c>
      <c r="X1287">
        <v>1.4959850708283725E-2</v>
      </c>
      <c r="Y1287">
        <v>4.7917656042185527E-3</v>
      </c>
    </row>
    <row r="1288" spans="1:25">
      <c r="A1288" s="1010"/>
      <c r="B1288" s="1351">
        <v>1038</v>
      </c>
      <c r="C1288" s="1014">
        <v>0.98926488103312193</v>
      </c>
      <c r="D1288" s="1014">
        <v>1.0119243520520362</v>
      </c>
      <c r="E1288" s="1014">
        <v>1.0331729351313022</v>
      </c>
      <c r="F1288" s="1014">
        <v>1.0002694861321324</v>
      </c>
      <c r="G1288" s="1014">
        <v>1.0063989974429601</v>
      </c>
      <c r="H1288" s="1014">
        <v>0.96594877753719488</v>
      </c>
      <c r="I1288" s="1014">
        <v>0.96500393094424353</v>
      </c>
      <c r="K1288">
        <v>2.4069517874215256</v>
      </c>
      <c r="L1288">
        <v>0</v>
      </c>
      <c r="M1288">
        <v>1.4923697982198265E-3</v>
      </c>
      <c r="N1288">
        <v>0.15004700149335162</v>
      </c>
      <c r="O1288">
        <v>2.1180327459243468E-2</v>
      </c>
      <c r="P1288">
        <v>2.9118756852958744E-2</v>
      </c>
      <c r="Q1288">
        <v>5.7286534485679183E-3</v>
      </c>
      <c r="R1288">
        <v>1.4719764482302065E-3</v>
      </c>
      <c r="S1288">
        <v>0.2482295173213189</v>
      </c>
      <c r="T1288">
        <v>1.372728240277028</v>
      </c>
      <c r="U1288">
        <v>0.21438855083624894</v>
      </c>
      <c r="V1288">
        <v>0.24718349340339543</v>
      </c>
      <c r="W1288">
        <v>9.6670960343786305E-2</v>
      </c>
      <c r="X1288">
        <v>1.7690444680435569E-2</v>
      </c>
      <c r="Y1288">
        <v>4.006234655176872E-3</v>
      </c>
    </row>
    <row r="1289" spans="1:25">
      <c r="A1289" s="1010"/>
      <c r="B1289" s="1351">
        <v>1039</v>
      </c>
      <c r="C1289" s="1014">
        <v>1.0067804972233412</v>
      </c>
      <c r="D1289" s="1014">
        <v>0.97999844927317337</v>
      </c>
      <c r="E1289" s="1014">
        <v>0.98665039035089719</v>
      </c>
      <c r="F1289" s="1014">
        <v>0.97261625231682847</v>
      </c>
      <c r="G1289" s="1014">
        <v>1.0324606183374994</v>
      </c>
      <c r="H1289" s="1014">
        <v>1.020973407205058</v>
      </c>
      <c r="I1289" s="1014">
        <v>0.99911239326514911</v>
      </c>
      <c r="K1289">
        <v>2.3802972981840966</v>
      </c>
      <c r="L1289">
        <v>0</v>
      </c>
      <c r="M1289">
        <v>1.719298067010614E-3</v>
      </c>
      <c r="N1289">
        <v>0.15032404278668327</v>
      </c>
      <c r="O1289">
        <v>2.0928288865887351E-2</v>
      </c>
      <c r="P1289">
        <v>2.7775616856766935E-2</v>
      </c>
      <c r="Q1289">
        <v>5.403244241820441E-3</v>
      </c>
      <c r="R1289">
        <v>1.6970699352264822E-3</v>
      </c>
      <c r="S1289">
        <v>0.26093575028131455</v>
      </c>
      <c r="T1289">
        <v>1.3337975531348214</v>
      </c>
      <c r="U1289">
        <v>0.21050050304308512</v>
      </c>
      <c r="V1289">
        <v>0.25070458303660004</v>
      </c>
      <c r="W1289">
        <v>9.9543505245934139E-2</v>
      </c>
      <c r="X1289">
        <v>1.5787573898233282E-2</v>
      </c>
      <c r="Y1289">
        <v>4.6188649247326883E-3</v>
      </c>
    </row>
    <row r="1290" spans="1:25">
      <c r="A1290" s="1010"/>
      <c r="B1290" s="1351">
        <v>1040</v>
      </c>
      <c r="C1290" s="1014">
        <v>1.0166656775290757</v>
      </c>
      <c r="D1290" s="1014">
        <v>1.0311959923734915</v>
      </c>
      <c r="E1290" s="1014">
        <v>0.97041078664074454</v>
      </c>
      <c r="F1290" s="1014">
        <v>0.99657700396661963</v>
      </c>
      <c r="G1290" s="1014">
        <v>0.97881999140603904</v>
      </c>
      <c r="H1290" s="1014">
        <v>1.0192559863546529</v>
      </c>
      <c r="I1290" s="1014">
        <v>0.99012927540756968</v>
      </c>
      <c r="K1290">
        <v>2.3795210193881484</v>
      </c>
      <c r="L1290">
        <v>0</v>
      </c>
      <c r="M1290">
        <v>1.7381662895072504E-3</v>
      </c>
      <c r="N1290">
        <v>0.14468297001151395</v>
      </c>
      <c r="O1290">
        <v>2.0483418820229082E-2</v>
      </c>
      <c r="P1290">
        <v>2.7557155816955396E-2</v>
      </c>
      <c r="Q1290">
        <v>5.2017443206444436E-3</v>
      </c>
      <c r="R1290">
        <v>1.7156563529805728E-3</v>
      </c>
      <c r="S1290">
        <v>0.24939126534762157</v>
      </c>
      <c r="T1290">
        <v>1.3663076578360887</v>
      </c>
      <c r="U1290">
        <v>0.20839936586473032</v>
      </c>
      <c r="V1290">
        <v>0.24099650242391188</v>
      </c>
      <c r="W1290">
        <v>9.6753241866261719E-2</v>
      </c>
      <c r="X1290">
        <v>1.5100755989869843E-2</v>
      </c>
      <c r="Y1290">
        <v>4.6694510268483575E-3</v>
      </c>
    </row>
    <row r="1291" spans="1:25">
      <c r="A1291" s="1010"/>
      <c r="B1291" s="1351">
        <v>1041</v>
      </c>
      <c r="C1291" s="1014">
        <v>0.95464261956769525</v>
      </c>
      <c r="D1291" s="1014">
        <v>1.0190762344146176</v>
      </c>
      <c r="E1291" s="1014">
        <v>0.99086240048468699</v>
      </c>
      <c r="F1291" s="1014">
        <v>0.98286392488509</v>
      </c>
      <c r="G1291" s="1014">
        <v>0.97785209041805665</v>
      </c>
      <c r="H1291" s="1014">
        <v>1.0239424250311087</v>
      </c>
      <c r="I1291" s="1014">
        <v>1.0189240573522214</v>
      </c>
      <c r="K1291">
        <v>2.4301039333681209</v>
      </c>
      <c r="L1291">
        <v>0</v>
      </c>
      <c r="M1291">
        <v>1.787238917055738E-3</v>
      </c>
      <c r="N1291">
        <v>0.15827324730826658</v>
      </c>
      <c r="O1291">
        <v>2.1885152700309878E-2</v>
      </c>
      <c r="P1291">
        <v>2.8328594940863237E-2</v>
      </c>
      <c r="Q1291">
        <v>5.6744096092765373E-3</v>
      </c>
      <c r="R1291">
        <v>1.7641994041295054E-3</v>
      </c>
      <c r="S1291">
        <v>0.27552618113467436</v>
      </c>
      <c r="T1291">
        <v>1.3479400335619833</v>
      </c>
      <c r="U1291">
        <v>0.22201205841638369</v>
      </c>
      <c r="V1291">
        <v>0.24474486208073043</v>
      </c>
      <c r="W1291">
        <v>0.10454302979517058</v>
      </c>
      <c r="X1291">
        <v>1.6397834123522994E-2</v>
      </c>
      <c r="Y1291">
        <v>4.8015692098632434E-3</v>
      </c>
    </row>
    <row r="1292" spans="1:25">
      <c r="A1292" s="1010"/>
      <c r="B1292" s="1351">
        <v>1042</v>
      </c>
      <c r="C1292" s="1014">
        <v>0.97427759060337127</v>
      </c>
      <c r="D1292" s="1014">
        <v>1.0018489744006374</v>
      </c>
      <c r="E1292" s="1014">
        <v>0.98832243647554663</v>
      </c>
      <c r="F1292" s="1014">
        <v>0.99255138389404918</v>
      </c>
      <c r="G1292" s="1014">
        <v>1.0062225160631793</v>
      </c>
      <c r="H1292" s="1014">
        <v>0.96946188247508447</v>
      </c>
      <c r="I1292" s="1014">
        <v>1.0290809205689757</v>
      </c>
      <c r="K1292">
        <v>2.4172742253236157</v>
      </c>
      <c r="L1292">
        <v>0</v>
      </c>
      <c r="M1292">
        <v>1.6730515455733389E-3</v>
      </c>
      <c r="N1292">
        <v>0.14691973870854536</v>
      </c>
      <c r="O1292">
        <v>2.1522951097032943E-2</v>
      </c>
      <c r="P1292">
        <v>2.8366902487036168E-2</v>
      </c>
      <c r="Q1292">
        <v>5.5661858116724675E-3</v>
      </c>
      <c r="R1292">
        <v>1.6502720133391353E-3</v>
      </c>
      <c r="S1292">
        <v>0.27007279846321663</v>
      </c>
      <c r="T1292">
        <v>1.361171403361592</v>
      </c>
      <c r="U1292">
        <v>0.21752887187637551</v>
      </c>
      <c r="V1292">
        <v>0.24828317026439564</v>
      </c>
      <c r="W1292">
        <v>9.7191603970450027E-2</v>
      </c>
      <c r="X1292">
        <v>1.6181882407243532E-2</v>
      </c>
      <c r="Y1292">
        <v>4.491496408286136E-3</v>
      </c>
    </row>
    <row r="1293" spans="1:25">
      <c r="A1293" s="1010"/>
      <c r="B1293" s="1351">
        <v>1043</v>
      </c>
      <c r="C1293" s="1014">
        <v>0.99759651632291224</v>
      </c>
      <c r="D1293" s="1014">
        <v>0.95281911215039683</v>
      </c>
      <c r="E1293" s="1014">
        <v>0.99449649781289673</v>
      </c>
      <c r="F1293" s="1014">
        <v>0.99584330297448898</v>
      </c>
      <c r="G1293" s="1014">
        <v>1.0099919562298023</v>
      </c>
      <c r="H1293" s="1014">
        <v>0.98155881331129891</v>
      </c>
      <c r="I1293" s="1014">
        <v>0.97965883938461573</v>
      </c>
      <c r="K1293">
        <v>2.4053098574115315</v>
      </c>
      <c r="L1293">
        <v>0</v>
      </c>
      <c r="M1293">
        <v>1.6514384402731052E-3</v>
      </c>
      <c r="N1293">
        <v>0.1477791530287608</v>
      </c>
      <c r="O1293">
        <v>2.1257320028540142E-2</v>
      </c>
      <c r="P1293">
        <v>2.8325647029283915E-2</v>
      </c>
      <c r="Q1293">
        <v>5.5318768349735406E-3</v>
      </c>
      <c r="R1293">
        <v>1.6292302954501198E-3</v>
      </c>
      <c r="S1293">
        <v>0.2586290160510642</v>
      </c>
      <c r="T1293">
        <v>1.3658186429299586</v>
      </c>
      <c r="U1293">
        <v>0.2124652375634116</v>
      </c>
      <c r="V1293">
        <v>0.24740780534923465</v>
      </c>
      <c r="W1293">
        <v>9.7399620519250288E-2</v>
      </c>
      <c r="X1293">
        <v>1.6283518433284652E-2</v>
      </c>
      <c r="Y1293">
        <v>4.4342277885926736E-3</v>
      </c>
    </row>
    <row r="1294" spans="1:25">
      <c r="A1294" s="1010"/>
      <c r="B1294" s="1351">
        <v>1044</v>
      </c>
      <c r="C1294" s="1014">
        <v>1.0144064485532509</v>
      </c>
      <c r="D1294" s="1014">
        <v>1.0102157726012704</v>
      </c>
      <c r="E1294" s="1014">
        <v>0.98590071337685381</v>
      </c>
      <c r="F1294" s="1014">
        <v>1.0364226650054398</v>
      </c>
      <c r="G1294" s="1014">
        <v>0.99167937989348554</v>
      </c>
      <c r="H1294" s="1014">
        <v>0.99705142334530794</v>
      </c>
      <c r="I1294" s="1014">
        <v>1.0240560135596806</v>
      </c>
      <c r="K1294">
        <v>2.448422752331838</v>
      </c>
      <c r="L1294">
        <v>0</v>
      </c>
      <c r="M1294">
        <v>1.6578661769855512E-3</v>
      </c>
      <c r="N1294">
        <v>0.14457912799927022</v>
      </c>
      <c r="O1294">
        <v>2.0632160559824295E-2</v>
      </c>
      <c r="P1294">
        <v>2.8798574421792018E-2</v>
      </c>
      <c r="Q1294">
        <v>5.3227469553004739E-3</v>
      </c>
      <c r="R1294">
        <v>1.6359180162551113E-3</v>
      </c>
      <c r="S1294">
        <v>0.25938835992215536</v>
      </c>
      <c r="T1294">
        <v>1.4212817363592165</v>
      </c>
      <c r="U1294">
        <v>0.20891551355761448</v>
      </c>
      <c r="V1294">
        <v>0.24327461579668375</v>
      </c>
      <c r="W1294">
        <v>9.5782397125736385E-2</v>
      </c>
      <c r="X1294">
        <v>1.6017038234956413E-2</v>
      </c>
      <c r="Y1294">
        <v>4.4524295600172886E-3</v>
      </c>
    </row>
    <row r="1295" spans="1:25">
      <c r="A1295" s="1010"/>
      <c r="B1295" s="1351">
        <v>1045</v>
      </c>
      <c r="C1295" s="1014">
        <v>0.96969992291005869</v>
      </c>
      <c r="D1295" s="1014">
        <v>1.0013821361640738</v>
      </c>
      <c r="E1295" s="1014">
        <v>1.0120886080436189</v>
      </c>
      <c r="F1295" s="1014">
        <v>1.0114243237542251</v>
      </c>
      <c r="G1295" s="1014">
        <v>1.0419711408725487</v>
      </c>
      <c r="H1295" s="1014">
        <v>0.97915544201020577</v>
      </c>
      <c r="I1295" s="1014">
        <v>0.9881202684675241</v>
      </c>
      <c r="K1295">
        <v>2.452630436448616</v>
      </c>
      <c r="L1295">
        <v>0</v>
      </c>
      <c r="M1295">
        <v>1.6162537198798597E-3</v>
      </c>
      <c r="N1295">
        <v>0.15251858619201256</v>
      </c>
      <c r="O1295">
        <v>2.164303348359204E-2</v>
      </c>
      <c r="P1295">
        <v>2.9223512040523553E-2</v>
      </c>
      <c r="Q1295">
        <v>5.732550881235525E-3</v>
      </c>
      <c r="R1295">
        <v>1.5944653813772687E-3</v>
      </c>
      <c r="S1295">
        <v>0.26164465515037488</v>
      </c>
      <c r="T1295">
        <v>1.3875734046825527</v>
      </c>
      <c r="U1295">
        <v>0.21863954029059743</v>
      </c>
      <c r="V1295">
        <v>0.25460310230247063</v>
      </c>
      <c r="W1295">
        <v>9.9480443063263341E-2</v>
      </c>
      <c r="X1295">
        <v>1.7253787547759053E-2</v>
      </c>
      <c r="Y1295">
        <v>4.3396091527372173E-3</v>
      </c>
    </row>
    <row r="1296" spans="1:25">
      <c r="A1296" s="1010"/>
      <c r="B1296" s="1351">
        <v>1046</v>
      </c>
      <c r="C1296" s="1014">
        <v>1.0254549014590029</v>
      </c>
      <c r="D1296" s="1014">
        <v>1.0308148861863495</v>
      </c>
      <c r="E1296" s="1014">
        <v>0.9567267711429962</v>
      </c>
      <c r="F1296" s="1014">
        <v>1.0005002248565897</v>
      </c>
      <c r="G1296" s="1014">
        <v>1.0191644186847988</v>
      </c>
      <c r="H1296" s="1014">
        <v>1.0099394262024819</v>
      </c>
      <c r="I1296" s="1014">
        <v>0.96730905505883757</v>
      </c>
      <c r="K1296">
        <v>2.3728979870899414</v>
      </c>
      <c r="L1296">
        <v>0</v>
      </c>
      <c r="M1296">
        <v>1.7565330323525952E-3</v>
      </c>
      <c r="N1296">
        <v>0.14025776463690695</v>
      </c>
      <c r="O1296">
        <v>2.0300761169785669E-2</v>
      </c>
      <c r="P1296">
        <v>2.7281805697869838E-2</v>
      </c>
      <c r="Q1296">
        <v>5.0835010144822251E-3</v>
      </c>
      <c r="R1296">
        <v>1.7335753938490127E-3</v>
      </c>
      <c r="S1296">
        <v>0.24075368130967292</v>
      </c>
      <c r="T1296">
        <v>1.3713925544343557</v>
      </c>
      <c r="U1296">
        <v>0.20656782347591388</v>
      </c>
      <c r="V1296">
        <v>0.24741870026407864</v>
      </c>
      <c r="W1296">
        <v>9.458246337473887E-2</v>
      </c>
      <c r="X1296">
        <v>1.4563668601556347E-2</v>
      </c>
      <c r="Y1296">
        <v>4.7182207490820164E-3</v>
      </c>
    </row>
    <row r="1297" spans="1:25">
      <c r="A1297" s="1010"/>
      <c r="B1297" s="1351">
        <v>1047</v>
      </c>
      <c r="C1297" s="1014">
        <v>1.0014930626743266</v>
      </c>
      <c r="D1297" s="1014">
        <v>1.0210023170537863</v>
      </c>
      <c r="E1297" s="1014">
        <v>0.99370223893683662</v>
      </c>
      <c r="F1297" s="1014">
        <v>1.0020357984130801</v>
      </c>
      <c r="G1297" s="1014">
        <v>0.98194505794143139</v>
      </c>
      <c r="H1297" s="1014">
        <v>0.98513942202968963</v>
      </c>
      <c r="I1297" s="1014">
        <v>0.97724724308165667</v>
      </c>
      <c r="K1297">
        <v>2.3930098894591794</v>
      </c>
      <c r="L1297">
        <v>0</v>
      </c>
      <c r="M1297">
        <v>1.6287784657031859E-3</v>
      </c>
      <c r="N1297">
        <v>0.1454091453809537</v>
      </c>
      <c r="O1297">
        <v>2.0854558963622562E-2</v>
      </c>
      <c r="P1297">
        <v>2.8206424041862663E-2</v>
      </c>
      <c r="Q1297">
        <v>5.4227194597115704E-3</v>
      </c>
      <c r="R1297">
        <v>1.6069546573719039E-3</v>
      </c>
      <c r="S1297">
        <v>0.24847552547678484</v>
      </c>
      <c r="T1297">
        <v>1.3742945791868986</v>
      </c>
      <c r="U1297">
        <v>0.21163588276216461</v>
      </c>
      <c r="V1297">
        <v>0.24237693948224392</v>
      </c>
      <c r="W1297">
        <v>9.5883038067975906E-2</v>
      </c>
      <c r="X1297">
        <v>1.609929960038696E-2</v>
      </c>
      <c r="Y1297">
        <v>4.3736008449058901E-3</v>
      </c>
    </row>
    <row r="1298" spans="1:25">
      <c r="A1298" s="1010"/>
      <c r="B1298" s="1351">
        <v>1048</v>
      </c>
      <c r="C1298" s="1014">
        <v>1.0074506068585323</v>
      </c>
      <c r="D1298" s="1014">
        <v>1.0313620103463448</v>
      </c>
      <c r="E1298" s="1014">
        <v>0.99896448435931251</v>
      </c>
      <c r="F1298" s="1014">
        <v>1.0120686304096513</v>
      </c>
      <c r="G1298" s="1014">
        <v>0.9851386790119564</v>
      </c>
      <c r="H1298" s="1014">
        <v>0.96032057321351916</v>
      </c>
      <c r="I1298" s="1014">
        <v>1.0119632085657972</v>
      </c>
      <c r="K1298">
        <v>2.4027372494558858</v>
      </c>
      <c r="L1298">
        <v>0</v>
      </c>
      <c r="M1298">
        <v>1.5577663803772216E-3</v>
      </c>
      <c r="N1298">
        <v>0.14124920375513633</v>
      </c>
      <c r="O1298">
        <v>2.0688683987497111E-2</v>
      </c>
      <c r="P1298">
        <v>2.8546120068849261E-2</v>
      </c>
      <c r="Q1298">
        <v>5.4081765905154367E-3</v>
      </c>
      <c r="R1298">
        <v>1.5363546230745088E-3</v>
      </c>
      <c r="S1298">
        <v>0.25243206129843909</v>
      </c>
      <c r="T1298">
        <v>1.3881697345038446</v>
      </c>
      <c r="U1298">
        <v>0.2104022213615917</v>
      </c>
      <c r="V1298">
        <v>0.24253544581937261</v>
      </c>
      <c r="W1298">
        <v>9.2848274463508559E-2</v>
      </c>
      <c r="X1298">
        <v>1.6297288539591444E-2</v>
      </c>
      <c r="Y1298">
        <v>4.1814508248434303E-3</v>
      </c>
    </row>
    <row r="1299" spans="1:25">
      <c r="A1299" s="1010"/>
      <c r="B1299" s="1351">
        <v>1049</v>
      </c>
      <c r="C1299" s="1014">
        <v>1.0026191551833206</v>
      </c>
      <c r="D1299" s="1014">
        <v>0.99202354295958151</v>
      </c>
      <c r="E1299" s="1014">
        <v>1.0206469457698615</v>
      </c>
      <c r="F1299" s="1014">
        <v>1.001881997403322</v>
      </c>
      <c r="G1299" s="1014">
        <v>0.98951809587571626</v>
      </c>
      <c r="H1299" s="1014">
        <v>1.009631329841421</v>
      </c>
      <c r="I1299" s="1014">
        <v>0.99243827098052795</v>
      </c>
      <c r="K1299">
        <v>2.4181276388603501</v>
      </c>
      <c r="L1299">
        <v>0</v>
      </c>
      <c r="M1299">
        <v>1.5866822681674399E-3</v>
      </c>
      <c r="N1299">
        <v>0.1537086080799685</v>
      </c>
      <c r="O1299">
        <v>2.0981397171711054E-2</v>
      </c>
      <c r="P1299">
        <v>2.892577802365174E-2</v>
      </c>
      <c r="Q1299">
        <v>5.60488451243685E-3</v>
      </c>
      <c r="R1299">
        <v>1.565938226884516E-3</v>
      </c>
      <c r="S1299">
        <v>0.25800508216007156</v>
      </c>
      <c r="T1299">
        <v>1.3746683336430834</v>
      </c>
      <c r="U1299">
        <v>0.21149014767931124</v>
      </c>
      <c r="V1299">
        <v>0.24350590342210798</v>
      </c>
      <c r="W1299">
        <v>9.9754467595525545E-2</v>
      </c>
      <c r="X1299">
        <v>1.724181297158409E-2</v>
      </c>
      <c r="Y1299">
        <v>4.2619676421818938E-3</v>
      </c>
    </row>
    <row r="1300" spans="1:25">
      <c r="A1300" s="1010"/>
      <c r="B1300" s="1351">
        <v>1050</v>
      </c>
      <c r="C1300" s="1014">
        <v>1.0378486832439244</v>
      </c>
      <c r="D1300" s="1014">
        <v>1.0045013185823408</v>
      </c>
      <c r="E1300" s="1014">
        <v>1.025946699186252</v>
      </c>
      <c r="F1300" s="1014">
        <v>0.95481763901596373</v>
      </c>
      <c r="G1300" s="1014">
        <v>1.0341047247632709</v>
      </c>
      <c r="H1300" s="1014">
        <v>1.0245099722336088</v>
      </c>
      <c r="I1300" s="1014">
        <v>0.99576062220219819</v>
      </c>
      <c r="K1300">
        <v>2.3366493227095115</v>
      </c>
      <c r="L1300">
        <v>0</v>
      </c>
      <c r="M1300">
        <v>1.534121235761312E-3</v>
      </c>
      <c r="N1300">
        <v>0.15104048057530359</v>
      </c>
      <c r="O1300">
        <v>2.021692414715898E-2</v>
      </c>
      <c r="P1300">
        <v>2.8003307599281924E-2</v>
      </c>
      <c r="Q1300">
        <v>5.4291441759893536E-3</v>
      </c>
      <c r="R1300">
        <v>1.5143556490620331E-3</v>
      </c>
      <c r="S1300">
        <v>0.24977889232120309</v>
      </c>
      <c r="T1300">
        <v>1.3102019282469497</v>
      </c>
      <c r="U1300">
        <v>0.204328681612886</v>
      </c>
      <c r="V1300">
        <v>0.24898294562611703</v>
      </c>
      <c r="W1300">
        <v>9.7720215999805571E-2</v>
      </c>
      <c r="X1300">
        <v>1.6844991121971853E-2</v>
      </c>
      <c r="Y1300">
        <v>4.1215768695413053E-3</v>
      </c>
    </row>
    <row r="1301" spans="1:25">
      <c r="A1301" s="1010"/>
      <c r="B1301" s="1351">
        <v>1051</v>
      </c>
      <c r="C1301" s="1014">
        <v>1.0381720320933536</v>
      </c>
      <c r="D1301" s="1014">
        <v>0.9790726236139955</v>
      </c>
      <c r="E1301" s="1014">
        <v>1.033719951139372</v>
      </c>
      <c r="F1301" s="1014">
        <v>1.024554172809647</v>
      </c>
      <c r="G1301" s="1014">
        <v>1.0177015342721853</v>
      </c>
      <c r="H1301" s="1014">
        <v>1.0013429962632017</v>
      </c>
      <c r="I1301" s="1014">
        <v>0.99934989450297695</v>
      </c>
      <c r="K1301">
        <v>2.4310707458618848</v>
      </c>
      <c r="L1301">
        <v>0</v>
      </c>
      <c r="M1301">
        <v>1.4832231257399797E-3</v>
      </c>
      <c r="N1301">
        <v>0.14944657364249619</v>
      </c>
      <c r="O1301">
        <v>2.0329971546846987E-2</v>
      </c>
      <c r="P1301">
        <v>2.9493297756669926E-2</v>
      </c>
      <c r="Q1301">
        <v>5.5016263041801124E-3</v>
      </c>
      <c r="R1301">
        <v>1.4636711863616945E-3</v>
      </c>
      <c r="S1301">
        <v>0.251986958833809</v>
      </c>
      <c r="T1301">
        <v>1.4060677342643724</v>
      </c>
      <c r="U1301">
        <v>0.2042907503725844</v>
      </c>
      <c r="V1301">
        <v>0.24613711641079922</v>
      </c>
      <c r="W1301">
        <v>9.6253636294317629E-2</v>
      </c>
      <c r="X1301">
        <v>1.7599001904985534E-2</v>
      </c>
      <c r="Y1301">
        <v>3.9836304701996233E-3</v>
      </c>
    </row>
    <row r="1302" spans="1:25">
      <c r="A1302" s="1010"/>
      <c r="B1302" s="1351">
        <v>1052</v>
      </c>
      <c r="C1302" s="1014">
        <v>0.99256145681840291</v>
      </c>
      <c r="D1302" s="1014">
        <v>0.99679370181155846</v>
      </c>
      <c r="E1302" s="1014">
        <v>1.0089996223050379</v>
      </c>
      <c r="F1302" s="1014">
        <v>0.99012893170491845</v>
      </c>
      <c r="G1302" s="1014">
        <v>1.0224478076863424</v>
      </c>
      <c r="H1302" s="1014">
        <v>1.0280220157267084</v>
      </c>
      <c r="I1302" s="1014">
        <v>0.98946256591989157</v>
      </c>
      <c r="K1302">
        <v>2.4173845836721042</v>
      </c>
      <c r="L1302">
        <v>0</v>
      </c>
      <c r="M1302">
        <v>1.6701917469042142E-3</v>
      </c>
      <c r="N1302">
        <v>0.15624699082158747</v>
      </c>
      <c r="O1302">
        <v>2.1163836915144188E-2</v>
      </c>
      <c r="P1302">
        <v>2.8606127603723507E-2</v>
      </c>
      <c r="Q1302">
        <v>5.5883493868923084E-3</v>
      </c>
      <c r="R1302">
        <v>1.6487465451552464E-3</v>
      </c>
      <c r="S1302">
        <v>0.26068018815591537</v>
      </c>
      <c r="T1302">
        <v>1.3582919597064329</v>
      </c>
      <c r="U1302">
        <v>0.21359298995964054</v>
      </c>
      <c r="V1302">
        <v>0.24979915796189048</v>
      </c>
      <c r="W1302">
        <v>0.10209802264281857</v>
      </c>
      <c r="X1302">
        <v>1.6851061133044663E-2</v>
      </c>
      <c r="Y1302">
        <v>4.4873445867600406E-3</v>
      </c>
    </row>
    <row r="1303" spans="1:25">
      <c r="A1303" s="1010"/>
      <c r="B1303" s="1351">
        <v>1053</v>
      </c>
      <c r="C1303" s="1014">
        <v>0.99900418220002762</v>
      </c>
      <c r="D1303" s="1014">
        <v>0.99128899820842709</v>
      </c>
      <c r="E1303" s="1014">
        <v>0.98598384097388259</v>
      </c>
      <c r="F1303" s="1014">
        <v>1.0059398387596417</v>
      </c>
      <c r="G1303" s="1014">
        <v>0.9847616257535835</v>
      </c>
      <c r="H1303" s="1014">
        <v>1.0042745367052834</v>
      </c>
      <c r="I1303" s="1014">
        <v>0.9838941902576076</v>
      </c>
      <c r="K1303">
        <v>2.4128250168145979</v>
      </c>
      <c r="L1303">
        <v>0</v>
      </c>
      <c r="M1303">
        <v>1.7023991247763998E-3</v>
      </c>
      <c r="N1303">
        <v>0.14851441430307918</v>
      </c>
      <c r="O1303">
        <v>2.1037667772123122E-2</v>
      </c>
      <c r="P1303">
        <v>2.8231524420413941E-2</v>
      </c>
      <c r="Q1303">
        <v>5.4278179962328546E-3</v>
      </c>
      <c r="R1303">
        <v>1.6800235008348032E-3</v>
      </c>
      <c r="S1303">
        <v>0.25607380145531755</v>
      </c>
      <c r="T1303">
        <v>1.3794814008255851</v>
      </c>
      <c r="U1303">
        <v>0.21213677724689742</v>
      </c>
      <c r="V1303">
        <v>0.24304058432914971</v>
      </c>
      <c r="W1303">
        <v>9.8384574308948786E-2</v>
      </c>
      <c r="X1303">
        <v>1.5946359631116503E-2</v>
      </c>
      <c r="Y1303">
        <v>4.5724701496741267E-3</v>
      </c>
    </row>
    <row r="1304" spans="1:25">
      <c r="A1304" s="1010"/>
      <c r="B1304" s="1351">
        <v>1054</v>
      </c>
      <c r="C1304" s="1014">
        <v>0.98276984046339311</v>
      </c>
      <c r="D1304" s="1014">
        <v>1.0015817921586805</v>
      </c>
      <c r="E1304" s="1014">
        <v>0.9947890135105919</v>
      </c>
      <c r="F1304" s="1014">
        <v>0.9988187488975756</v>
      </c>
      <c r="G1304" s="1014">
        <v>1.0103022807867021</v>
      </c>
      <c r="H1304" s="1014">
        <v>0.99609429628626023</v>
      </c>
      <c r="I1304" s="1014">
        <v>1.0017247319785128</v>
      </c>
      <c r="K1304">
        <v>2.4231953028855857</v>
      </c>
      <c r="L1304">
        <v>0</v>
      </c>
      <c r="M1304">
        <v>1.6815803051370129E-3</v>
      </c>
      <c r="N1304">
        <v>0.15063945418920685</v>
      </c>
      <c r="O1304">
        <v>2.1342580001176923E-2</v>
      </c>
      <c r="P1304">
        <v>2.8504196253750568E-2</v>
      </c>
      <c r="Q1304">
        <v>5.5557025361240853E-3</v>
      </c>
      <c r="R1304">
        <v>1.6592968065653009E-3</v>
      </c>
      <c r="S1304">
        <v>0.26301797849837527</v>
      </c>
      <c r="T1304">
        <v>1.3699058377110001</v>
      </c>
      <c r="U1304">
        <v>0.21567163658086522</v>
      </c>
      <c r="V1304">
        <v>0.2484032401835265</v>
      </c>
      <c r="W1304">
        <v>9.926748079446393E-2</v>
      </c>
      <c r="X1304">
        <v>1.6393420715242506E-2</v>
      </c>
      <c r="Y1304">
        <v>4.5160589204254701E-3</v>
      </c>
    </row>
    <row r="1305" spans="1:25">
      <c r="A1305" s="1010"/>
      <c r="B1305" s="1351">
        <v>1055</v>
      </c>
      <c r="C1305" s="1014">
        <v>1.0251722514493147</v>
      </c>
      <c r="D1305" s="1014">
        <v>1.0451408633889869</v>
      </c>
      <c r="E1305" s="1014">
        <v>0.97676793304665555</v>
      </c>
      <c r="F1305" s="1014">
        <v>1.0334944271858961</v>
      </c>
      <c r="G1305" s="1014">
        <v>1.0031358734786422</v>
      </c>
      <c r="H1305" s="1014">
        <v>0.95766386067359544</v>
      </c>
      <c r="I1305" s="1014">
        <v>1.0385906522817212</v>
      </c>
      <c r="K1305">
        <v>2.4196559505172823</v>
      </c>
      <c r="L1305">
        <v>0</v>
      </c>
      <c r="M1305">
        <v>1.5937347841550951E-3</v>
      </c>
      <c r="N1305">
        <v>0.13512413405443319</v>
      </c>
      <c r="O1305">
        <v>2.0257571607923162E-2</v>
      </c>
      <c r="P1305">
        <v>2.8439271790579982E-2</v>
      </c>
      <c r="Q1305">
        <v>5.1778578551162904E-3</v>
      </c>
      <c r="R1305">
        <v>1.571767864019109E-3</v>
      </c>
      <c r="S1305">
        <v>0.2525093420960588</v>
      </c>
      <c r="T1305">
        <v>1.4170627864562479</v>
      </c>
      <c r="U1305">
        <v>0.20669123594572289</v>
      </c>
      <c r="V1305">
        <v>0.24461978145707403</v>
      </c>
      <c r="W1305">
        <v>9.0013045132778524E-2</v>
      </c>
      <c r="X1305">
        <v>1.5505057048756892E-2</v>
      </c>
      <c r="Y1305">
        <v>4.2778339927228935E-3</v>
      </c>
    </row>
    <row r="1306" spans="1:25">
      <c r="A1306" s="1010"/>
      <c r="B1306" s="1351">
        <v>1056</v>
      </c>
      <c r="C1306" s="1014">
        <v>1.01112330652841</v>
      </c>
      <c r="D1306" s="1014">
        <v>1.0151564488045151</v>
      </c>
      <c r="E1306" s="1014">
        <v>0.98468885732183742</v>
      </c>
      <c r="F1306" s="1014">
        <v>0.99387027378935389</v>
      </c>
      <c r="G1306" s="1014">
        <v>0.99332307597454184</v>
      </c>
      <c r="H1306" s="1014">
        <v>1.0313455528550859</v>
      </c>
      <c r="I1306" s="1014">
        <v>0.98832791085914495</v>
      </c>
      <c r="K1306">
        <v>2.3929270974327657</v>
      </c>
      <c r="L1306">
        <v>0</v>
      </c>
      <c r="M1306">
        <v>1.722927680117435E-3</v>
      </c>
      <c r="N1306">
        <v>0.14977008983372939</v>
      </c>
      <c r="O1306">
        <v>2.0676157544956816E-2</v>
      </c>
      <c r="P1306">
        <v>2.7919137836103967E-2</v>
      </c>
      <c r="Q1306">
        <v>5.3275506087969837E-3</v>
      </c>
      <c r="R1306">
        <v>1.7008766406548224E-3</v>
      </c>
      <c r="S1306">
        <v>0.25337129796912083</v>
      </c>
      <c r="T1306">
        <v>1.3629022203032002</v>
      </c>
      <c r="U1306">
        <v>0.20958978010323404</v>
      </c>
      <c r="V1306">
        <v>0.24375947761906597</v>
      </c>
      <c r="W1306">
        <v>9.9293690929119507E-2</v>
      </c>
      <c r="X1306">
        <v>1.5710520202871638E-2</v>
      </c>
      <c r="Y1306">
        <v>4.6292255220285244E-3</v>
      </c>
    </row>
    <row r="1307" spans="1:25">
      <c r="A1307" s="1010"/>
      <c r="B1307" s="1351">
        <v>1057</v>
      </c>
      <c r="C1307" s="1014">
        <v>1.0088033089624311</v>
      </c>
      <c r="D1307" s="1014">
        <v>0.96634721507670462</v>
      </c>
      <c r="E1307" s="1014">
        <v>1.0125005442885215</v>
      </c>
      <c r="F1307" s="1014">
        <v>1.0077618241395643</v>
      </c>
      <c r="G1307" s="1014">
        <v>1.0069677754923352</v>
      </c>
      <c r="H1307" s="1014">
        <v>1.0008725802858793</v>
      </c>
      <c r="I1307" s="1014">
        <v>1.0236922612643629</v>
      </c>
      <c r="K1307">
        <v>2.4325328511917901</v>
      </c>
      <c r="L1307">
        <v>0</v>
      </c>
      <c r="M1307">
        <v>1.5991839099076175E-3</v>
      </c>
      <c r="N1307">
        <v>0.15114034501292323</v>
      </c>
      <c r="O1307">
        <v>2.0968015141932611E-2</v>
      </c>
      <c r="P1307">
        <v>2.900615185418158E-2</v>
      </c>
      <c r="Q1307">
        <v>5.5560445465163899E-3</v>
      </c>
      <c r="R1307">
        <v>1.5780934602910978E-3</v>
      </c>
      <c r="S1307">
        <v>0.26717682511957158</v>
      </c>
      <c r="T1307">
        <v>1.3825578206474689</v>
      </c>
      <c r="U1307">
        <v>0.21016599989890328</v>
      </c>
      <c r="V1307">
        <v>0.24613150695088348</v>
      </c>
      <c r="W1307">
        <v>9.8557583304388394E-2</v>
      </c>
      <c r="X1307">
        <v>1.699859898409517E-2</v>
      </c>
      <c r="Y1307">
        <v>4.2950501805429937E-3</v>
      </c>
    </row>
    <row r="1308" spans="1:25">
      <c r="A1308" s="1010"/>
      <c r="B1308" s="1351">
        <v>1058</v>
      </c>
      <c r="C1308" s="1014">
        <v>1.0301903702244248</v>
      </c>
      <c r="D1308" s="1014">
        <v>1.002076678738365</v>
      </c>
      <c r="E1308" s="1014">
        <v>0.99487685696237693</v>
      </c>
      <c r="F1308" s="1014">
        <v>0.97338868203977791</v>
      </c>
      <c r="G1308" s="1014">
        <v>1.0042633940867172</v>
      </c>
      <c r="H1308" s="1014">
        <v>1.0213436931154944</v>
      </c>
      <c r="I1308" s="1014">
        <v>0.96302557123080035</v>
      </c>
      <c r="K1308">
        <v>2.3463276431494116</v>
      </c>
      <c r="L1308">
        <v>0</v>
      </c>
      <c r="M1308">
        <v>1.6443608798825222E-3</v>
      </c>
      <c r="N1308">
        <v>0.1473932931515182</v>
      </c>
      <c r="O1308">
        <v>2.0358007054968607E-2</v>
      </c>
      <c r="P1308">
        <v>2.7573353146337725E-2</v>
      </c>
      <c r="Q1308">
        <v>5.2998769268753692E-3</v>
      </c>
      <c r="R1308">
        <v>1.6231092891725778E-3</v>
      </c>
      <c r="S1308">
        <v>0.24316526985070955</v>
      </c>
      <c r="T1308">
        <v>1.3350296884044157</v>
      </c>
      <c r="U1308">
        <v>0.20574438086977923</v>
      </c>
      <c r="V1308">
        <v>0.24444935496341869</v>
      </c>
      <c r="W1308">
        <v>9.7123253520742414E-2</v>
      </c>
      <c r="X1308">
        <v>1.5794848424060988E-2</v>
      </c>
      <c r="Y1308">
        <v>4.4175684272943815E-3</v>
      </c>
    </row>
    <row r="1309" spans="1:25">
      <c r="A1309" s="1010"/>
      <c r="B1309" s="1351">
        <v>1059</v>
      </c>
      <c r="C1309" s="1014">
        <v>1.0235308605875117</v>
      </c>
      <c r="D1309" s="1014">
        <v>0.9611002246320991</v>
      </c>
      <c r="E1309" s="1014">
        <v>1.0331697754439584</v>
      </c>
      <c r="F1309" s="1014">
        <v>0.97378647188851697</v>
      </c>
      <c r="G1309" s="1014">
        <v>1.0051494014766325</v>
      </c>
      <c r="H1309" s="1014">
        <v>0.9976962106243501</v>
      </c>
      <c r="I1309" s="1014">
        <v>1.0302880032151021</v>
      </c>
      <c r="K1309">
        <v>2.3798208255924216</v>
      </c>
      <c r="L1309">
        <v>0</v>
      </c>
      <c r="M1309">
        <v>1.5068105387996324E-3</v>
      </c>
      <c r="N1309">
        <v>0.15156425969050027</v>
      </c>
      <c r="O1309">
        <v>2.0704642590701604E-2</v>
      </c>
      <c r="P1309">
        <v>2.8721363363838633E-2</v>
      </c>
      <c r="Q1309">
        <v>5.5999772675309539E-3</v>
      </c>
      <c r="R1309">
        <v>1.4868750657859148E-3</v>
      </c>
      <c r="S1309">
        <v>0.26565901831062022</v>
      </c>
      <c r="T1309">
        <v>1.336383986016813</v>
      </c>
      <c r="U1309">
        <v>0.20721119562707532</v>
      </c>
      <c r="V1309">
        <v>0.24485767409975337</v>
      </c>
      <c r="W1309">
        <v>9.7648664743756552E-2</v>
      </c>
      <c r="X1309">
        <v>1.7443195574010154E-2</v>
      </c>
      <c r="Y1309">
        <v>4.0467837808355533E-3</v>
      </c>
    </row>
    <row r="1310" spans="1:25">
      <c r="A1310" s="1010"/>
      <c r="B1310" s="1351">
        <v>1060</v>
      </c>
      <c r="C1310" s="1014">
        <v>1.0240649820175536</v>
      </c>
      <c r="D1310" s="1014">
        <v>1.0161682950271624</v>
      </c>
      <c r="E1310" s="1014">
        <v>0.9900845942737192</v>
      </c>
      <c r="F1310" s="1014">
        <v>0.97953395563006096</v>
      </c>
      <c r="G1310" s="1014">
        <v>1.0204503948559036</v>
      </c>
      <c r="H1310" s="1014">
        <v>1.036215791844467</v>
      </c>
      <c r="I1310" s="1014">
        <v>0.99306695091154984</v>
      </c>
      <c r="K1310">
        <v>2.3713188824894855</v>
      </c>
      <c r="L1310">
        <v>0</v>
      </c>
      <c r="M1310">
        <v>1.6898309680275995E-3</v>
      </c>
      <c r="N1310">
        <v>0.14931865364251787</v>
      </c>
      <c r="O1310">
        <v>2.0413865173290704E-2</v>
      </c>
      <c r="P1310">
        <v>2.776165620083566E-2</v>
      </c>
      <c r="Q1310">
        <v>5.2887738812674567E-3</v>
      </c>
      <c r="R1310">
        <v>1.6683051692314807E-3</v>
      </c>
      <c r="S1310">
        <v>0.25168771506089926</v>
      </c>
      <c r="T1310">
        <v>1.3433567303478395</v>
      </c>
      <c r="U1310">
        <v>0.20695905244015841</v>
      </c>
      <c r="V1310">
        <v>0.24759415378281718</v>
      </c>
      <c r="W1310">
        <v>9.8674269510494642E-2</v>
      </c>
      <c r="X1310">
        <v>1.5744961534160797E-2</v>
      </c>
      <c r="Y1310">
        <v>4.5405767139968566E-3</v>
      </c>
    </row>
    <row r="1311" spans="1:25">
      <c r="A1311" s="1010"/>
      <c r="B1311" s="1351">
        <v>1061</v>
      </c>
      <c r="C1311" s="1014">
        <v>1.0309676317215295</v>
      </c>
      <c r="D1311" s="1014">
        <v>1.0052800305096581</v>
      </c>
      <c r="E1311" s="1014">
        <v>0.99364387159080525</v>
      </c>
      <c r="F1311" s="1014">
        <v>0.99796541146294171</v>
      </c>
      <c r="G1311" s="1014">
        <v>0.97759266442267434</v>
      </c>
      <c r="H1311" s="1014">
        <v>0.99180958181617207</v>
      </c>
      <c r="I1311" s="1014">
        <v>1.0108357175263598</v>
      </c>
      <c r="K1311">
        <v>2.3769595738071714</v>
      </c>
      <c r="L1311">
        <v>0</v>
      </c>
      <c r="M1311">
        <v>1.5985668101076889E-3</v>
      </c>
      <c r="N1311">
        <v>0.14269985766468618</v>
      </c>
      <c r="O1311">
        <v>2.032758807703143E-2</v>
      </c>
      <c r="P1311">
        <v>2.8063074221269153E-2</v>
      </c>
      <c r="Q1311">
        <v>5.2853823430143972E-3</v>
      </c>
      <c r="R1311">
        <v>1.5772918521508002E-3</v>
      </c>
      <c r="S1311">
        <v>0.25216976084170456</v>
      </c>
      <c r="T1311">
        <v>1.3687107752046201</v>
      </c>
      <c r="U1311">
        <v>0.20558518285533028</v>
      </c>
      <c r="V1311">
        <v>0.2398528009421638</v>
      </c>
      <c r="W1311">
        <v>9.4099809789778596E-2</v>
      </c>
      <c r="X1311">
        <v>1.5893748358093936E-2</v>
      </c>
      <c r="Y1311">
        <v>4.2928684674351566E-3</v>
      </c>
    </row>
    <row r="1312" spans="1:25">
      <c r="A1312" s="1010"/>
      <c r="B1312" s="1351">
        <v>1062</v>
      </c>
      <c r="C1312" s="1014">
        <v>1.0104556911976297</v>
      </c>
      <c r="D1312" s="1014">
        <v>0.97807907588059517</v>
      </c>
      <c r="E1312" s="1014">
        <v>1.0249081291085895</v>
      </c>
      <c r="F1312" s="1014">
        <v>1.0039892723830306</v>
      </c>
      <c r="G1312" s="1014">
        <v>0.99858958665888153</v>
      </c>
      <c r="H1312" s="1014">
        <v>0.96406317794120611</v>
      </c>
      <c r="I1312" s="1014">
        <v>0.9872300025227454</v>
      </c>
      <c r="K1312">
        <v>2.4029837947218802</v>
      </c>
      <c r="L1312">
        <v>0</v>
      </c>
      <c r="M1312">
        <v>1.4946924103843504E-3</v>
      </c>
      <c r="N1312">
        <v>0.14657833455786537</v>
      </c>
      <c r="O1312">
        <v>2.0886437822347864E-2</v>
      </c>
      <c r="P1312">
        <v>2.8975702361512472E-2</v>
      </c>
      <c r="Q1312">
        <v>5.6031674739111604E-3</v>
      </c>
      <c r="R1312">
        <v>1.4742273725321673E-3</v>
      </c>
      <c r="S1312">
        <v>0.25270226927247369</v>
      </c>
      <c r="T1312">
        <v>1.3776526393002821</v>
      </c>
      <c r="U1312">
        <v>0.20986441191238048</v>
      </c>
      <c r="V1312">
        <v>0.24455644919697161</v>
      </c>
      <c r="W1312">
        <v>9.4890690010664677E-2</v>
      </c>
      <c r="X1312">
        <v>1.7281796922209706E-2</v>
      </c>
      <c r="Y1312">
        <v>4.0123609291098138E-3</v>
      </c>
    </row>
    <row r="1313" spans="1:25">
      <c r="A1313" s="1010"/>
      <c r="B1313" s="1351">
        <v>1063</v>
      </c>
      <c r="C1313" s="1014">
        <v>1.0252015263490175</v>
      </c>
      <c r="D1313" s="1014">
        <v>1.0292274559922368</v>
      </c>
      <c r="E1313" s="1014">
        <v>0.97995637332428187</v>
      </c>
      <c r="F1313" s="1014">
        <v>0.99955214232899059</v>
      </c>
      <c r="G1313" s="1014">
        <v>1.0026757982079051</v>
      </c>
      <c r="H1313" s="1014">
        <v>0.99331034035997801</v>
      </c>
      <c r="I1313" s="1014">
        <v>0.99085013060195937</v>
      </c>
      <c r="K1313">
        <v>2.3755943824269221</v>
      </c>
      <c r="L1313">
        <v>0</v>
      </c>
      <c r="M1313">
        <v>1.6477029223398495E-3</v>
      </c>
      <c r="N1313">
        <v>0.14112493411546817</v>
      </c>
      <c r="O1313">
        <v>2.0327530120086763E-2</v>
      </c>
      <c r="P1313">
        <v>2.7790706231758479E-2</v>
      </c>
      <c r="Q1313">
        <v>5.2126200078244167E-3</v>
      </c>
      <c r="R1313">
        <v>1.6258071547901219E-3</v>
      </c>
      <c r="S1313">
        <v>0.24568543865163622</v>
      </c>
      <c r="T1313">
        <v>1.3705918741811478</v>
      </c>
      <c r="U1313">
        <v>0.20669592769561962</v>
      </c>
      <c r="V1313">
        <v>0.24452762305913336</v>
      </c>
      <c r="W1313">
        <v>9.3829427901761714E-2</v>
      </c>
      <c r="X1313">
        <v>1.5405285101879183E-2</v>
      </c>
      <c r="Y1313">
        <v>4.4249111281541749E-3</v>
      </c>
    </row>
    <row r="1314" spans="1:25">
      <c r="A1314" s="1010"/>
      <c r="B1314" s="1351">
        <v>1064</v>
      </c>
      <c r="C1314" s="1014">
        <v>1.0035572897556249</v>
      </c>
      <c r="D1314" s="1014">
        <v>1.026894498472565</v>
      </c>
      <c r="E1314" s="1014">
        <v>0.97716686553331022</v>
      </c>
      <c r="F1314" s="1014">
        <v>1.0275800925787859</v>
      </c>
      <c r="G1314" s="1014">
        <v>1.0114855961298708</v>
      </c>
      <c r="H1314" s="1014">
        <v>1.038514769273656</v>
      </c>
      <c r="I1314" s="1014">
        <v>1.0020656617944719</v>
      </c>
      <c r="K1314">
        <v>2.4511307312232984</v>
      </c>
      <c r="L1314">
        <v>0</v>
      </c>
      <c r="M1314">
        <v>1.7709039398002078E-3</v>
      </c>
      <c r="N1314">
        <v>0.15049029149074358</v>
      </c>
      <c r="O1314">
        <v>2.0774486531681916E-2</v>
      </c>
      <c r="P1314">
        <v>2.8508049812241691E-2</v>
      </c>
      <c r="Q1314">
        <v>5.3121390211771508E-3</v>
      </c>
      <c r="R1314">
        <v>1.748395336592693E-3</v>
      </c>
      <c r="S1314">
        <v>0.25790425492066638</v>
      </c>
      <c r="T1314">
        <v>1.4089622454464774</v>
      </c>
      <c r="U1314">
        <v>0.2111443765591631</v>
      </c>
      <c r="V1314">
        <v>0.24735549345184693</v>
      </c>
      <c r="W1314">
        <v>0.10022501892687927</v>
      </c>
      <c r="X1314">
        <v>1.5718327917790268E-2</v>
      </c>
      <c r="Y1314">
        <v>4.7585557478375022E-3</v>
      </c>
    </row>
    <row r="1315" spans="1:25">
      <c r="A1315" s="1010"/>
      <c r="B1315" s="1351">
        <v>1065</v>
      </c>
      <c r="C1315" s="1014">
        <v>0.97421187545386245</v>
      </c>
      <c r="D1315" s="1014">
        <v>1.020563796119945</v>
      </c>
      <c r="E1315" s="1014">
        <v>0.996855866214575</v>
      </c>
      <c r="F1315" s="1014">
        <v>0.99930653896834798</v>
      </c>
      <c r="G1315" s="1014">
        <v>0.99886811352638083</v>
      </c>
      <c r="H1315" s="1014">
        <v>0.96453435902854701</v>
      </c>
      <c r="I1315" s="1014">
        <v>1.0319271937885932</v>
      </c>
      <c r="K1315">
        <v>2.4230358340125386</v>
      </c>
      <c r="L1315">
        <v>0</v>
      </c>
      <c r="M1315">
        <v>1.6288410523867766E-3</v>
      </c>
      <c r="N1315">
        <v>0.14676472765436391</v>
      </c>
      <c r="O1315">
        <v>2.1442719758108599E-2</v>
      </c>
      <c r="P1315">
        <v>2.863215544227269E-2</v>
      </c>
      <c r="Q1315">
        <v>5.5934054065598943E-3</v>
      </c>
      <c r="R1315">
        <v>1.6065501719694406E-3</v>
      </c>
      <c r="S1315">
        <v>0.26796260565479246</v>
      </c>
      <c r="T1315">
        <v>1.37061948814441</v>
      </c>
      <c r="U1315">
        <v>0.21757345147635407</v>
      </c>
      <c r="V1315">
        <v>0.24700061785833388</v>
      </c>
      <c r="W1315">
        <v>9.6595011612991416E-2</v>
      </c>
      <c r="X1315">
        <v>1.650144191579226E-2</v>
      </c>
      <c r="Y1315">
        <v>4.3724999689789606E-3</v>
      </c>
    </row>
    <row r="1316" spans="1:25">
      <c r="A1316" s="1010"/>
      <c r="B1316" s="1351">
        <v>1066</v>
      </c>
      <c r="C1316" s="1014">
        <v>0.9805956722782051</v>
      </c>
      <c r="D1316" s="1014">
        <v>0.99226521119083755</v>
      </c>
      <c r="E1316" s="1014">
        <v>0.99883912962338361</v>
      </c>
      <c r="F1316" s="1014">
        <v>1.0026734248783731</v>
      </c>
      <c r="G1316" s="1014">
        <v>0.98476983976756172</v>
      </c>
      <c r="H1316" s="1014">
        <v>1.0329400663806121</v>
      </c>
      <c r="I1316" s="1014">
        <v>1.0218705592703954</v>
      </c>
      <c r="K1316">
        <v>2.4473334633904513</v>
      </c>
      <c r="L1316">
        <v>0</v>
      </c>
      <c r="M1316">
        <v>1.7366018361415568E-3</v>
      </c>
      <c r="N1316">
        <v>0.15755956078888</v>
      </c>
      <c r="O1316">
        <v>2.1436667680097665E-2</v>
      </c>
      <c r="P1316">
        <v>2.8755454879585553E-2</v>
      </c>
      <c r="Q1316">
        <v>5.6029986431306881E-3</v>
      </c>
      <c r="R1316">
        <v>1.7144100963827193E-3</v>
      </c>
      <c r="S1316">
        <v>0.27347214722061441</v>
      </c>
      <c r="T1316">
        <v>1.3752804004900649</v>
      </c>
      <c r="U1316">
        <v>0.21616393297419184</v>
      </c>
      <c r="V1316">
        <v>0.24416896745906222</v>
      </c>
      <c r="W1316">
        <v>0.10357739279574582</v>
      </c>
      <c r="X1316">
        <v>1.6672073071619303E-2</v>
      </c>
      <c r="Y1316">
        <v>4.6660591272173783E-3</v>
      </c>
    </row>
    <row r="1317" spans="1:25">
      <c r="A1317" s="1010"/>
      <c r="B1317" s="1351">
        <v>1067</v>
      </c>
      <c r="C1317" s="1014">
        <v>0.99628616853750152</v>
      </c>
      <c r="D1317" s="1014">
        <v>0.96127633645298638</v>
      </c>
      <c r="E1317" s="1014">
        <v>1.004518510684256</v>
      </c>
      <c r="F1317" s="1014">
        <v>0.97927291900537505</v>
      </c>
      <c r="G1317" s="1014">
        <v>1.003817017527548</v>
      </c>
      <c r="H1317" s="1014">
        <v>1.0082879833466298</v>
      </c>
      <c r="I1317" s="1014">
        <v>0.99844104809814394</v>
      </c>
      <c r="K1317">
        <v>2.3974013199501831</v>
      </c>
      <c r="L1317">
        <v>0</v>
      </c>
      <c r="M1317">
        <v>1.6604638745062125E-3</v>
      </c>
      <c r="N1317">
        <v>0.15321011943525972</v>
      </c>
      <c r="O1317">
        <v>2.1250671646196252E-2</v>
      </c>
      <c r="P1317">
        <v>2.8309421723810606E-2</v>
      </c>
      <c r="Q1317">
        <v>5.586153954258646E-3</v>
      </c>
      <c r="R1317">
        <v>1.6387263012568867E-3</v>
      </c>
      <c r="S1317">
        <v>0.26513388251651188</v>
      </c>
      <c r="T1317">
        <v>1.3433042806032798</v>
      </c>
      <c r="U1317">
        <v>0.21277906128811919</v>
      </c>
      <c r="V1317">
        <v>0.24639931892118597</v>
      </c>
      <c r="W1317">
        <v>0.10037917864824997</v>
      </c>
      <c r="X1317">
        <v>1.6610896000518936E-2</v>
      </c>
      <c r="Y1317">
        <v>4.4600727860412189E-3</v>
      </c>
    </row>
    <row r="1318" spans="1:25">
      <c r="A1318" s="1010"/>
      <c r="B1318" s="1351">
        <v>1068</v>
      </c>
      <c r="C1318" s="1014">
        <v>1.0335869249013723</v>
      </c>
      <c r="D1318" s="1014">
        <v>1.0096013683749916</v>
      </c>
      <c r="E1318" s="1014">
        <v>0.99509458158174757</v>
      </c>
      <c r="F1318" s="1014">
        <v>0.98388109330483275</v>
      </c>
      <c r="G1318" s="1014">
        <v>0.98813901998705256</v>
      </c>
      <c r="H1318" s="1014">
        <v>1.0044762480037517</v>
      </c>
      <c r="I1318" s="1014">
        <v>0.98119565934702357</v>
      </c>
      <c r="K1318">
        <v>2.3533231924327427</v>
      </c>
      <c r="L1318">
        <v>0</v>
      </c>
      <c r="M1318">
        <v>1.6085131468475324E-3</v>
      </c>
      <c r="N1318">
        <v>0.14424324565949465</v>
      </c>
      <c r="O1318">
        <v>2.0257878106182695E-2</v>
      </c>
      <c r="P1318">
        <v>2.7744609296987487E-2</v>
      </c>
      <c r="Q1318">
        <v>5.2749675011648199E-3</v>
      </c>
      <c r="R1318">
        <v>1.5873757665362496E-3</v>
      </c>
      <c r="S1318">
        <v>0.24466326235840938</v>
      </c>
      <c r="T1318">
        <v>1.3494249510886709</v>
      </c>
      <c r="U1318">
        <v>0.20506898688304329</v>
      </c>
      <c r="V1318">
        <v>0.24149559042428712</v>
      </c>
      <c r="W1318">
        <v>9.5035215496679301E-2</v>
      </c>
      <c r="X1318">
        <v>1.5815309439901514E-2</v>
      </c>
      <c r="Y1318">
        <v>4.3203135582308679E-3</v>
      </c>
    </row>
    <row r="1319" spans="1:25">
      <c r="A1319" s="1010"/>
      <c r="B1319" s="1351">
        <v>1069</v>
      </c>
      <c r="C1319" s="1014">
        <v>1.0226337804829759</v>
      </c>
      <c r="D1319" s="1014">
        <v>1.0150450708016914</v>
      </c>
      <c r="E1319" s="1014">
        <v>0.96700532415106633</v>
      </c>
      <c r="F1319" s="1014">
        <v>0.99332224314021766</v>
      </c>
      <c r="G1319" s="1014">
        <v>0.96145889029252785</v>
      </c>
      <c r="H1319" s="1014">
        <v>1.0182237282638824</v>
      </c>
      <c r="I1319" s="1014">
        <v>1.0154282915361765</v>
      </c>
      <c r="K1319">
        <v>2.3754833852589847</v>
      </c>
      <c r="L1319">
        <v>0</v>
      </c>
      <c r="M1319">
        <v>1.7444970304156915E-3</v>
      </c>
      <c r="N1319">
        <v>0.14371826276935953</v>
      </c>
      <c r="O1319">
        <v>2.0432531997076432E-2</v>
      </c>
      <c r="P1319">
        <v>2.7454558783236781E-2</v>
      </c>
      <c r="Q1319">
        <v>5.1707796330164807E-3</v>
      </c>
      <c r="R1319">
        <v>1.7218822049956744E-3</v>
      </c>
      <c r="S1319">
        <v>0.25615576236467602</v>
      </c>
      <c r="T1319">
        <v>1.3617726946788939</v>
      </c>
      <c r="U1319">
        <v>0.20717181971825605</v>
      </c>
      <c r="V1319">
        <v>0.23768328183803999</v>
      </c>
      <c r="W1319">
        <v>9.6307729951685309E-2</v>
      </c>
      <c r="X1319">
        <v>1.4952182606478502E-2</v>
      </c>
      <c r="Y1319">
        <v>4.6863957436818985E-3</v>
      </c>
    </row>
    <row r="1320" spans="1:25">
      <c r="A1320" s="1010"/>
      <c r="B1320" s="1351">
        <v>1070</v>
      </c>
      <c r="C1320" s="1014">
        <v>1.0114231319312006</v>
      </c>
      <c r="D1320" s="1014">
        <v>0.98789533431302679</v>
      </c>
      <c r="E1320" s="1014">
        <v>0.99235109899416896</v>
      </c>
      <c r="F1320" s="1014">
        <v>1.0300627665602851</v>
      </c>
      <c r="G1320" s="1014">
        <v>0.973981142947554</v>
      </c>
      <c r="H1320" s="1014">
        <v>0.9749606345773808</v>
      </c>
      <c r="I1320" s="1014">
        <v>0.98909482382048663</v>
      </c>
      <c r="K1320">
        <v>2.4282974343965562</v>
      </c>
      <c r="L1320">
        <v>0</v>
      </c>
      <c r="M1320">
        <v>1.6122478390655857E-3</v>
      </c>
      <c r="N1320">
        <v>0.1433263990192378</v>
      </c>
      <c r="O1320">
        <v>2.0799217974308244E-2</v>
      </c>
      <c r="P1320">
        <v>2.8696103695483519E-2</v>
      </c>
      <c r="Q1320">
        <v>5.4009607221596305E-3</v>
      </c>
      <c r="R1320">
        <v>1.5904199900481589E-3</v>
      </c>
      <c r="S1320">
        <v>0.25231110053265904</v>
      </c>
      <c r="T1320">
        <v>1.412703576690493</v>
      </c>
      <c r="U1320">
        <v>0.20955349772686302</v>
      </c>
      <c r="V1320">
        <v>0.24040981313084397</v>
      </c>
      <c r="W1320">
        <v>9.4586017057546296E-2</v>
      </c>
      <c r="X1320">
        <v>1.6203976764875404E-2</v>
      </c>
      <c r="Y1320">
        <v>4.328598931102272E-3</v>
      </c>
    </row>
    <row r="1321" spans="1:25">
      <c r="A1321" s="1010"/>
      <c r="B1321" s="1351">
        <v>1071</v>
      </c>
      <c r="C1321" s="1014">
        <v>0.98839772614871557</v>
      </c>
      <c r="D1321" s="1014">
        <v>1.0458973513332468</v>
      </c>
      <c r="E1321" s="1014">
        <v>1.0002006238266243</v>
      </c>
      <c r="F1321" s="1014">
        <v>1.0156272598781848</v>
      </c>
      <c r="G1321" s="1014">
        <v>0.99999636676162063</v>
      </c>
      <c r="H1321" s="1014">
        <v>0.98357300568071426</v>
      </c>
      <c r="I1321" s="1014">
        <v>0.98640446012684402</v>
      </c>
      <c r="K1321">
        <v>2.4248467564950564</v>
      </c>
      <c r="L1321">
        <v>0</v>
      </c>
      <c r="M1321">
        <v>1.6170895045551949E-3</v>
      </c>
      <c r="N1321">
        <v>0.14722541613257961</v>
      </c>
      <c r="O1321">
        <v>2.1023485667119871E-2</v>
      </c>
      <c r="P1321">
        <v>2.8726372748860675E-2</v>
      </c>
      <c r="Q1321">
        <v>5.5025307073762412E-3</v>
      </c>
      <c r="R1321">
        <v>1.5953878085390586E-3</v>
      </c>
      <c r="S1321">
        <v>0.25101652717316136</v>
      </c>
      <c r="T1321">
        <v>1.3930779594420286</v>
      </c>
      <c r="U1321">
        <v>0.21446232131515286</v>
      </c>
      <c r="V1321">
        <v>0.2462621875718139</v>
      </c>
      <c r="W1321">
        <v>9.6705559218632151E-2</v>
      </c>
      <c r="X1321">
        <v>1.6523978518950478E-2</v>
      </c>
      <c r="Y1321">
        <v>4.3421196953935762E-3</v>
      </c>
    </row>
    <row r="1322" spans="1:25">
      <c r="A1322" s="1010"/>
      <c r="B1322" s="1351">
        <v>1072</v>
      </c>
      <c r="C1322" s="1014">
        <v>0.99502223412790691</v>
      </c>
      <c r="D1322" s="1014">
        <v>1.0063238060127595</v>
      </c>
      <c r="E1322" s="1014">
        <v>1.0191334149966869</v>
      </c>
      <c r="F1322" s="1014">
        <v>0.95974575880075585</v>
      </c>
      <c r="G1322" s="1014">
        <v>0.98470623309237615</v>
      </c>
      <c r="H1322" s="1014">
        <v>1.02718022749821</v>
      </c>
      <c r="I1322" s="1014">
        <v>0.99600821430797382</v>
      </c>
      <c r="K1322">
        <v>2.3685931118623431</v>
      </c>
      <c r="L1322">
        <v>0</v>
      </c>
      <c r="M1322">
        <v>1.626586556768335E-3</v>
      </c>
      <c r="N1322">
        <v>0.15689195541766227</v>
      </c>
      <c r="O1322">
        <v>2.1074113286399757E-2</v>
      </c>
      <c r="P1322">
        <v>2.8145651508526368E-2</v>
      </c>
      <c r="Q1322">
        <v>5.6211874187501966E-3</v>
      </c>
      <c r="R1322">
        <v>1.605684128287843E-3</v>
      </c>
      <c r="S1322">
        <v>0.2605301985111384</v>
      </c>
      <c r="T1322">
        <v>1.3168222472561451</v>
      </c>
      <c r="U1322">
        <v>0.21309964401233941</v>
      </c>
      <c r="V1322">
        <v>0.24316512884106198</v>
      </c>
      <c r="W1322">
        <v>0.10191061919580678</v>
      </c>
      <c r="X1322">
        <v>1.6983125959422852E-2</v>
      </c>
      <c r="Y1322">
        <v>4.3701428835688748E-3</v>
      </c>
    </row>
    <row r="1323" spans="1:25">
      <c r="A1323" s="1010"/>
      <c r="B1323" s="1351">
        <v>1073</v>
      </c>
      <c r="C1323" s="1014">
        <v>1.0127940668763529</v>
      </c>
      <c r="D1323" s="1014">
        <v>0.99532296041721724</v>
      </c>
      <c r="E1323" s="1014">
        <v>0.99603180697425997</v>
      </c>
      <c r="F1323" s="1014">
        <v>1.0100497393116714</v>
      </c>
      <c r="G1323" s="1014">
        <v>1.0161386682616982</v>
      </c>
      <c r="H1323" s="1014">
        <v>1.0343795391299551</v>
      </c>
      <c r="I1323" s="1014">
        <v>1.0057194087649823</v>
      </c>
      <c r="K1323">
        <v>2.4305312428321684</v>
      </c>
      <c r="L1323">
        <v>0</v>
      </c>
      <c r="M1323">
        <v>1.6924190168001118E-3</v>
      </c>
      <c r="N1323">
        <v>0.152256573297642</v>
      </c>
      <c r="O1323">
        <v>2.0739275317881171E-2</v>
      </c>
      <c r="P1323">
        <v>2.8604524374933216E-2</v>
      </c>
      <c r="Q1323">
        <v>5.4054214182446807E-3</v>
      </c>
      <c r="R1323">
        <v>1.6708219787336998E-3</v>
      </c>
      <c r="S1323">
        <v>0.26029221306290712</v>
      </c>
      <c r="T1323">
        <v>1.3853365569373368</v>
      </c>
      <c r="U1323">
        <v>0.20928225380979279</v>
      </c>
      <c r="V1323">
        <v>0.24751355492053997</v>
      </c>
      <c r="W1323">
        <v>0.10025876772846513</v>
      </c>
      <c r="X1323">
        <v>1.6316272362692699E-2</v>
      </c>
      <c r="Y1323">
        <v>4.5474266397958676E-3</v>
      </c>
    </row>
    <row r="1324" spans="1:25">
      <c r="A1324" s="1010"/>
      <c r="B1324" s="1351">
        <v>1074</v>
      </c>
      <c r="C1324" s="1014">
        <v>1.0062148195029321</v>
      </c>
      <c r="D1324" s="1014">
        <v>0.97329283288887491</v>
      </c>
      <c r="E1324" s="1014">
        <v>0.99491922759787399</v>
      </c>
      <c r="F1324" s="1014">
        <v>0.98931656934061518</v>
      </c>
      <c r="G1324" s="1014">
        <v>1.0045389607510338</v>
      </c>
      <c r="H1324" s="1014">
        <v>1.0301323253973447</v>
      </c>
      <c r="I1324" s="1014">
        <v>0.98255927447935387</v>
      </c>
      <c r="K1324">
        <v>2.4014685423281614</v>
      </c>
      <c r="L1324">
        <v>0</v>
      </c>
      <c r="M1324">
        <v>1.7088010873037207E-3</v>
      </c>
      <c r="N1324">
        <v>0.15320615846182212</v>
      </c>
      <c r="O1324">
        <v>2.0977187171803011E-2</v>
      </c>
      <c r="P1324">
        <v>2.8166284489390101E-2</v>
      </c>
      <c r="Q1324">
        <v>5.4613036776696121E-3</v>
      </c>
      <c r="R1324">
        <v>1.6869050908225516E-3</v>
      </c>
      <c r="S1324">
        <v>0.25847570945728282</v>
      </c>
      <c r="T1324">
        <v>1.3568761351400611</v>
      </c>
      <c r="U1324">
        <v>0.21064689220215921</v>
      </c>
      <c r="V1324">
        <v>0.24593926509554673</v>
      </c>
      <c r="W1324">
        <v>0.10095102718614174</v>
      </c>
      <c r="X1324">
        <v>1.6199275873660664E-2</v>
      </c>
      <c r="Y1324">
        <v>4.5911995691052471E-3</v>
      </c>
    </row>
    <row r="1325" spans="1:25">
      <c r="A1325" s="1010"/>
      <c r="B1325" s="1351">
        <v>1075</v>
      </c>
      <c r="C1325" s="1014">
        <v>1.004168594551772</v>
      </c>
      <c r="D1325" s="1014">
        <v>1.0124173809255435</v>
      </c>
      <c r="E1325" s="1014">
        <v>0.98701185162696736</v>
      </c>
      <c r="F1325" s="1014">
        <v>1.0242681367962956</v>
      </c>
      <c r="G1325" s="1014">
        <v>0.95988227484623334</v>
      </c>
      <c r="H1325" s="1014">
        <v>1.0294856310104725</v>
      </c>
      <c r="I1325" s="1014">
        <v>0.98540408304232519</v>
      </c>
      <c r="K1325">
        <v>2.4349735915553241</v>
      </c>
      <c r="L1325">
        <v>0</v>
      </c>
      <c r="M1325">
        <v>1.7244504246845072E-3</v>
      </c>
      <c r="N1325">
        <v>0.15095578069688265</v>
      </c>
      <c r="O1325">
        <v>2.0833263739662808E-2</v>
      </c>
      <c r="P1325">
        <v>2.8496656958182532E-2</v>
      </c>
      <c r="Q1325">
        <v>5.3806796983381176E-3</v>
      </c>
      <c r="R1325">
        <v>1.7023400224882408E-3</v>
      </c>
      <c r="S1325">
        <v>0.25457650291344597</v>
      </c>
      <c r="T1325">
        <v>1.4046383644233542</v>
      </c>
      <c r="U1325">
        <v>0.21104925531045376</v>
      </c>
      <c r="V1325">
        <v>0.23846555460025493</v>
      </c>
      <c r="W1325">
        <v>9.9940140111774517E-2</v>
      </c>
      <c r="X1325">
        <v>1.6026295140194376E-2</v>
      </c>
      <c r="Y1325">
        <v>4.6332083649753995E-3</v>
      </c>
    </row>
    <row r="1326" spans="1:25">
      <c r="A1326" s="1010"/>
      <c r="B1326" s="1351">
        <v>1076</v>
      </c>
      <c r="C1326" s="1014">
        <v>1.0115753435690216</v>
      </c>
      <c r="D1326" s="1014">
        <v>0.98401098630258954</v>
      </c>
      <c r="E1326" s="1014">
        <v>1.0076925863731505</v>
      </c>
      <c r="F1326" s="1014">
        <v>0.97945899834368522</v>
      </c>
      <c r="G1326" s="1014">
        <v>1.0130110098173373</v>
      </c>
      <c r="H1326" s="1014">
        <v>0.99045199560907871</v>
      </c>
      <c r="I1326" s="1014">
        <v>0.99100069079933051</v>
      </c>
      <c r="K1326">
        <v>2.3747368612688518</v>
      </c>
      <c r="L1326">
        <v>0</v>
      </c>
      <c r="M1326">
        <v>1.5877008169698349E-3</v>
      </c>
      <c r="N1326">
        <v>0.14787193739881813</v>
      </c>
      <c r="O1326">
        <v>2.0824221846236664E-2</v>
      </c>
      <c r="P1326">
        <v>2.8201454531140941E-2</v>
      </c>
      <c r="Q1326">
        <v>5.4914871832876999E-3</v>
      </c>
      <c r="R1326">
        <v>1.5665415092142912E-3</v>
      </c>
      <c r="S1326">
        <v>0.25468135599136754</v>
      </c>
      <c r="T1326">
        <v>1.3436268541576715</v>
      </c>
      <c r="U1326">
        <v>0.20957380692746536</v>
      </c>
      <c r="V1326">
        <v>0.24701103599085544</v>
      </c>
      <c r="W1326">
        <v>9.6700026144980467E-2</v>
      </c>
      <c r="X1326">
        <v>1.6512230826970727E-2</v>
      </c>
      <c r="Y1326">
        <v>4.2636095778115762E-3</v>
      </c>
    </row>
    <row r="1327" spans="1:25">
      <c r="A1327" s="1010"/>
      <c r="B1327" s="1351">
        <v>1077</v>
      </c>
      <c r="C1327" s="1014">
        <v>0.99875585005538969</v>
      </c>
      <c r="D1327" s="1014">
        <v>1.0212991080992591</v>
      </c>
      <c r="E1327" s="1014">
        <v>0.98579725348029634</v>
      </c>
      <c r="F1327" s="1014">
        <v>0.98227723030315439</v>
      </c>
      <c r="G1327" s="1014">
        <v>1.0367327976257217</v>
      </c>
      <c r="H1327" s="1014">
        <v>0.98922678850257251</v>
      </c>
      <c r="I1327" s="1014">
        <v>1.0318077615413934</v>
      </c>
      <c r="K1327">
        <v>2.3906356118173693</v>
      </c>
      <c r="L1327">
        <v>0</v>
      </c>
      <c r="M1327">
        <v>1.6669819833637664E-3</v>
      </c>
      <c r="N1327">
        <v>0.1453131959207066</v>
      </c>
      <c r="O1327">
        <v>2.0905156249672922E-2</v>
      </c>
      <c r="P1327">
        <v>2.8007986917636601E-2</v>
      </c>
      <c r="Q1327">
        <v>5.3926099499658426E-3</v>
      </c>
      <c r="R1327">
        <v>1.6447385790614502E-3</v>
      </c>
      <c r="S1327">
        <v>0.26332064242373915</v>
      </c>
      <c r="T1327">
        <v>1.3470280640831112</v>
      </c>
      <c r="U1327">
        <v>0.21218888609475273</v>
      </c>
      <c r="V1327">
        <v>0.25193550198461201</v>
      </c>
      <c r="W1327">
        <v>9.6274697085027908E-2</v>
      </c>
      <c r="X1327">
        <v>1.5814678288168606E-2</v>
      </c>
      <c r="Y1327">
        <v>4.4764362242783965E-3</v>
      </c>
    </row>
    <row r="1328" spans="1:25">
      <c r="A1328" s="1010"/>
      <c r="B1328" s="1351">
        <v>1078</v>
      </c>
      <c r="C1328" s="1014">
        <v>0.99790645743464412</v>
      </c>
      <c r="D1328" s="1014">
        <v>1.0286897734115577</v>
      </c>
      <c r="E1328" s="1014">
        <v>0.9721067925794673</v>
      </c>
      <c r="F1328" s="1014">
        <v>0.98809038241272618</v>
      </c>
      <c r="G1328" s="1014">
        <v>1.0370946745852943</v>
      </c>
      <c r="H1328" s="1014">
        <v>1.015149047688183</v>
      </c>
      <c r="I1328" s="1014">
        <v>1.0031975603728469</v>
      </c>
      <c r="K1328">
        <v>2.3959063663113311</v>
      </c>
      <c r="L1328">
        <v>0</v>
      </c>
      <c r="M1328">
        <v>1.7584813420328071E-3</v>
      </c>
      <c r="N1328">
        <v>0.14711970194763022</v>
      </c>
      <c r="O1328">
        <v>2.0880768350550485E-2</v>
      </c>
      <c r="P1328">
        <v>2.7745859640877921E-2</v>
      </c>
      <c r="Q1328">
        <v>5.3118442271981731E-3</v>
      </c>
      <c r="R1328">
        <v>1.7356161858853587E-3</v>
      </c>
      <c r="S1328">
        <v>0.25740841774955581</v>
      </c>
      <c r="T1328">
        <v>1.3547085225390016</v>
      </c>
      <c r="U1328">
        <v>0.21232275949789664</v>
      </c>
      <c r="V1328">
        <v>0.25210305692811902</v>
      </c>
      <c r="W1328">
        <v>9.8281346085368954E-2</v>
      </c>
      <c r="X1328">
        <v>1.5323179389019741E-2</v>
      </c>
      <c r="Y1328">
        <v>4.7237751122580357E-3</v>
      </c>
    </row>
    <row r="1329" spans="1:25">
      <c r="A1329" s="1010"/>
      <c r="B1329" s="1351">
        <v>1079</v>
      </c>
      <c r="C1329" s="1014">
        <v>0.99894210559832142</v>
      </c>
      <c r="D1329" s="1014">
        <v>1.0164375439399207</v>
      </c>
      <c r="E1329" s="1014">
        <v>0.9999379757607616</v>
      </c>
      <c r="F1329" s="1014">
        <v>0.99356693791869122</v>
      </c>
      <c r="G1329" s="1014">
        <v>0.99508995804838341</v>
      </c>
      <c r="H1329" s="1014">
        <v>0.96294396390346626</v>
      </c>
      <c r="I1329" s="1014">
        <v>0.99380504494303135</v>
      </c>
      <c r="K1329">
        <v>2.3847189076096158</v>
      </c>
      <c r="L1329">
        <v>0</v>
      </c>
      <c r="M1329">
        <v>1.5771984554923376E-3</v>
      </c>
      <c r="N1329">
        <v>0.14343788757712564</v>
      </c>
      <c r="O1329">
        <v>2.0932561435980886E-2</v>
      </c>
      <c r="P1329">
        <v>2.8270843352811534E-2</v>
      </c>
      <c r="Q1329">
        <v>5.4772866906867322E-3</v>
      </c>
      <c r="R1329">
        <v>1.5555786617524471E-3</v>
      </c>
      <c r="S1329">
        <v>0.25207720822061219</v>
      </c>
      <c r="T1329">
        <v>1.3628134304380652</v>
      </c>
      <c r="U1329">
        <v>0.21219765564212692</v>
      </c>
      <c r="V1329">
        <v>0.24475892050898465</v>
      </c>
      <c r="W1329">
        <v>9.4232415144561932E-2</v>
      </c>
      <c r="X1329">
        <v>1.6308546071476863E-2</v>
      </c>
      <c r="Y1329">
        <v>4.2337723209221311E-3</v>
      </c>
    </row>
    <row r="1330" spans="1:25">
      <c r="A1330" s="1010"/>
      <c r="B1330" s="1351">
        <v>1080</v>
      </c>
      <c r="C1330" s="1014">
        <v>0.96436190944872724</v>
      </c>
      <c r="D1330" s="1014">
        <v>1.0018838450377094</v>
      </c>
      <c r="E1330" s="1014">
        <v>0.98799527289458244</v>
      </c>
      <c r="F1330" s="1014">
        <v>0.97803352087315887</v>
      </c>
      <c r="G1330" s="1014">
        <v>0.9980084248976826</v>
      </c>
      <c r="H1330" s="1014">
        <v>0.98524098619686051</v>
      </c>
      <c r="I1330" s="1014">
        <v>0.99794166366853876</v>
      </c>
      <c r="K1330">
        <v>2.4013170768987022</v>
      </c>
      <c r="L1330">
        <v>0</v>
      </c>
      <c r="M1330">
        <v>1.7189156918184145E-3</v>
      </c>
      <c r="N1330">
        <v>0.15083139810529619</v>
      </c>
      <c r="O1330">
        <v>2.1743861440665105E-2</v>
      </c>
      <c r="P1330">
        <v>2.8055312706049537E-2</v>
      </c>
      <c r="Q1330">
        <v>5.6214556820421858E-3</v>
      </c>
      <c r="R1330">
        <v>1.6958865197697246E-3</v>
      </c>
      <c r="S1330">
        <v>0.26597399979608854</v>
      </c>
      <c r="T1330">
        <v>1.3412549006064329</v>
      </c>
      <c r="U1330">
        <v>0.21976437153573911</v>
      </c>
      <c r="V1330">
        <v>0.2475395048200339</v>
      </c>
      <c r="W1330">
        <v>9.9798864659366257E-2</v>
      </c>
      <c r="X1330">
        <v>1.6140792661064614E-2</v>
      </c>
      <c r="Y1330">
        <v>4.6156440579721951E-3</v>
      </c>
    </row>
    <row r="1331" spans="1:25">
      <c r="A1331" s="1010"/>
      <c r="B1331" s="1351">
        <v>1081</v>
      </c>
      <c r="C1331" s="1014">
        <v>1.0253376106777858</v>
      </c>
      <c r="D1331" s="1014">
        <v>0.97241913124392176</v>
      </c>
      <c r="E1331" s="1014">
        <v>1.001479256783848</v>
      </c>
      <c r="F1331" s="1014">
        <v>1.0213319929226263</v>
      </c>
      <c r="G1331" s="1014">
        <v>1.0239280459378424</v>
      </c>
      <c r="H1331" s="1014">
        <v>0.99139963131576003</v>
      </c>
      <c r="I1331" s="1014">
        <v>0.98034429288227842</v>
      </c>
      <c r="K1331">
        <v>2.4223729429837468</v>
      </c>
      <c r="L1331">
        <v>0</v>
      </c>
      <c r="M1331">
        <v>1.5923878893802476E-3</v>
      </c>
      <c r="N1331">
        <v>0.14555322099493792</v>
      </c>
      <c r="O1331">
        <v>2.0594296510421811E-2</v>
      </c>
      <c r="P1331">
        <v>2.8767398182742241E-2</v>
      </c>
      <c r="Q1331">
        <v>5.397126941745818E-3</v>
      </c>
      <c r="R1331">
        <v>1.5711864019222041E-3</v>
      </c>
      <c r="S1331">
        <v>0.250079991591177</v>
      </c>
      <c r="T1331">
        <v>1.4009310655743041</v>
      </c>
      <c r="U1331">
        <v>0.20674014077515718</v>
      </c>
      <c r="V1331">
        <v>0.24806999060559834</v>
      </c>
      <c r="W1331">
        <v>9.5534590764816879E-2</v>
      </c>
      <c r="X1331">
        <v>1.6450071085728216E-2</v>
      </c>
      <c r="Y1331">
        <v>4.276251444574046E-3</v>
      </c>
    </row>
    <row r="1332" spans="1:25">
      <c r="A1332" s="1010"/>
      <c r="B1332" s="1351">
        <v>1082</v>
      </c>
      <c r="C1332" s="1014">
        <v>0.95435622715207191</v>
      </c>
      <c r="D1332" s="1014">
        <v>1.0197197198646231</v>
      </c>
      <c r="E1332" s="1014">
        <v>0.99729886951005298</v>
      </c>
      <c r="F1332" s="1014">
        <v>1.01230655832376</v>
      </c>
      <c r="G1332" s="1014">
        <v>1.0065669161885107</v>
      </c>
      <c r="H1332" s="1014">
        <v>0.97367667354477327</v>
      </c>
      <c r="I1332" s="1014">
        <v>0.95966786284810901</v>
      </c>
      <c r="K1332">
        <v>2.4440340872171356</v>
      </c>
      <c r="L1332">
        <v>0</v>
      </c>
      <c r="M1332">
        <v>1.6772539727795974E-3</v>
      </c>
      <c r="N1332">
        <v>0.15134907800910796</v>
      </c>
      <c r="O1332">
        <v>2.1893132950413178E-2</v>
      </c>
      <c r="P1332">
        <v>2.8809426055783377E-2</v>
      </c>
      <c r="Q1332">
        <v>5.7134449353292774E-3</v>
      </c>
      <c r="R1332">
        <v>1.6545160764561144E-3</v>
      </c>
      <c r="S1332">
        <v>0.25527128587467718</v>
      </c>
      <c r="T1332">
        <v>1.3884596263215117</v>
      </c>
      <c r="U1332">
        <v>0.22210171398702666</v>
      </c>
      <c r="V1332">
        <v>0.24964629683463352</v>
      </c>
      <c r="W1332">
        <v>9.9585973479916656E-2</v>
      </c>
      <c r="X1332">
        <v>1.6723799316024045E-2</v>
      </c>
      <c r="Y1332">
        <v>4.5030473490355232E-3</v>
      </c>
    </row>
    <row r="1333" spans="1:25">
      <c r="A1333" s="1010"/>
      <c r="B1333" s="1351">
        <v>1083</v>
      </c>
      <c r="C1333" s="1014">
        <v>0.99753423071200331</v>
      </c>
      <c r="D1333" s="1014">
        <v>1.0152621570699973</v>
      </c>
      <c r="E1333" s="1014">
        <v>1.0452515263768916</v>
      </c>
      <c r="F1333" s="1014">
        <v>0.98378929157293771</v>
      </c>
      <c r="G1333" s="1014">
        <v>1.0177146554901133</v>
      </c>
      <c r="H1333" s="1014">
        <v>0.99819277678693719</v>
      </c>
      <c r="I1333" s="1014">
        <v>0.99238899499301447</v>
      </c>
      <c r="K1333">
        <v>2.4000167252832618</v>
      </c>
      <c r="L1333">
        <v>0</v>
      </c>
      <c r="M1333">
        <v>1.4902572817919154E-3</v>
      </c>
      <c r="N1333">
        <v>0.15545661667281688</v>
      </c>
      <c r="O1333">
        <v>2.0997591344211409E-2</v>
      </c>
      <c r="P1333">
        <v>2.9155884547480509E-2</v>
      </c>
      <c r="Q1333">
        <v>5.7471113285804962E-3</v>
      </c>
      <c r="R1333">
        <v>1.4705506206857785E-3</v>
      </c>
      <c r="S1333">
        <v>0.25555982601957494</v>
      </c>
      <c r="T1333">
        <v>1.3503704483869581</v>
      </c>
      <c r="U1333">
        <v>0.21265294584970615</v>
      </c>
      <c r="V1333">
        <v>0.24854849500737169</v>
      </c>
      <c r="W1333">
        <v>9.9461461897295142E-2</v>
      </c>
      <c r="X1333">
        <v>1.808369686774779E-2</v>
      </c>
      <c r="Y1333">
        <v>4.0023540226248652E-3</v>
      </c>
    </row>
    <row r="1334" spans="1:25">
      <c r="A1334" s="1010"/>
      <c r="B1334" s="1351">
        <v>1084</v>
      </c>
      <c r="C1334" s="1014">
        <v>1.0106713741698965</v>
      </c>
      <c r="D1334" s="1014">
        <v>1.0065664291988166</v>
      </c>
      <c r="E1334" s="1014">
        <v>0.99054035343105762</v>
      </c>
      <c r="F1334" s="1014">
        <v>1.0330973536071</v>
      </c>
      <c r="G1334" s="1014">
        <v>0.99524293300657041</v>
      </c>
      <c r="H1334" s="1014">
        <v>1.0028819351562743</v>
      </c>
      <c r="I1334" s="1014">
        <v>1.0293766135301927</v>
      </c>
      <c r="K1334">
        <v>2.4526823417136447</v>
      </c>
      <c r="L1334">
        <v>0</v>
      </c>
      <c r="M1334">
        <v>1.6590427114113074E-3</v>
      </c>
      <c r="N1334">
        <v>0.14673729213982512</v>
      </c>
      <c r="O1334">
        <v>2.0727940265041142E-2</v>
      </c>
      <c r="P1334">
        <v>2.8905882499163371E-2</v>
      </c>
      <c r="Q1334">
        <v>5.3726176634396267E-3</v>
      </c>
      <c r="R1334">
        <v>1.6372066666018063E-3</v>
      </c>
      <c r="S1334">
        <v>0.26271629948819508</v>
      </c>
      <c r="T1334">
        <v>1.416825042693572</v>
      </c>
      <c r="U1334">
        <v>0.20970325194679304</v>
      </c>
      <c r="V1334">
        <v>0.24409389705601664</v>
      </c>
      <c r="W1334">
        <v>9.6941963091930997E-2</v>
      </c>
      <c r="X1334">
        <v>1.6224054073016528E-2</v>
      </c>
      <c r="Y1334">
        <v>4.4559368414575215E-3</v>
      </c>
    </row>
    <row r="1335" spans="1:25">
      <c r="A1335" s="1010"/>
      <c r="B1335" s="1351">
        <v>1085</v>
      </c>
      <c r="C1335" s="1014">
        <v>1.0312752257351057</v>
      </c>
      <c r="D1335" s="1014">
        <v>0.96579702918679766</v>
      </c>
      <c r="E1335" s="1014">
        <v>1.0095350213695267</v>
      </c>
      <c r="F1335" s="1014">
        <v>1.0435308122365716</v>
      </c>
      <c r="G1335" s="1014">
        <v>0.99667643373506853</v>
      </c>
      <c r="H1335" s="1014">
        <v>1.029720480908427</v>
      </c>
      <c r="I1335" s="1014">
        <v>1.0169652704956307</v>
      </c>
      <c r="K1335">
        <v>2.4698466555639973</v>
      </c>
      <c r="L1335">
        <v>0</v>
      </c>
      <c r="M1335">
        <v>1.6195760797350057E-3</v>
      </c>
      <c r="N1335">
        <v>0.15176024451270162</v>
      </c>
      <c r="O1335">
        <v>2.0511756982682761E-2</v>
      </c>
      <c r="P1335">
        <v>2.9441203829001748E-2</v>
      </c>
      <c r="Q1335">
        <v>5.4190672143579538E-3</v>
      </c>
      <c r="R1335">
        <v>1.5988150819838812E-3</v>
      </c>
      <c r="S1335">
        <v>0.2621270375258013</v>
      </c>
      <c r="T1335">
        <v>1.4315625503205229</v>
      </c>
      <c r="U1335">
        <v>0.2055765490484916</v>
      </c>
      <c r="V1335">
        <v>0.2430372107366307</v>
      </c>
      <c r="W1335">
        <v>9.9134882354674506E-2</v>
      </c>
      <c r="X1335">
        <v>1.6945466432970922E-2</v>
      </c>
      <c r="Y1335">
        <v>4.3514476039099954E-3</v>
      </c>
    </row>
    <row r="1336" spans="1:25">
      <c r="A1336" s="1010"/>
      <c r="B1336" s="1351">
        <v>1086</v>
      </c>
      <c r="C1336" s="1014">
        <v>1.0078510806586043</v>
      </c>
      <c r="D1336" s="1014">
        <v>1.0265044906927097</v>
      </c>
      <c r="E1336" s="1014">
        <v>1.001570735330658</v>
      </c>
      <c r="F1336" s="1014">
        <v>1.0208957118823823</v>
      </c>
      <c r="G1336" s="1014">
        <v>1.0285931100732557</v>
      </c>
      <c r="H1336" s="1014">
        <v>1.0308257713137712</v>
      </c>
      <c r="I1336" s="1014">
        <v>1.0118051244847306</v>
      </c>
      <c r="K1336">
        <v>2.4477642835834446</v>
      </c>
      <c r="L1336">
        <v>0</v>
      </c>
      <c r="M1336">
        <v>1.6641859650285548E-3</v>
      </c>
      <c r="N1336">
        <v>0.15223654124865099</v>
      </c>
      <c r="O1336">
        <v>2.0703659728788619E-2</v>
      </c>
      <c r="P1336">
        <v>2.895599896764189E-2</v>
      </c>
      <c r="Q1336">
        <v>5.4262861682427771E-3</v>
      </c>
      <c r="R1336">
        <v>1.6428759966245134E-3</v>
      </c>
      <c r="S1336">
        <v>0.25889721065583093</v>
      </c>
      <c r="T1336">
        <v>1.4003346521846323</v>
      </c>
      <c r="U1336">
        <v>0.21032745691428439</v>
      </c>
      <c r="V1336">
        <v>0.24992210049188818</v>
      </c>
      <c r="W1336">
        <v>9.991579570633187E-2</v>
      </c>
      <c r="X1336">
        <v>1.659452459667049E-2</v>
      </c>
      <c r="Y1336">
        <v>4.4713668888851886E-3</v>
      </c>
    </row>
    <row r="1337" spans="1:25">
      <c r="A1337" s="1010"/>
      <c r="B1337" s="1351">
        <v>1087</v>
      </c>
      <c r="C1337" s="1014">
        <v>0.97489235381351158</v>
      </c>
      <c r="D1337" s="1014">
        <v>0.96451968561813184</v>
      </c>
      <c r="E1337" s="1014">
        <v>1.0392585510753591</v>
      </c>
      <c r="F1337" s="1014">
        <v>1.0455467852838847</v>
      </c>
      <c r="G1337" s="1014">
        <v>1.0122193284617131</v>
      </c>
      <c r="H1337" s="1014">
        <v>0.98436615118189308</v>
      </c>
      <c r="I1337" s="1014">
        <v>0.97672632529335857</v>
      </c>
      <c r="K1337">
        <v>2.5042205835159832</v>
      </c>
      <c r="L1337">
        <v>0</v>
      </c>
      <c r="M1337">
        <v>1.5399502559409542E-3</v>
      </c>
      <c r="N1337">
        <v>0.15773710238709007</v>
      </c>
      <c r="O1337">
        <v>2.1724844069453613E-2</v>
      </c>
      <c r="P1337">
        <v>3.0398206368545844E-2</v>
      </c>
      <c r="Q1337">
        <v>5.9112690642677771E-3</v>
      </c>
      <c r="R1337">
        <v>1.5193004374196909E-3</v>
      </c>
      <c r="S1337">
        <v>0.26284307078378361</v>
      </c>
      <c r="T1337">
        <v>1.4350035006431689</v>
      </c>
      <c r="U1337">
        <v>0.21757066624875088</v>
      </c>
      <c r="V1337">
        <v>0.24908568134502462</v>
      </c>
      <c r="W1337">
        <v>0.1012688458514765</v>
      </c>
      <c r="X1337">
        <v>1.8563011619539518E-2</v>
      </c>
      <c r="Y1337">
        <v>4.1350349534018055E-3</v>
      </c>
    </row>
    <row r="1338" spans="1:25">
      <c r="A1338" s="1010"/>
      <c r="B1338" s="1351">
        <v>1088</v>
      </c>
      <c r="C1338" s="1014">
        <v>1.0282509766064858</v>
      </c>
      <c r="D1338" s="1014">
        <v>0.99257863199031637</v>
      </c>
      <c r="E1338" s="1014">
        <v>1.000188349726485</v>
      </c>
      <c r="F1338" s="1014">
        <v>1.036357202648764</v>
      </c>
      <c r="G1338" s="1014">
        <v>1.0163821814281817</v>
      </c>
      <c r="H1338" s="1014">
        <v>0.99648040774610824</v>
      </c>
      <c r="I1338" s="1014">
        <v>0.99404840298073094</v>
      </c>
      <c r="K1338">
        <v>2.4407860935572456</v>
      </c>
      <c r="L1338">
        <v>0</v>
      </c>
      <c r="M1338">
        <v>1.5930859131876192E-3</v>
      </c>
      <c r="N1338">
        <v>0.14506022254611459</v>
      </c>
      <c r="O1338">
        <v>2.044261608734646E-2</v>
      </c>
      <c r="P1338">
        <v>2.9000698734980904E-2</v>
      </c>
      <c r="Q1338">
        <v>5.3504322205189542E-3</v>
      </c>
      <c r="R1338">
        <v>1.5719832799231694E-3</v>
      </c>
      <c r="S1338">
        <v>0.25066479158608079</v>
      </c>
      <c r="T1338">
        <v>1.421511763934437</v>
      </c>
      <c r="U1338">
        <v>0.20615008747671801</v>
      </c>
      <c r="V1338">
        <v>0.24661376966547444</v>
      </c>
      <c r="W1338">
        <v>9.5284038794490156E-2</v>
      </c>
      <c r="X1338">
        <v>1.6450354860544344E-2</v>
      </c>
      <c r="Y1338">
        <v>4.2784202838019115E-3</v>
      </c>
    </row>
    <row r="1339" spans="1:25">
      <c r="A1339" s="1010"/>
      <c r="B1339" s="1351">
        <v>1089</v>
      </c>
      <c r="C1339" s="1014">
        <v>0.99157371665386085</v>
      </c>
      <c r="D1339" s="1014">
        <v>1.0137577765230714</v>
      </c>
      <c r="E1339" s="1014">
        <v>0.96796918205366489</v>
      </c>
      <c r="F1339" s="1014">
        <v>0.97086883487872955</v>
      </c>
      <c r="G1339" s="1014">
        <v>0.97688639244789754</v>
      </c>
      <c r="H1339" s="1014">
        <v>0.99911150815347016</v>
      </c>
      <c r="I1339" s="1014">
        <v>1.0048781630653316</v>
      </c>
      <c r="K1339">
        <v>2.3634173925032731</v>
      </c>
      <c r="L1339">
        <v>0</v>
      </c>
      <c r="M1339">
        <v>1.7623555504834331E-3</v>
      </c>
      <c r="N1339">
        <v>0.14557735763735802</v>
      </c>
      <c r="O1339">
        <v>2.1079084533087468E-2</v>
      </c>
      <c r="P1339">
        <v>2.7262910012764017E-2</v>
      </c>
      <c r="Q1339">
        <v>5.3396651969581802E-3</v>
      </c>
      <c r="R1339">
        <v>1.7390721832698309E-3</v>
      </c>
      <c r="S1339">
        <v>0.25996679253432819</v>
      </c>
      <c r="T1339">
        <v>1.3310108033788191</v>
      </c>
      <c r="U1339">
        <v>0.21366457667498095</v>
      </c>
      <c r="V1339">
        <v>0.24222701987960629</v>
      </c>
      <c r="W1339">
        <v>9.7496210961251786E-2</v>
      </c>
      <c r="X1339">
        <v>1.5083073863463756E-2</v>
      </c>
      <c r="Y1339">
        <v>4.7331811978693393E-3</v>
      </c>
    </row>
    <row r="1340" spans="1:25">
      <c r="A1340" s="1010"/>
      <c r="B1340" s="1351">
        <v>1090</v>
      </c>
      <c r="C1340" s="1014">
        <v>0.95688936761656829</v>
      </c>
      <c r="D1340" s="1014">
        <v>1.0035156826156972</v>
      </c>
      <c r="E1340" s="1014">
        <v>0.96517314338353788</v>
      </c>
      <c r="F1340" s="1014">
        <v>1.0010948932004511</v>
      </c>
      <c r="G1340" s="1014">
        <v>1.011500567963816</v>
      </c>
      <c r="H1340" s="1014">
        <v>1.0145166636840104</v>
      </c>
      <c r="I1340" s="1014">
        <v>0.98136226753406652</v>
      </c>
      <c r="K1340">
        <v>2.4417864541537391</v>
      </c>
      <c r="L1340">
        <v>0</v>
      </c>
      <c r="M1340">
        <v>1.8692945053978896E-3</v>
      </c>
      <c r="N1340">
        <v>0.15313998813400789</v>
      </c>
      <c r="O1340">
        <v>2.1890062284875781E-2</v>
      </c>
      <c r="P1340">
        <v>2.8042980086932633E-2</v>
      </c>
      <c r="Q1340">
        <v>5.5292444323656285E-3</v>
      </c>
      <c r="R1340">
        <v>1.8449733186190415E-3</v>
      </c>
      <c r="S1340">
        <v>0.26574236673458951</v>
      </c>
      <c r="T1340">
        <v>1.3723890453180883</v>
      </c>
      <c r="U1340">
        <v>0.22139933861767769</v>
      </c>
      <c r="V1340">
        <v>0.2504335214934339</v>
      </c>
      <c r="W1340">
        <v>0.10273622335546241</v>
      </c>
      <c r="X1340">
        <v>1.5486595705093115E-2</v>
      </c>
      <c r="Y1340">
        <v>5.0214091779900048E-3</v>
      </c>
    </row>
    <row r="1341" spans="1:25">
      <c r="A1341" s="1010"/>
      <c r="B1341" s="1351">
        <v>1091</v>
      </c>
      <c r="C1341" s="1014">
        <v>0.99615347172780833</v>
      </c>
      <c r="D1341" s="1014">
        <v>1.0127911278686754</v>
      </c>
      <c r="E1341" s="1014">
        <v>1.0046419549354497</v>
      </c>
      <c r="F1341" s="1014">
        <v>1.0075079041757324</v>
      </c>
      <c r="G1341" s="1014">
        <v>1.0003977536088589</v>
      </c>
      <c r="H1341" s="1014">
        <v>1.0387571653468621</v>
      </c>
      <c r="I1341" s="1014">
        <v>1.0256954837975687</v>
      </c>
      <c r="K1341">
        <v>2.4438241811149481</v>
      </c>
      <c r="L1341">
        <v>0</v>
      </c>
      <c r="M1341">
        <v>1.6908990336101739E-3</v>
      </c>
      <c r="N1341">
        <v>0.15613726198116226</v>
      </c>
      <c r="O1341">
        <v>2.1010889822105094E-2</v>
      </c>
      <c r="P1341">
        <v>2.8874542852725244E-2</v>
      </c>
      <c r="Q1341">
        <v>5.5238062573190194E-3</v>
      </c>
      <c r="R1341">
        <v>1.6694123266063627E-3</v>
      </c>
      <c r="S1341">
        <v>0.26802762011057563</v>
      </c>
      <c r="T1341">
        <v>1.3820379291102993</v>
      </c>
      <c r="U1341">
        <v>0.21280782931011386</v>
      </c>
      <c r="V1341">
        <v>0.24582338435253512</v>
      </c>
      <c r="W1341">
        <v>0.10228948624912534</v>
      </c>
      <c r="X1341">
        <v>1.6769327744592662E-2</v>
      </c>
      <c r="Y1341">
        <v>4.5435900313969563E-3</v>
      </c>
    </row>
    <row r="1342" spans="1:25">
      <c r="A1342" s="1010"/>
      <c r="B1342" s="1351">
        <v>1092</v>
      </c>
      <c r="C1342" s="1014">
        <v>1.0077766894714859</v>
      </c>
      <c r="D1342" s="1014">
        <v>1.0135636571431921</v>
      </c>
      <c r="E1342" s="1014">
        <v>0.99776341410573222</v>
      </c>
      <c r="F1342" s="1014">
        <v>1.0081297215735943</v>
      </c>
      <c r="G1342" s="1014">
        <v>1.0010215141277403</v>
      </c>
      <c r="H1342" s="1014">
        <v>1.0210960947015606</v>
      </c>
      <c r="I1342" s="1014">
        <v>1.0379465963481582</v>
      </c>
      <c r="K1342">
        <v>2.4301779746686218</v>
      </c>
      <c r="L1342">
        <v>0</v>
      </c>
      <c r="M1342">
        <v>1.6663150088608832E-3</v>
      </c>
      <c r="N1342">
        <v>0.15066930355446739</v>
      </c>
      <c r="O1342">
        <v>2.0760559289115667E-2</v>
      </c>
      <c r="P1342">
        <v>2.8672616696693104E-2</v>
      </c>
      <c r="Q1342">
        <v>5.4204114295886129E-3</v>
      </c>
      <c r="R1342">
        <v>1.6447744627649857E-3</v>
      </c>
      <c r="S1342">
        <v>0.26639854419397274</v>
      </c>
      <c r="T1342">
        <v>1.3827408836893591</v>
      </c>
      <c r="U1342">
        <v>0.21033006947380747</v>
      </c>
      <c r="V1342">
        <v>0.24523214119789957</v>
      </c>
      <c r="W1342">
        <v>9.9111267810326198E-2</v>
      </c>
      <c r="X1342">
        <v>1.6387183991594542E-2</v>
      </c>
      <c r="Y1342">
        <v>4.4765338878903597E-3</v>
      </c>
    </row>
    <row r="1343" spans="1:25">
      <c r="A1343" s="1010"/>
      <c r="B1343" s="1351">
        <v>1093</v>
      </c>
      <c r="C1343" s="1014">
        <v>0.98933692638658366</v>
      </c>
      <c r="D1343" s="1014">
        <v>1.0160318360613172</v>
      </c>
      <c r="E1343" s="1014">
        <v>0.95990437336270151</v>
      </c>
      <c r="F1343" s="1014">
        <v>1.0367354597850946</v>
      </c>
      <c r="G1343" s="1014">
        <v>1.0418130216141293</v>
      </c>
      <c r="H1343" s="1014">
        <v>0.99944517459138493</v>
      </c>
      <c r="I1343" s="1014">
        <v>0.99658708133756191</v>
      </c>
      <c r="K1343">
        <v>2.4638870167491929</v>
      </c>
      <c r="L1343">
        <v>0</v>
      </c>
      <c r="M1343">
        <v>1.7956798055478369E-3</v>
      </c>
      <c r="N1343">
        <v>0.14475088382304907</v>
      </c>
      <c r="O1343">
        <v>2.1110970973843662E-2</v>
      </c>
      <c r="P1343">
        <v>2.8417186054876396E-2</v>
      </c>
      <c r="Q1343">
        <v>5.3036947560902671E-3</v>
      </c>
      <c r="R1343">
        <v>1.7719640949824438E-3</v>
      </c>
      <c r="S1343">
        <v>0.25807894816817123</v>
      </c>
      <c r="T1343">
        <v>1.4211310634881815</v>
      </c>
      <c r="U1343">
        <v>0.21411995087556088</v>
      </c>
      <c r="V1343">
        <v>0.25349843262357563</v>
      </c>
      <c r="W1343">
        <v>9.7422028760342019E-2</v>
      </c>
      <c r="X1343">
        <v>1.5254870797330509E-2</v>
      </c>
      <c r="Y1343">
        <v>4.8227021387352879E-3</v>
      </c>
    </row>
    <row r="1344" spans="1:25">
      <c r="A1344" s="1010"/>
      <c r="B1344" s="1351">
        <v>1094</v>
      </c>
      <c r="C1344" s="1014">
        <v>0.97156070893355717</v>
      </c>
      <c r="D1344" s="1014">
        <v>0.99618732998778192</v>
      </c>
      <c r="E1344" s="1014">
        <v>0.99874675381202316</v>
      </c>
      <c r="F1344" s="1014">
        <v>0.97480069027203009</v>
      </c>
      <c r="G1344" s="1014">
        <v>1.0330419450752633</v>
      </c>
      <c r="H1344" s="1014">
        <v>0.98031675287189268</v>
      </c>
      <c r="I1344" s="1014">
        <v>0.9921040557012375</v>
      </c>
      <c r="K1344">
        <v>2.397264860751624</v>
      </c>
      <c r="L1344">
        <v>0</v>
      </c>
      <c r="M1344">
        <v>1.6623324141570685E-3</v>
      </c>
      <c r="N1344">
        <v>0.15067433716846798</v>
      </c>
      <c r="O1344">
        <v>2.1617184103043436E-2</v>
      </c>
      <c r="P1344">
        <v>2.8235537316077284E-2</v>
      </c>
      <c r="Q1344">
        <v>5.6496560662662506E-3</v>
      </c>
      <c r="R1344">
        <v>1.6399494464933056E-3</v>
      </c>
      <c r="S1344">
        <v>0.26287309682475424</v>
      </c>
      <c r="T1344">
        <v>1.3370478344563428</v>
      </c>
      <c r="U1344">
        <v>0.21817380995930516</v>
      </c>
      <c r="V1344">
        <v>0.25300475731808464</v>
      </c>
      <c r="W1344">
        <v>9.9056589207889692E-2</v>
      </c>
      <c r="X1344">
        <v>1.649103951489031E-2</v>
      </c>
      <c r="Y1344">
        <v>4.463401784165032E-3</v>
      </c>
    </row>
    <row r="1345" spans="1:25">
      <c r="A1345" s="1010"/>
      <c r="B1345" s="1351">
        <v>1095</v>
      </c>
      <c r="C1345" s="1014">
        <v>1.0154938159548472</v>
      </c>
      <c r="D1345" s="1014">
        <v>1.0040045175078554</v>
      </c>
      <c r="E1345" s="1014">
        <v>0.99997614268083512</v>
      </c>
      <c r="F1345" s="1014">
        <v>1.0410916581231282</v>
      </c>
      <c r="G1345" s="1014">
        <v>1.0186942662929359</v>
      </c>
      <c r="H1345" s="1014">
        <v>1.0259754551925877</v>
      </c>
      <c r="I1345" s="1014">
        <v>0.99953953385991012</v>
      </c>
      <c r="K1345">
        <v>2.4670329869284311</v>
      </c>
      <c r="L1345">
        <v>0</v>
      </c>
      <c r="M1345">
        <v>1.6573981859094957E-3</v>
      </c>
      <c r="N1345">
        <v>0.15087772902336918</v>
      </c>
      <c r="O1345">
        <v>2.0647232188628146E-2</v>
      </c>
      <c r="P1345">
        <v>2.9211625614162733E-2</v>
      </c>
      <c r="Q1345">
        <v>5.4028337278060109E-3</v>
      </c>
      <c r="R1345">
        <v>1.6360748029641467E-3</v>
      </c>
      <c r="S1345">
        <v>0.25622122532991193</v>
      </c>
      <c r="T1345">
        <v>1.4280009667479017</v>
      </c>
      <c r="U1345">
        <v>0.20873913761202609</v>
      </c>
      <c r="V1345">
        <v>0.24777167745423626</v>
      </c>
      <c r="W1345">
        <v>9.9117816876742523E-2</v>
      </c>
      <c r="X1345">
        <v>1.6611209454835178E-2</v>
      </c>
      <c r="Y1345">
        <v>4.4528562817545587E-3</v>
      </c>
    </row>
    <row r="1346" spans="1:25">
      <c r="A1346" s="1010"/>
      <c r="B1346" s="1351">
        <v>1096</v>
      </c>
      <c r="C1346" s="1014">
        <v>1.0018477340655376</v>
      </c>
      <c r="D1346" s="1014">
        <v>1.0040474345655248</v>
      </c>
      <c r="E1346" s="1014">
        <v>0.99908690404678335</v>
      </c>
      <c r="F1346" s="1014">
        <v>0.98220759480016639</v>
      </c>
      <c r="G1346" s="1014">
        <v>1.0084351204355904</v>
      </c>
      <c r="H1346" s="1014">
        <v>1.0139320892083512</v>
      </c>
      <c r="I1346" s="1014">
        <v>1.0217995644999422</v>
      </c>
      <c r="K1346">
        <v>2.3957116390872026</v>
      </c>
      <c r="L1346">
        <v>0</v>
      </c>
      <c r="M1346">
        <v>1.6633025595147277E-3</v>
      </c>
      <c r="N1346">
        <v>0.15098558649758337</v>
      </c>
      <c r="O1346">
        <v>2.0927681041410868E-2</v>
      </c>
      <c r="P1346">
        <v>2.8228978295615385E-2</v>
      </c>
      <c r="Q1346">
        <v>5.4713257950625548E-3</v>
      </c>
      <c r="R1346">
        <v>1.641649034486028E-3</v>
      </c>
      <c r="S1346">
        <v>0.26443800289760583</v>
      </c>
      <c r="T1346">
        <v>1.3472144542571152</v>
      </c>
      <c r="U1346">
        <v>0.21157932167008653</v>
      </c>
      <c r="V1346">
        <v>0.24685982941564311</v>
      </c>
      <c r="W1346">
        <v>9.9241128845848098E-2</v>
      </c>
      <c r="X1346">
        <v>1.6318956393845584E-2</v>
      </c>
      <c r="Y1346">
        <v>4.468027502412192E-3</v>
      </c>
    </row>
    <row r="1347" spans="1:25">
      <c r="A1347" s="1010"/>
      <c r="B1347" s="1351">
        <v>1097</v>
      </c>
      <c r="C1347" s="1014">
        <v>0.98352948227599379</v>
      </c>
      <c r="D1347" s="1014">
        <v>1.0227852531041532</v>
      </c>
      <c r="E1347" s="1014">
        <v>1.0148418270443653</v>
      </c>
      <c r="F1347" s="1014">
        <v>0.99685738764642962</v>
      </c>
      <c r="G1347" s="1014">
        <v>0.99683841055262323</v>
      </c>
      <c r="H1347" s="1014">
        <v>1.0189457251876617</v>
      </c>
      <c r="I1347" s="1014">
        <v>1.0301788714900693</v>
      </c>
      <c r="K1347">
        <v>2.4342614321577818</v>
      </c>
      <c r="L1347">
        <v>0</v>
      </c>
      <c r="M1347">
        <v>1.6411674939263239E-3</v>
      </c>
      <c r="N1347">
        <v>0.15624522342847641</v>
      </c>
      <c r="O1347">
        <v>2.1241509237436781E-2</v>
      </c>
      <c r="P1347">
        <v>2.8957400236262316E-2</v>
      </c>
      <c r="Q1347">
        <v>5.641676124810896E-3</v>
      </c>
      <c r="R1347">
        <v>1.6199072583134193E-3</v>
      </c>
      <c r="S1347">
        <v>0.26966269746586946</v>
      </c>
      <c r="T1347">
        <v>1.3676485383675068</v>
      </c>
      <c r="U1347">
        <v>0.21557480466701667</v>
      </c>
      <c r="V1347">
        <v>0.24598377867372193</v>
      </c>
      <c r="W1347">
        <v>0.10174627787350013</v>
      </c>
      <c r="X1347">
        <v>1.7171932763945824E-2</v>
      </c>
      <c r="Y1347">
        <v>4.408853554844939E-3</v>
      </c>
    </row>
    <row r="1348" spans="1:25">
      <c r="A1348" s="1010"/>
      <c r="B1348" s="1351">
        <v>1098</v>
      </c>
      <c r="C1348" s="1014">
        <v>0.97011553966651165</v>
      </c>
      <c r="D1348" s="1014">
        <v>0.99134505476331891</v>
      </c>
      <c r="E1348" s="1014">
        <v>0.95817974777626225</v>
      </c>
      <c r="F1348" s="1014">
        <v>0.99465281921365023</v>
      </c>
      <c r="G1348" s="1014">
        <v>0.97935807215757797</v>
      </c>
      <c r="H1348" s="1014">
        <v>0.99702990876711906</v>
      </c>
      <c r="I1348" s="1014">
        <v>0.99544008111021498</v>
      </c>
      <c r="K1348">
        <v>2.4138803530139588</v>
      </c>
      <c r="L1348">
        <v>0</v>
      </c>
      <c r="M1348">
        <v>1.8432851348473415E-3</v>
      </c>
      <c r="N1348">
        <v>0.14780906199801552</v>
      </c>
      <c r="O1348">
        <v>2.1644898448193676E-2</v>
      </c>
      <c r="P1348">
        <v>2.7651419896347815E-2</v>
      </c>
      <c r="Q1348">
        <v>5.4281974091453366E-3</v>
      </c>
      <c r="R1348">
        <v>1.8188817228135968E-3</v>
      </c>
      <c r="S1348">
        <v>0.26591987077383483</v>
      </c>
      <c r="T1348">
        <v>1.3634084510990352</v>
      </c>
      <c r="U1348">
        <v>0.21835638136178226</v>
      </c>
      <c r="V1348">
        <v>0.24407573535305954</v>
      </c>
      <c r="W1348">
        <v>9.9585672025846811E-2</v>
      </c>
      <c r="X1348">
        <v>1.5074671605428403E-2</v>
      </c>
      <c r="Y1348">
        <v>4.9503964552998284E-3</v>
      </c>
    </row>
    <row r="1349" spans="1:25">
      <c r="A1349" s="1010"/>
      <c r="B1349" s="1351">
        <v>1099</v>
      </c>
      <c r="C1349" s="1014">
        <v>0.98353874911923378</v>
      </c>
      <c r="D1349" s="1014">
        <v>0.96788348179892603</v>
      </c>
      <c r="E1349" s="1014">
        <v>1.01251860908695</v>
      </c>
      <c r="F1349" s="1014">
        <v>0.99831914194988602</v>
      </c>
      <c r="G1349" s="1014">
        <v>0.98934495073411011</v>
      </c>
      <c r="H1349" s="1014">
        <v>1.0039128242031456</v>
      </c>
      <c r="I1349" s="1014">
        <v>1.0289236024663431</v>
      </c>
      <c r="K1349">
        <v>2.4399520831202963</v>
      </c>
      <c r="L1349">
        <v>0</v>
      </c>
      <c r="M1349">
        <v>1.6446086372542724E-3</v>
      </c>
      <c r="N1349">
        <v>0.1554482446959749</v>
      </c>
      <c r="O1349">
        <v>2.1499126746161858E-2</v>
      </c>
      <c r="P1349">
        <v>2.8997494315800169E-2</v>
      </c>
      <c r="Q1349">
        <v>5.6968797094782333E-3</v>
      </c>
      <c r="R1349">
        <v>1.6229847990522528E-3</v>
      </c>
      <c r="S1349">
        <v>0.27549222721606692</v>
      </c>
      <c r="T1349">
        <v>1.3696037081388219</v>
      </c>
      <c r="U1349">
        <v>0.21556468231484316</v>
      </c>
      <c r="V1349">
        <v>0.24471209388856791</v>
      </c>
      <c r="W1349">
        <v>0.10136565750926099</v>
      </c>
      <c r="X1349">
        <v>1.7176362817294684E-2</v>
      </c>
      <c r="Y1349">
        <v>4.4172296062250137E-3</v>
      </c>
    </row>
    <row r="1350" spans="1:25">
      <c r="A1350" s="1010"/>
      <c r="B1350" s="1351">
        <v>1100</v>
      </c>
      <c r="C1350" s="1014">
        <v>1.0066851281933638</v>
      </c>
      <c r="D1350" s="1014">
        <v>0.98277918313977219</v>
      </c>
      <c r="E1350" s="1014">
        <v>0.97605541107886529</v>
      </c>
      <c r="F1350" s="1014">
        <v>1.0185738609194714</v>
      </c>
      <c r="G1350" s="1014">
        <v>1.0243738107509652</v>
      </c>
      <c r="H1350" s="1014">
        <v>0.97623001394191522</v>
      </c>
      <c r="I1350" s="1014">
        <v>0.99614308913285921</v>
      </c>
      <c r="K1350">
        <v>2.4239136309977867</v>
      </c>
      <c r="L1350">
        <v>0</v>
      </c>
      <c r="M1350">
        <v>1.6794843014082885E-3</v>
      </c>
      <c r="N1350">
        <v>0.1421254063421872</v>
      </c>
      <c r="O1350">
        <v>2.0910237695134427E-2</v>
      </c>
      <c r="P1350">
        <v>2.8310059986393701E-2</v>
      </c>
      <c r="Q1350">
        <v>5.3408030521821968E-3</v>
      </c>
      <c r="R1350">
        <v>1.6567757196661636E-3</v>
      </c>
      <c r="S1350">
        <v>0.25595096865499206</v>
      </c>
      <c r="T1350">
        <v>1.3965890209125036</v>
      </c>
      <c r="U1350">
        <v>0.21048457703727752</v>
      </c>
      <c r="V1350">
        <v>0.24936896445654755</v>
      </c>
      <c r="W1350">
        <v>9.4717806457676842E-2</v>
      </c>
      <c r="X1350">
        <v>1.5629297631669325E-2</v>
      </c>
      <c r="Y1350">
        <v>4.5091973529620905E-3</v>
      </c>
    </row>
    <row r="1351" spans="1:25">
      <c r="A1351" s="1010"/>
      <c r="B1351" s="1351">
        <v>1101</v>
      </c>
      <c r="C1351" s="1014">
        <v>1.0200857197535007</v>
      </c>
      <c r="D1351" s="1014">
        <v>0.98607053555113888</v>
      </c>
      <c r="E1351" s="1014">
        <v>1.0003938834659678</v>
      </c>
      <c r="F1351" s="1014">
        <v>1.0169715953981884</v>
      </c>
      <c r="G1351" s="1014">
        <v>1.0121732639352194</v>
      </c>
      <c r="H1351" s="1014">
        <v>1.0063121428086781</v>
      </c>
      <c r="I1351" s="1014">
        <v>0.95838025049709896</v>
      </c>
      <c r="K1351">
        <v>2.414737307413473</v>
      </c>
      <c r="L1351">
        <v>0</v>
      </c>
      <c r="M1351">
        <v>1.6233380575310032E-3</v>
      </c>
      <c r="N1351">
        <v>0.14792607811049813</v>
      </c>
      <c r="O1351">
        <v>2.0636226463015953E-2</v>
      </c>
      <c r="P1351">
        <v>2.8587009388922478E-2</v>
      </c>
      <c r="Q1351">
        <v>5.4022215289167589E-3</v>
      </c>
      <c r="R1351">
        <v>1.6020447819141178E-3</v>
      </c>
      <c r="S1351">
        <v>0.24520135483956246</v>
      </c>
      <c r="T1351">
        <v>1.3949261588326896</v>
      </c>
      <c r="U1351">
        <v>0.20780090071364032</v>
      </c>
      <c r="V1351">
        <v>0.24637996926689737</v>
      </c>
      <c r="W1351">
        <v>9.7154634141342899E-2</v>
      </c>
      <c r="X1351">
        <v>1.638380962115463E-2</v>
      </c>
      <c r="Y1351">
        <v>4.360237782449804E-3</v>
      </c>
    </row>
    <row r="1352" spans="1:25">
      <c r="A1352" s="1010"/>
      <c r="B1352" s="1351">
        <v>1102</v>
      </c>
      <c r="C1352" s="1014">
        <v>1.0138150098559779</v>
      </c>
      <c r="D1352" s="1014">
        <v>0.9971926809405377</v>
      </c>
      <c r="E1352" s="1014">
        <v>0.98818516375622545</v>
      </c>
      <c r="F1352" s="1014">
        <v>1.0078383122006913</v>
      </c>
      <c r="G1352" s="1014">
        <v>0.99275336628685584</v>
      </c>
      <c r="H1352" s="1014">
        <v>0.98148641822350546</v>
      </c>
      <c r="I1352" s="1014">
        <v>1.0201223536056236</v>
      </c>
      <c r="K1352">
        <v>2.4059962597122087</v>
      </c>
      <c r="L1352">
        <v>0</v>
      </c>
      <c r="M1352">
        <v>1.629879169302862E-3</v>
      </c>
      <c r="N1352">
        <v>0.14309333393160481</v>
      </c>
      <c r="O1352">
        <v>2.0704704263043376E-2</v>
      </c>
      <c r="P1352">
        <v>2.8316894826871983E-2</v>
      </c>
      <c r="Q1352">
        <v>5.3538302304984567E-3</v>
      </c>
      <c r="R1352">
        <v>1.6079593316403165E-3</v>
      </c>
      <c r="S1352">
        <v>0.25891373734725082</v>
      </c>
      <c r="T1352">
        <v>1.38213270285878</v>
      </c>
      <c r="U1352">
        <v>0.20904507702523689</v>
      </c>
      <c r="V1352">
        <v>0.24348572157167195</v>
      </c>
      <c r="W1352">
        <v>9.4668123355788336E-2</v>
      </c>
      <c r="X1352">
        <v>1.5927718902050296E-2</v>
      </c>
      <c r="Y1352">
        <v>4.3763352370737238E-3</v>
      </c>
    </row>
    <row r="1353" spans="1:25">
      <c r="A1353" s="1010"/>
      <c r="B1353" s="1351">
        <v>1103</v>
      </c>
      <c r="C1353" s="1014">
        <v>0.99161684219436208</v>
      </c>
      <c r="D1353" s="1014">
        <v>1.0013401131985946</v>
      </c>
      <c r="E1353" s="1014">
        <v>0.96470491672275516</v>
      </c>
      <c r="F1353" s="1014">
        <v>1.0454797893075121</v>
      </c>
      <c r="G1353" s="1014">
        <v>0.97271203169992626</v>
      </c>
      <c r="H1353" s="1014">
        <v>1.0113667657699796</v>
      </c>
      <c r="I1353" s="1014">
        <v>1.0318561910130786</v>
      </c>
      <c r="K1353">
        <v>2.4796495224060124</v>
      </c>
      <c r="L1353">
        <v>0</v>
      </c>
      <c r="M1353">
        <v>1.8008265212595884E-3</v>
      </c>
      <c r="N1353">
        <v>0.147315682320251</v>
      </c>
      <c r="O1353">
        <v>2.1133225717263619E-2</v>
      </c>
      <c r="P1353">
        <v>2.8671542592619986E-2</v>
      </c>
      <c r="Q1353">
        <v>5.3355127013158792E-3</v>
      </c>
      <c r="R1353">
        <v>1.7773231901911765E-3</v>
      </c>
      <c r="S1353">
        <v>0.26964000414481054</v>
      </c>
      <c r="T1353">
        <v>1.4332252602280457</v>
      </c>
      <c r="U1353">
        <v>0.21364409395726189</v>
      </c>
      <c r="V1353">
        <v>0.24152241793956047</v>
      </c>
      <c r="W1353">
        <v>9.8857183384026562E-2</v>
      </c>
      <c r="X1353">
        <v>1.5490814922656554E-2</v>
      </c>
      <c r="Y1353">
        <v>4.8372878292681984E-3</v>
      </c>
    </row>
    <row r="1354" spans="1:25">
      <c r="A1354" s="1010"/>
      <c r="B1354" s="1351">
        <v>1104</v>
      </c>
      <c r="C1354" s="1014">
        <v>1.044164311932319</v>
      </c>
      <c r="D1354" s="1014">
        <v>0.99893589785386394</v>
      </c>
      <c r="E1354" s="1014">
        <v>0.97079073543873717</v>
      </c>
      <c r="F1354" s="1014">
        <v>1.040046470959878</v>
      </c>
      <c r="G1354" s="1014">
        <v>0.9706304262875014</v>
      </c>
      <c r="H1354" s="1014">
        <v>1.0023260218170162</v>
      </c>
      <c r="I1354" s="1014">
        <v>0.95400252659915685</v>
      </c>
      <c r="K1354">
        <v>2.4089042314759133</v>
      </c>
      <c r="L1354">
        <v>0</v>
      </c>
      <c r="M1354">
        <v>1.6746439148594432E-3</v>
      </c>
      <c r="N1354">
        <v>0.13952496481711396</v>
      </c>
      <c r="O1354">
        <v>2.0084163634991846E-2</v>
      </c>
      <c r="P1354">
        <v>2.8073554707459935E-2</v>
      </c>
      <c r="Q1354">
        <v>5.1023342298661791E-3</v>
      </c>
      <c r="R1354">
        <v>1.6525903049343098E-3</v>
      </c>
      <c r="S1354">
        <v>0.23637771351853484</v>
      </c>
      <c r="T1354">
        <v>1.4259128169667989</v>
      </c>
      <c r="U1354">
        <v>0.20291229322498194</v>
      </c>
      <c r="V1354">
        <v>0.23797995465672289</v>
      </c>
      <c r="W1354">
        <v>9.3282386761169539E-2</v>
      </c>
      <c r="X1354">
        <v>1.517829653441099E-2</v>
      </c>
      <c r="Y1354">
        <v>4.4978060337835819E-3</v>
      </c>
    </row>
    <row r="1355" spans="1:25">
      <c r="A1355" s="1010"/>
      <c r="B1355" s="1351">
        <v>1105</v>
      </c>
      <c r="C1355" s="1014">
        <v>0.96538459321697767</v>
      </c>
      <c r="D1355" s="1014">
        <v>1.0177938841048924</v>
      </c>
      <c r="E1355" s="1014">
        <v>1.0045923470177613</v>
      </c>
      <c r="F1355" s="1014">
        <v>1.0028218760530641</v>
      </c>
      <c r="G1355" s="1014">
        <v>1.0090619789743756</v>
      </c>
      <c r="H1355" s="1014">
        <v>0.98026136650759732</v>
      </c>
      <c r="I1355" s="1014">
        <v>1.0149618105762175</v>
      </c>
      <c r="K1355">
        <v>2.4410570317089109</v>
      </c>
      <c r="L1355">
        <v>0</v>
      </c>
      <c r="M1355">
        <v>1.6449221643963442E-3</v>
      </c>
      <c r="N1355">
        <v>0.15175236911392129</v>
      </c>
      <c r="O1355">
        <v>2.1657028311925067E-2</v>
      </c>
      <c r="P1355">
        <v>2.8922747828843097E-2</v>
      </c>
      <c r="Q1355">
        <v>5.6933942154214689E-3</v>
      </c>
      <c r="R1355">
        <v>1.6227723707738177E-3</v>
      </c>
      <c r="S1355">
        <v>0.26779641601434101</v>
      </c>
      <c r="T1355">
        <v>1.3756088444170509</v>
      </c>
      <c r="U1355">
        <v>0.21959029569582414</v>
      </c>
      <c r="V1355">
        <v>0.24929942067131691</v>
      </c>
      <c r="W1355">
        <v>9.9419752165488859E-2</v>
      </c>
      <c r="X1355">
        <v>1.6922261621918452E-2</v>
      </c>
      <c r="Y1355">
        <v>4.4166514464780773E-3</v>
      </c>
    </row>
    <row r="1356" spans="1:25">
      <c r="A1356" s="1010"/>
      <c r="B1356" s="1351">
        <v>1106</v>
      </c>
      <c r="C1356" s="1014">
        <v>1.0207090080752352</v>
      </c>
      <c r="D1356" s="1014">
        <v>1.0283820318535219</v>
      </c>
      <c r="E1356" s="1014">
        <v>1.0353239428661121</v>
      </c>
      <c r="F1356" s="1014">
        <v>1.0357312033105643</v>
      </c>
      <c r="G1356" s="1014">
        <v>1.0010232602643316</v>
      </c>
      <c r="H1356" s="1014">
        <v>0.98972917783352066</v>
      </c>
      <c r="I1356" s="1014">
        <v>1.0161239355262395</v>
      </c>
      <c r="K1356">
        <v>2.4489294340129568</v>
      </c>
      <c r="L1356">
        <v>0</v>
      </c>
      <c r="M1356">
        <v>1.4701448438760036E-3</v>
      </c>
      <c r="N1356">
        <v>0.14882325152074288</v>
      </c>
      <c r="O1356">
        <v>2.0456510938620987E-2</v>
      </c>
      <c r="P1356">
        <v>2.9784843530592207E-2</v>
      </c>
      <c r="Q1356">
        <v>5.5446342392372686E-3</v>
      </c>
      <c r="R1356">
        <v>1.4505378971074771E-3</v>
      </c>
      <c r="S1356">
        <v>0.25330699292839748</v>
      </c>
      <c r="T1356">
        <v>1.4214429301892824</v>
      </c>
      <c r="U1356">
        <v>0.207791302868227</v>
      </c>
      <c r="V1356">
        <v>0.24431481521270756</v>
      </c>
      <c r="W1356">
        <v>9.5763286279516677E-2</v>
      </c>
      <c r="X1356">
        <v>1.7772587266161228E-2</v>
      </c>
      <c r="Y1356">
        <v>3.9478859862372827E-3</v>
      </c>
    </row>
    <row r="1357" spans="1:25">
      <c r="A1357" s="1010"/>
      <c r="B1357" s="1351">
        <v>1107</v>
      </c>
      <c r="C1357" s="1014">
        <v>1.0305467377810598</v>
      </c>
      <c r="D1357" s="1014">
        <v>1.015848329500828</v>
      </c>
      <c r="E1357" s="1014">
        <v>0.98654276777848116</v>
      </c>
      <c r="F1357" s="1014">
        <v>0.97622275179518225</v>
      </c>
      <c r="G1357" s="1014">
        <v>1.0241281532331286</v>
      </c>
      <c r="H1357" s="1014">
        <v>1.0033844716449631</v>
      </c>
      <c r="I1357" s="1014">
        <v>1.0239534121169005</v>
      </c>
      <c r="K1357">
        <v>2.3584074683431084</v>
      </c>
      <c r="L1357">
        <v>0</v>
      </c>
      <c r="M1357">
        <v>1.6380803651038598E-3</v>
      </c>
      <c r="N1357">
        <v>0.14314342360195537</v>
      </c>
      <c r="O1357">
        <v>2.028460618619404E-2</v>
      </c>
      <c r="P1357">
        <v>2.765760259812404E-2</v>
      </c>
      <c r="Q1357">
        <v>5.236488165200978E-3</v>
      </c>
      <c r="R1357">
        <v>1.6165310214290094E-3</v>
      </c>
      <c r="S1357">
        <v>0.25513069165273583</v>
      </c>
      <c r="T1357">
        <v>1.3387410610289283</v>
      </c>
      <c r="U1357">
        <v>0.20564563086436183</v>
      </c>
      <c r="V1357">
        <v>0.2478525968626652</v>
      </c>
      <c r="W1357">
        <v>9.4794678545580685E-2</v>
      </c>
      <c r="X1357">
        <v>1.5542573630011144E-2</v>
      </c>
      <c r="Y1357">
        <v>4.3996645510217675E-3</v>
      </c>
    </row>
    <row r="1358" spans="1:25">
      <c r="A1358" s="1010"/>
      <c r="B1358" s="1351">
        <v>1108</v>
      </c>
      <c r="C1358" s="1014">
        <v>1.0266105306107338</v>
      </c>
      <c r="D1358" s="1014">
        <v>0.97742837528965576</v>
      </c>
      <c r="E1358" s="1014">
        <v>0.98681109935062317</v>
      </c>
      <c r="F1358" s="1014">
        <v>0.97051500697959181</v>
      </c>
      <c r="G1358" s="1014">
        <v>1.0317332374642993</v>
      </c>
      <c r="H1358" s="1014">
        <v>1.0216504420120385</v>
      </c>
      <c r="I1358" s="1014">
        <v>0.99948679521728567</v>
      </c>
      <c r="K1358">
        <v>2.3620744952350261</v>
      </c>
      <c r="L1358">
        <v>0</v>
      </c>
      <c r="M1358">
        <v>1.6876196499784222E-3</v>
      </c>
      <c r="N1358">
        <v>0.14762730337205132</v>
      </c>
      <c r="O1358">
        <v>2.0536002190940771E-2</v>
      </c>
      <c r="P1358">
        <v>2.7605823132055632E-2</v>
      </c>
      <c r="Q1358">
        <v>5.302826949992792E-3</v>
      </c>
      <c r="R1358">
        <v>1.6658155349419071E-3</v>
      </c>
      <c r="S1358">
        <v>0.25638646307429636</v>
      </c>
      <c r="T1358">
        <v>1.3309193740055145</v>
      </c>
      <c r="U1358">
        <v>0.20643500429791034</v>
      </c>
      <c r="V1358">
        <v>0.24938288252365526</v>
      </c>
      <c r="W1358">
        <v>9.7748308207387752E-2</v>
      </c>
      <c r="X1358">
        <v>1.5618510846087888E-2</v>
      </c>
      <c r="Y1358">
        <v>4.5338007501683607E-3</v>
      </c>
    </row>
    <row r="1359" spans="1:25">
      <c r="A1359" s="1010"/>
      <c r="B1359" s="1351">
        <v>1109</v>
      </c>
      <c r="C1359" s="1014">
        <v>0.98122701671188062</v>
      </c>
      <c r="D1359" s="1014">
        <v>1.0349928464682883</v>
      </c>
      <c r="E1359" s="1014">
        <v>0.96925153828567345</v>
      </c>
      <c r="F1359" s="1014">
        <v>0.98990787830891669</v>
      </c>
      <c r="G1359" s="1014">
        <v>0.98386459808406601</v>
      </c>
      <c r="H1359" s="1014">
        <v>0.97086134936869206</v>
      </c>
      <c r="I1359" s="1014">
        <v>1.0219768687819331</v>
      </c>
      <c r="K1359">
        <v>2.3910358669368752</v>
      </c>
      <c r="L1359">
        <v>0</v>
      </c>
      <c r="M1359">
        <v>1.7181541106839841E-3</v>
      </c>
      <c r="N1359">
        <v>0.14242284531950364</v>
      </c>
      <c r="O1359">
        <v>2.1205284418696346E-2</v>
      </c>
      <c r="P1359">
        <v>2.7719507625871963E-2</v>
      </c>
      <c r="Q1359">
        <v>5.3786841263958867E-3</v>
      </c>
      <c r="R1359">
        <v>1.6947942030073086E-3</v>
      </c>
      <c r="S1359">
        <v>0.26196430645946622</v>
      </c>
      <c r="T1359">
        <v>1.3571396193545511</v>
      </c>
      <c r="U1359">
        <v>0.21592204022454486</v>
      </c>
      <c r="V1359">
        <v>0.24407832973609922</v>
      </c>
      <c r="W1359">
        <v>9.530906935072847E-2</v>
      </c>
      <c r="X1359">
        <v>1.5306869096864836E-2</v>
      </c>
      <c r="Y1359">
        <v>4.6126711318270237E-3</v>
      </c>
    </row>
    <row r="1360" spans="1:25">
      <c r="A1360" s="1010"/>
      <c r="B1360" s="1351">
        <v>1110</v>
      </c>
      <c r="C1360" s="1014">
        <v>1.0051117738159996</v>
      </c>
      <c r="D1360" s="1014">
        <v>0.98725795072657307</v>
      </c>
      <c r="E1360" s="1014">
        <v>0.96594654355335374</v>
      </c>
      <c r="F1360" s="1014">
        <v>0.9961278300375801</v>
      </c>
      <c r="G1360" s="1014">
        <v>0.97040769837425744</v>
      </c>
      <c r="H1360" s="1014">
        <v>0.99978306628482572</v>
      </c>
      <c r="I1360" s="1014">
        <v>1.0382810004074527</v>
      </c>
      <c r="K1360">
        <v>2.4000132196882502</v>
      </c>
      <c r="L1360">
        <v>0</v>
      </c>
      <c r="M1360">
        <v>1.7572734460339747E-3</v>
      </c>
      <c r="N1360">
        <v>0.1442723808857333</v>
      </c>
      <c r="O1360">
        <v>2.0915368242655594E-2</v>
      </c>
      <c r="P1360">
        <v>2.7730723773852446E-2</v>
      </c>
      <c r="Q1360">
        <v>5.2872331020330865E-3</v>
      </c>
      <c r="R1360">
        <v>1.7340728154906996E-3</v>
      </c>
      <c r="S1360">
        <v>0.26857118114145362</v>
      </c>
      <c r="T1360">
        <v>1.3655962999097129</v>
      </c>
      <c r="U1360">
        <v>0.21077984299988664</v>
      </c>
      <c r="V1360">
        <v>0.2402797543155083</v>
      </c>
      <c r="W1360">
        <v>9.6741548405377395E-2</v>
      </c>
      <c r="X1360">
        <v>1.5142512975761984E-2</v>
      </c>
      <c r="Y1360">
        <v>4.7195745668156888E-3</v>
      </c>
    </row>
    <row r="1361" spans="1:25">
      <c r="A1361" s="1010"/>
      <c r="B1361" s="1351">
        <v>1111</v>
      </c>
      <c r="C1361" s="1014">
        <v>1.0003382269006071</v>
      </c>
      <c r="D1361" s="1014">
        <v>0.99895509195013554</v>
      </c>
      <c r="E1361" s="1014">
        <v>0.96888353828719387</v>
      </c>
      <c r="F1361" s="1014">
        <v>0.97650244670823694</v>
      </c>
      <c r="G1361" s="1014">
        <v>1.012605308021663</v>
      </c>
      <c r="H1361" s="1014">
        <v>1.0241634179107011</v>
      </c>
      <c r="I1361" s="1014">
        <v>0.98541885476363067</v>
      </c>
      <c r="K1361">
        <v>2.3766175115161459</v>
      </c>
      <c r="L1361">
        <v>0</v>
      </c>
      <c r="M1361">
        <v>1.7931341948613773E-3</v>
      </c>
      <c r="N1361">
        <v>0.1485791301779027</v>
      </c>
      <c r="O1361">
        <v>2.096272825378772E-2</v>
      </c>
      <c r="P1361">
        <v>2.7390319606699184E-2</v>
      </c>
      <c r="Q1361">
        <v>5.3151595929613223E-3</v>
      </c>
      <c r="R1361">
        <v>1.7700236730361018E-3</v>
      </c>
      <c r="S1361">
        <v>0.25666968683933489</v>
      </c>
      <c r="T1361">
        <v>1.3387533767673019</v>
      </c>
      <c r="U1361">
        <v>0.21179565281466212</v>
      </c>
      <c r="V1361">
        <v>0.24777785385011952</v>
      </c>
      <c r="W1361">
        <v>9.9451131039582558E-2</v>
      </c>
      <c r="X1361">
        <v>1.5128162145758671E-2</v>
      </c>
      <c r="Y1361">
        <v>4.8174209498572677E-3</v>
      </c>
    </row>
    <row r="1362" spans="1:25">
      <c r="A1362" s="1010"/>
      <c r="B1362" s="1351">
        <v>1112</v>
      </c>
      <c r="C1362" s="1014">
        <v>0.9857283150474736</v>
      </c>
      <c r="D1362" s="1014">
        <v>0.97056115049224123</v>
      </c>
      <c r="E1362" s="1014">
        <v>1.0119049881203968</v>
      </c>
      <c r="F1362" s="1014">
        <v>0.9880806269842638</v>
      </c>
      <c r="G1362" s="1014">
        <v>0.98912017063870761</v>
      </c>
      <c r="H1362" s="1014">
        <v>1.0153384956832197</v>
      </c>
      <c r="I1362" s="1014">
        <v>0.97237839054160147</v>
      </c>
      <c r="K1362">
        <v>2.4115981693185464</v>
      </c>
      <c r="L1362">
        <v>0</v>
      </c>
      <c r="M1362">
        <v>1.660739535097562E-3</v>
      </c>
      <c r="N1362">
        <v>0.15670594771692978</v>
      </c>
      <c r="O1362">
        <v>2.1437920737097001E-2</v>
      </c>
      <c r="P1362">
        <v>2.8573583980551456E-2</v>
      </c>
      <c r="Q1362">
        <v>5.6771820263999909E-3</v>
      </c>
      <c r="R1362">
        <v>1.6391493239090791E-3</v>
      </c>
      <c r="S1362">
        <v>0.26037269045130429</v>
      </c>
      <c r="T1362">
        <v>1.3555442450335964</v>
      </c>
      <c r="U1362">
        <v>0.21508372369015005</v>
      </c>
      <c r="V1362">
        <v>0.24453491024152338</v>
      </c>
      <c r="W1362">
        <v>0.10222270527875753</v>
      </c>
      <c r="X1362">
        <v>1.7005626259175649E-2</v>
      </c>
      <c r="Y1362">
        <v>4.4612241142511083E-3</v>
      </c>
    </row>
    <row r="1363" spans="1:25">
      <c r="A1363" s="1010"/>
      <c r="B1363" s="1351">
        <v>1113</v>
      </c>
      <c r="C1363" s="1014">
        <v>0.99532572391403051</v>
      </c>
      <c r="D1363" s="1014">
        <v>0.99289319102470719</v>
      </c>
      <c r="E1363" s="1014">
        <v>1.044815671826216</v>
      </c>
      <c r="F1363" s="1014">
        <v>0.962350710992949</v>
      </c>
      <c r="G1363" s="1014">
        <v>0.99744726721790722</v>
      </c>
      <c r="H1363" s="1014">
        <v>0.98318920154651779</v>
      </c>
      <c r="I1363" s="1014">
        <v>1.0050738884489152</v>
      </c>
      <c r="K1363">
        <v>2.3706663196764541</v>
      </c>
      <c r="L1363">
        <v>0</v>
      </c>
      <c r="M1363">
        <v>1.4796890677714388E-3</v>
      </c>
      <c r="N1363">
        <v>0.15412021429862119</v>
      </c>
      <c r="O1363">
        <v>2.1147288360514865E-2</v>
      </c>
      <c r="P1363">
        <v>2.8768516178048174E-2</v>
      </c>
      <c r="Q1363">
        <v>5.7856106457890794E-3</v>
      </c>
      <c r="R1363">
        <v>1.4598235639677339E-3</v>
      </c>
      <c r="S1363">
        <v>0.26101293579770213</v>
      </c>
      <c r="T1363">
        <v>1.3209342393429557</v>
      </c>
      <c r="U1363">
        <v>0.21312329007384162</v>
      </c>
      <c r="V1363">
        <v>0.24523209903940477</v>
      </c>
      <c r="W1363">
        <v>9.8631087616986052E-2</v>
      </c>
      <c r="X1363">
        <v>1.7957745315980995E-2</v>
      </c>
      <c r="Y1363">
        <v>3.9731585104116427E-3</v>
      </c>
    </row>
    <row r="1364" spans="1:25">
      <c r="A1364" s="1010"/>
      <c r="B1364" s="1351">
        <v>1114</v>
      </c>
      <c r="C1364" s="1014">
        <v>0.99099401585905023</v>
      </c>
      <c r="D1364" s="1014">
        <v>0.98433164185045352</v>
      </c>
      <c r="E1364" s="1014">
        <v>1.03377110806341</v>
      </c>
      <c r="F1364" s="1014">
        <v>1.0121520584226358</v>
      </c>
      <c r="G1364" s="1014">
        <v>1.0122107411452059</v>
      </c>
      <c r="H1364" s="1014">
        <v>1.0223929059781078</v>
      </c>
      <c r="I1364" s="1014">
        <v>0.97054477435524045</v>
      </c>
      <c r="K1364">
        <v>2.4499018620106883</v>
      </c>
      <c r="L1364">
        <v>0</v>
      </c>
      <c r="M1364">
        <v>1.5844611101085801E-3</v>
      </c>
      <c r="N1364">
        <v>0.15971563866824731</v>
      </c>
      <c r="O1364">
        <v>2.1272764424079292E-2</v>
      </c>
      <c r="P1364">
        <v>2.9495698631665374E-2</v>
      </c>
      <c r="Q1364">
        <v>5.7570522171974826E-3</v>
      </c>
      <c r="R1364">
        <v>1.5640046739392912E-3</v>
      </c>
      <c r="S1364">
        <v>0.25744633192996852</v>
      </c>
      <c r="T1364">
        <v>1.3890485678166089</v>
      </c>
      <c r="U1364">
        <v>0.21401654884859558</v>
      </c>
      <c r="V1364">
        <v>0.24806285362199645</v>
      </c>
      <c r="W1364">
        <v>0.10286455857273953</v>
      </c>
      <c r="X1364">
        <v>1.7985598567296649E-2</v>
      </c>
      <c r="Y1364">
        <v>4.2567051484605507E-3</v>
      </c>
    </row>
    <row r="1365" spans="1:25">
      <c r="A1365" s="1010"/>
      <c r="B1365" s="1351">
        <v>1115</v>
      </c>
      <c r="C1365" s="1014">
        <v>0.99734648466520992</v>
      </c>
      <c r="D1365" s="1014">
        <v>1.0048233807392546</v>
      </c>
      <c r="E1365" s="1014">
        <v>0.98051787885677877</v>
      </c>
      <c r="F1365" s="1014">
        <v>1.0395169077937971</v>
      </c>
      <c r="G1365" s="1014">
        <v>0.99766179603738081</v>
      </c>
      <c r="H1365" s="1014">
        <v>0.98244274958583877</v>
      </c>
      <c r="I1365" s="1014">
        <v>0.99416738879764632</v>
      </c>
      <c r="K1365">
        <v>2.454570266446841</v>
      </c>
      <c r="L1365">
        <v>0</v>
      </c>
      <c r="M1365">
        <v>1.6821041505227039E-3</v>
      </c>
      <c r="N1365">
        <v>0.14429485266608724</v>
      </c>
      <c r="O1365">
        <v>2.1006236340607724E-2</v>
      </c>
      <c r="P1365">
        <v>2.8761034583128807E-2</v>
      </c>
      <c r="Q1365">
        <v>5.389736404072914E-3</v>
      </c>
      <c r="R1365">
        <v>1.6595039730831168E-3</v>
      </c>
      <c r="S1365">
        <v>0.25553137030644846</v>
      </c>
      <c r="T1365">
        <v>1.4254043724259635</v>
      </c>
      <c r="U1365">
        <v>0.21247068805562735</v>
      </c>
      <c r="V1365">
        <v>0.24536806622224688</v>
      </c>
      <c r="W1365">
        <v>9.590448891930968E-2</v>
      </c>
      <c r="X1365">
        <v>1.5945397941390119E-2</v>
      </c>
      <c r="Y1365">
        <v>4.5166227593945417E-3</v>
      </c>
    </row>
    <row r="1366" spans="1:25">
      <c r="A1366" s="1010"/>
      <c r="B1366" s="1351">
        <v>1116</v>
      </c>
      <c r="C1366" s="1014">
        <v>1.0096555914173719</v>
      </c>
      <c r="D1366" s="1014">
        <v>1.0334739154491286</v>
      </c>
      <c r="E1366" s="1014">
        <v>0.99616246927361318</v>
      </c>
      <c r="F1366" s="1014">
        <v>1.0086245024932683</v>
      </c>
      <c r="G1366" s="1014">
        <v>1.0000005385545456</v>
      </c>
      <c r="H1366" s="1014">
        <v>1.0076559582891191</v>
      </c>
      <c r="I1366" s="1014">
        <v>0.98949741223645027</v>
      </c>
      <c r="K1366">
        <v>2.4078641927881028</v>
      </c>
      <c r="L1366">
        <v>0</v>
      </c>
      <c r="M1366">
        <v>1.6397464528294299E-3</v>
      </c>
      <c r="N1366">
        <v>0.14752561778001233</v>
      </c>
      <c r="O1366">
        <v>2.0632386046540444E-2</v>
      </c>
      <c r="P1366">
        <v>2.8413744947418461E-2</v>
      </c>
      <c r="Q1366">
        <v>5.3782699832662885E-3</v>
      </c>
      <c r="R1366">
        <v>1.6182666326518709E-3</v>
      </c>
      <c r="S1366">
        <v>0.24993245532257424</v>
      </c>
      <c r="T1366">
        <v>1.3833846174984712</v>
      </c>
      <c r="U1366">
        <v>0.20993324171399064</v>
      </c>
      <c r="V1366">
        <v>0.24494833660958426</v>
      </c>
      <c r="W1366">
        <v>9.7135934422130227E-2</v>
      </c>
      <c r="X1366">
        <v>1.6196679971663887E-2</v>
      </c>
      <c r="Y1366">
        <v>4.4043883126263107E-3</v>
      </c>
    </row>
    <row r="1367" spans="1:25">
      <c r="A1367" s="1010"/>
      <c r="B1367" s="1351">
        <v>1117</v>
      </c>
      <c r="C1367" s="1014">
        <v>0.98877273573163549</v>
      </c>
      <c r="D1367" s="1014">
        <v>0.98518811497173886</v>
      </c>
      <c r="E1367" s="1014">
        <v>1.0378122125893012</v>
      </c>
      <c r="F1367" s="1014">
        <v>1.0295141984475971</v>
      </c>
      <c r="G1367" s="1014">
        <v>1.0121636868115835</v>
      </c>
      <c r="H1367" s="1014">
        <v>1.0058697208305887</v>
      </c>
      <c r="I1367" s="1014">
        <v>1.0262632915267293</v>
      </c>
      <c r="K1367">
        <v>2.4861838358015738</v>
      </c>
      <c r="L1367">
        <v>0</v>
      </c>
      <c r="M1367">
        <v>1.548947551100574E-3</v>
      </c>
      <c r="N1367">
        <v>0.1580147651711763</v>
      </c>
      <c r="O1367">
        <v>2.1319210591636353E-2</v>
      </c>
      <c r="P1367">
        <v>3.0120288447861705E-2</v>
      </c>
      <c r="Q1367">
        <v>5.7926467246598575E-3</v>
      </c>
      <c r="R1367">
        <v>1.528621117026744E-3</v>
      </c>
      <c r="S1367">
        <v>0.2712885780486014</v>
      </c>
      <c r="T1367">
        <v>1.4129664763700964</v>
      </c>
      <c r="U1367">
        <v>0.21451138259450739</v>
      </c>
      <c r="V1367">
        <v>0.24818221890812256</v>
      </c>
      <c r="W1367">
        <v>0.10153174687042589</v>
      </c>
      <c r="X1367">
        <v>1.831644573782976E-2</v>
      </c>
      <c r="Y1367">
        <v>4.1604027707309987E-3</v>
      </c>
    </row>
    <row r="1368" spans="1:25">
      <c r="A1368" s="1010"/>
      <c r="B1368" s="1351">
        <v>1118</v>
      </c>
      <c r="C1368" s="1014">
        <v>1.0309508354340768</v>
      </c>
      <c r="D1368" s="1014">
        <v>1.0196094688039123</v>
      </c>
      <c r="E1368" s="1014">
        <v>1.0256588111103377</v>
      </c>
      <c r="F1368" s="1014">
        <v>1.0438806207733708</v>
      </c>
      <c r="G1368" s="1014">
        <v>0.97852158247975629</v>
      </c>
      <c r="H1368" s="1014">
        <v>1.0025845998742491</v>
      </c>
      <c r="I1368" s="1014">
        <v>1.0019591388420943</v>
      </c>
      <c r="K1368">
        <v>2.4481972212107372</v>
      </c>
      <c r="L1368">
        <v>0</v>
      </c>
      <c r="M1368">
        <v>1.5072824285026034E-3</v>
      </c>
      <c r="N1368">
        <v>0.14822699701206882</v>
      </c>
      <c r="O1368">
        <v>2.0285273258587051E-2</v>
      </c>
      <c r="P1368">
        <v>2.9583482606722535E-2</v>
      </c>
      <c r="Q1368">
        <v>5.4459450585576472E-3</v>
      </c>
      <c r="R1368">
        <v>1.487437943838922E-3</v>
      </c>
      <c r="S1368">
        <v>0.24933627413948126</v>
      </c>
      <c r="T1368">
        <v>1.432407727869019</v>
      </c>
      <c r="U1368">
        <v>0.20569483815802081</v>
      </c>
      <c r="V1368">
        <v>0.23990118143533004</v>
      </c>
      <c r="W1368">
        <v>9.5916027821478275E-2</v>
      </c>
      <c r="X1368">
        <v>1.7371002586789145E-2</v>
      </c>
      <c r="Y1368">
        <v>4.048315749343139E-3</v>
      </c>
    </row>
    <row r="1369" spans="1:25">
      <c r="A1369" s="1010"/>
      <c r="B1369" s="1351">
        <v>1119</v>
      </c>
      <c r="C1369" s="1014">
        <v>0.98372499129798574</v>
      </c>
      <c r="D1369" s="1014">
        <v>1.0290332445768957</v>
      </c>
      <c r="E1369" s="1014">
        <v>0.98484586624690207</v>
      </c>
      <c r="F1369" s="1014">
        <v>1.0010403268184003</v>
      </c>
      <c r="G1369" s="1014">
        <v>1.0127852011658363</v>
      </c>
      <c r="H1369" s="1014">
        <v>1.0440563663845215</v>
      </c>
      <c r="I1369" s="1014">
        <v>1.0300486929677282</v>
      </c>
      <c r="K1369">
        <v>2.4420660721413165</v>
      </c>
      <c r="L1369">
        <v>0</v>
      </c>
      <c r="M1369">
        <v>1.7868121250969721E-3</v>
      </c>
      <c r="N1369">
        <v>0.15542172198604318</v>
      </c>
      <c r="O1369">
        <v>2.1188742697916329E-2</v>
      </c>
      <c r="P1369">
        <v>2.8436154860834444E-2</v>
      </c>
      <c r="Q1369">
        <v>5.4604955971679064E-3</v>
      </c>
      <c r="R1369">
        <v>1.7642218685334399E-3</v>
      </c>
      <c r="S1369">
        <v>0.27072900601825428</v>
      </c>
      <c r="T1369">
        <v>1.3727379598625298</v>
      </c>
      <c r="U1369">
        <v>0.21542773512362784</v>
      </c>
      <c r="V1369">
        <v>0.24880212839793212</v>
      </c>
      <c r="W1369">
        <v>0.10303084514193708</v>
      </c>
      <c r="X1369">
        <v>1.6052242361069793E-2</v>
      </c>
      <c r="Y1369">
        <v>4.8016303505653635E-3</v>
      </c>
    </row>
    <row r="1370" spans="1:25">
      <c r="A1370" s="1010"/>
      <c r="B1370" s="1351">
        <v>1120</v>
      </c>
      <c r="C1370" s="1014">
        <v>0.98597062167092331</v>
      </c>
      <c r="D1370" s="1014">
        <v>1.008400598724807</v>
      </c>
      <c r="E1370" s="1014">
        <v>0.99106668642274742</v>
      </c>
      <c r="F1370" s="1014">
        <v>1.0340610992234904</v>
      </c>
      <c r="G1370" s="1014">
        <v>0.99919654514623257</v>
      </c>
      <c r="H1370" s="1014">
        <v>1.015030877129653</v>
      </c>
      <c r="I1370" s="1014">
        <v>0.98615823884225251</v>
      </c>
      <c r="K1370">
        <v>2.4678222571698614</v>
      </c>
      <c r="L1370">
        <v>0</v>
      </c>
      <c r="M1370">
        <v>1.7186426585378729E-3</v>
      </c>
      <c r="N1370">
        <v>0.15227510614674308</v>
      </c>
      <c r="O1370">
        <v>2.123906606007725E-2</v>
      </c>
      <c r="P1370">
        <v>2.8983529097758511E-2</v>
      </c>
      <c r="Q1370">
        <v>5.5080280620235858E-3</v>
      </c>
      <c r="R1370">
        <v>1.6962929145878157E-3</v>
      </c>
      <c r="S1370">
        <v>0.25879265264262263</v>
      </c>
      <c r="T1370">
        <v>1.4181585057675785</v>
      </c>
      <c r="U1370">
        <v>0.21495860592700969</v>
      </c>
      <c r="V1370">
        <v>0.24631370768942251</v>
      </c>
      <c r="W1370">
        <v>0.10056882407581892</v>
      </c>
      <c r="X1370">
        <v>1.6429831314056415E-2</v>
      </c>
      <c r="Y1370">
        <v>4.6167501306990238E-3</v>
      </c>
    </row>
    <row r="1371" spans="1:25">
      <c r="A1371" s="1010"/>
      <c r="B1371" s="1351">
        <v>1121</v>
      </c>
      <c r="C1371" s="1014">
        <v>0.97585811433112224</v>
      </c>
      <c r="D1371" s="1014">
        <v>0.96651476604159359</v>
      </c>
      <c r="E1371" s="1014">
        <v>1.01243554382934</v>
      </c>
      <c r="F1371" s="1014">
        <v>1.0112335432512023</v>
      </c>
      <c r="G1371" s="1014">
        <v>0.99795135439641836</v>
      </c>
      <c r="H1371" s="1014">
        <v>0.98090174907708583</v>
      </c>
      <c r="I1371" s="1014">
        <v>0.98475729424870884</v>
      </c>
      <c r="K1371">
        <v>2.4462122777475579</v>
      </c>
      <c r="L1371">
        <v>0</v>
      </c>
      <c r="M1371">
        <v>1.6203433583608839E-3</v>
      </c>
      <c r="N1371">
        <v>0.15306843992833796</v>
      </c>
      <c r="O1371">
        <v>2.1675028798729606E-2</v>
      </c>
      <c r="P1371">
        <v>2.9131056529074103E-2</v>
      </c>
      <c r="Q1371">
        <v>5.7430143306162569E-3</v>
      </c>
      <c r="R1371">
        <v>1.5985387764987915E-3</v>
      </c>
      <c r="S1371">
        <v>0.26394024682139006</v>
      </c>
      <c r="T1371">
        <v>1.3873192792309452</v>
      </c>
      <c r="U1371">
        <v>0.21726102432502645</v>
      </c>
      <c r="V1371">
        <v>0.24668099568059171</v>
      </c>
      <c r="W1371">
        <v>9.9818699255557794E-2</v>
      </c>
      <c r="X1371">
        <v>1.7245601837686208E-2</v>
      </c>
      <c r="Y1371">
        <v>4.3506955914636601E-3</v>
      </c>
    </row>
    <row r="1372" spans="1:25">
      <c r="A1372" s="1010"/>
      <c r="B1372" s="1351">
        <v>1122</v>
      </c>
      <c r="C1372" s="1014">
        <v>0.97344075811365161</v>
      </c>
      <c r="D1372" s="1014">
        <v>1.0223401874022933</v>
      </c>
      <c r="E1372" s="1014">
        <v>0.97404092785164786</v>
      </c>
      <c r="F1372" s="1014">
        <v>1.021758105036052</v>
      </c>
      <c r="G1372" s="1014">
        <v>1.001842312210327</v>
      </c>
      <c r="H1372" s="1014">
        <v>1.0188494589862283</v>
      </c>
      <c r="I1372" s="1014">
        <v>1.029409172159905</v>
      </c>
      <c r="K1372">
        <v>2.4675366002354826</v>
      </c>
      <c r="L1372">
        <v>0</v>
      </c>
      <c r="M1372">
        <v>1.8044916592569651E-3</v>
      </c>
      <c r="N1372">
        <v>0.15186284530503444</v>
      </c>
      <c r="O1372">
        <v>2.1436053444850726E-2</v>
      </c>
      <c r="P1372">
        <v>2.861162784153971E-2</v>
      </c>
      <c r="Q1372">
        <v>5.4638748641187545E-3</v>
      </c>
      <c r="R1372">
        <v>1.7811134587978335E-3</v>
      </c>
      <c r="S1372">
        <v>0.27195320939341122</v>
      </c>
      <c r="T1372">
        <v>1.4009107206088118</v>
      </c>
      <c r="U1372">
        <v>0.21766587587701067</v>
      </c>
      <c r="V1372">
        <v>0.2476418670720297</v>
      </c>
      <c r="W1372">
        <v>0.10133087573393074</v>
      </c>
      <c r="X1372">
        <v>1.5835424604250112E-2</v>
      </c>
      <c r="Y1372">
        <v>4.8476036909538087E-3</v>
      </c>
    </row>
    <row r="1373" spans="1:25">
      <c r="A1373" s="1010"/>
      <c r="B1373" s="1351">
        <v>1123</v>
      </c>
      <c r="C1373" s="1014">
        <v>0.99242336031058453</v>
      </c>
      <c r="D1373" s="1014">
        <v>0.9967951758616469</v>
      </c>
      <c r="E1373" s="1014">
        <v>1.0045368315672325</v>
      </c>
      <c r="F1373" s="1014">
        <v>0.99423948127041473</v>
      </c>
      <c r="G1373" s="1014">
        <v>1.016314441182024</v>
      </c>
      <c r="H1373" s="1014">
        <v>0.98212408610009017</v>
      </c>
      <c r="I1373" s="1014">
        <v>0.98435569675225254</v>
      </c>
      <c r="K1373">
        <v>2.4037450941832685</v>
      </c>
      <c r="L1373">
        <v>0</v>
      </c>
      <c r="M1373">
        <v>1.6107017104428612E-3</v>
      </c>
      <c r="N1373">
        <v>0.14857429313605691</v>
      </c>
      <c r="O1373">
        <v>2.116378527234454E-2</v>
      </c>
      <c r="P1373">
        <v>2.8502297907397479E-2</v>
      </c>
      <c r="Q1373">
        <v>5.5634163718628494E-3</v>
      </c>
      <c r="R1373">
        <v>1.5890538501622516E-3</v>
      </c>
      <c r="S1373">
        <v>0.25545814098969222</v>
      </c>
      <c r="T1373">
        <v>1.3638348527422377</v>
      </c>
      <c r="U1373">
        <v>0.2136073241148195</v>
      </c>
      <c r="V1373">
        <v>0.24877695944146574</v>
      </c>
      <c r="W1373">
        <v>9.7340852897580474E-2</v>
      </c>
      <c r="X1373">
        <v>1.6619938421411219E-2</v>
      </c>
      <c r="Y1373">
        <v>4.3248807486807256E-3</v>
      </c>
    </row>
    <row r="1374" spans="1:25">
      <c r="A1374" s="1010"/>
      <c r="B1374" s="1351">
        <v>1124</v>
      </c>
      <c r="C1374" s="1014">
        <v>0.99563788748918403</v>
      </c>
      <c r="D1374" s="1014">
        <v>1.0282023519393024</v>
      </c>
      <c r="E1374" s="1014">
        <v>0.98298781435725846</v>
      </c>
      <c r="F1374" s="1014">
        <v>1.0113423552329548</v>
      </c>
      <c r="G1374" s="1014">
        <v>0.99945371404253269</v>
      </c>
      <c r="H1374" s="1014">
        <v>0.97636061256689366</v>
      </c>
      <c r="I1374" s="1014">
        <v>0.97756287336687642</v>
      </c>
      <c r="K1374">
        <v>2.406850021027958</v>
      </c>
      <c r="L1374">
        <v>0</v>
      </c>
      <c r="M1374">
        <v>1.6576173666691682E-3</v>
      </c>
      <c r="N1374">
        <v>0.14324865211290072</v>
      </c>
      <c r="O1374">
        <v>2.0937710411025687E-2</v>
      </c>
      <c r="P1374">
        <v>2.8208570615399175E-2</v>
      </c>
      <c r="Q1374">
        <v>5.3856443865379451E-3</v>
      </c>
      <c r="R1374">
        <v>1.6352074492916912E-3</v>
      </c>
      <c r="S1374">
        <v>0.24832960795750691</v>
      </c>
      <c r="T1374">
        <v>1.3868247402277045</v>
      </c>
      <c r="U1374">
        <v>0.21284376036927227</v>
      </c>
      <c r="V1374">
        <v>0.2457725657593065</v>
      </c>
      <c r="W1374">
        <v>9.5067446849509352E-2</v>
      </c>
      <c r="X1374">
        <v>1.5803236625189919E-2</v>
      </c>
      <c r="Y1374">
        <v>4.4504956309811957E-3</v>
      </c>
    </row>
    <row r="1375" spans="1:25">
      <c r="A1375" s="1010"/>
      <c r="B1375" s="1351">
        <v>1125</v>
      </c>
      <c r="C1375" s="1014">
        <v>0.99732212243928675</v>
      </c>
      <c r="D1375" s="1014">
        <v>1.0161822418441768</v>
      </c>
      <c r="E1375" s="1014">
        <v>0.9836447513520068</v>
      </c>
      <c r="F1375" s="1014">
        <v>1.0181179823053672</v>
      </c>
      <c r="G1375" s="1014">
        <v>1.0140556247459744</v>
      </c>
      <c r="H1375" s="1014">
        <v>1.0081098758732232</v>
      </c>
      <c r="I1375" s="1014">
        <v>0.98671248918064536</v>
      </c>
      <c r="K1375">
        <v>2.4329714053857714</v>
      </c>
      <c r="L1375">
        <v>0</v>
      </c>
      <c r="M1375">
        <v>1.7107287224729009E-3</v>
      </c>
      <c r="N1375">
        <v>0.14819646079044532</v>
      </c>
      <c r="O1375">
        <v>2.0956931438478973E-2</v>
      </c>
      <c r="P1375">
        <v>2.8456845022710522E-2</v>
      </c>
      <c r="Q1375">
        <v>5.3941823731911732E-3</v>
      </c>
      <c r="R1375">
        <v>1.688329162023369E-3</v>
      </c>
      <c r="S1375">
        <v>0.25437315088124846</v>
      </c>
      <c r="T1375">
        <v>1.3961303794045594</v>
      </c>
      <c r="U1375">
        <v>0.21248656451097886</v>
      </c>
      <c r="V1375">
        <v>0.24815910885101128</v>
      </c>
      <c r="W1375">
        <v>9.8312173391590471E-2</v>
      </c>
      <c r="X1375">
        <v>1.5932932860536687E-2</v>
      </c>
      <c r="Y1375">
        <v>4.5950754214689263E-3</v>
      </c>
    </row>
    <row r="1376" spans="1:25">
      <c r="A1376" s="1010"/>
      <c r="B1376" s="1351">
        <v>1126</v>
      </c>
      <c r="C1376" s="1014">
        <v>0.99353505146112342</v>
      </c>
      <c r="D1376" s="1014">
        <v>1.0320468606996536</v>
      </c>
      <c r="E1376" s="1014">
        <v>1.0239247490312098</v>
      </c>
      <c r="F1376" s="1014">
        <v>0.978193600587136</v>
      </c>
      <c r="G1376" s="1014">
        <v>0.97124582724098796</v>
      </c>
      <c r="H1376" s="1014">
        <v>0.97781036560872081</v>
      </c>
      <c r="I1376" s="1014">
        <v>1.0073564565712867</v>
      </c>
      <c r="K1376">
        <v>2.3754323419240992</v>
      </c>
      <c r="L1376">
        <v>0</v>
      </c>
      <c r="M1376">
        <v>1.5268368926992615E-3</v>
      </c>
      <c r="N1376">
        <v>0.14931635173643057</v>
      </c>
      <c r="O1376">
        <v>2.0991975628163753E-2</v>
      </c>
      <c r="P1376">
        <v>2.8514115655404473E-2</v>
      </c>
      <c r="Q1376">
        <v>5.6259904940850914E-3</v>
      </c>
      <c r="R1376">
        <v>1.5062256476475659E-3</v>
      </c>
      <c r="S1376">
        <v>0.2564183794226198</v>
      </c>
      <c r="T1376">
        <v>1.3422354648811612</v>
      </c>
      <c r="U1376">
        <v>0.21343516285556438</v>
      </c>
      <c r="V1376">
        <v>0.24094549200720264</v>
      </c>
      <c r="W1376">
        <v>9.671864169233238E-2</v>
      </c>
      <c r="X1376">
        <v>1.7151929110438918E-2</v>
      </c>
      <c r="Y1376">
        <v>4.0994496857453717E-3</v>
      </c>
    </row>
    <row r="1377" spans="1:25">
      <c r="A1377" s="1010"/>
      <c r="B1377" s="1351">
        <v>1127</v>
      </c>
      <c r="C1377" s="1014">
        <v>0.98998659416573698</v>
      </c>
      <c r="D1377" s="1014">
        <v>1.0005621816958106</v>
      </c>
      <c r="E1377" s="1014">
        <v>1.0257983269280635</v>
      </c>
      <c r="F1377" s="1014">
        <v>0.98561885425686624</v>
      </c>
      <c r="G1377" s="1014">
        <v>0.98952821806049485</v>
      </c>
      <c r="H1377" s="1014">
        <v>0.99961468918432028</v>
      </c>
      <c r="I1377" s="1014">
        <v>0.99400702193487145</v>
      </c>
      <c r="K1377">
        <v>2.4026227207841719</v>
      </c>
      <c r="L1377">
        <v>0</v>
      </c>
      <c r="M1377">
        <v>1.5710516039785065E-3</v>
      </c>
      <c r="N1377">
        <v>0.15455697974386673</v>
      </c>
      <c r="O1377">
        <v>2.1212564529870366E-2</v>
      </c>
      <c r="P1377">
        <v>2.8799212926251597E-2</v>
      </c>
      <c r="Q1377">
        <v>5.6956804592574167E-3</v>
      </c>
      <c r="R1377">
        <v>1.5503060976268929E-3</v>
      </c>
      <c r="S1377">
        <v>0.25977680950326792</v>
      </c>
      <c r="T1377">
        <v>1.3524642144731271</v>
      </c>
      <c r="U1377">
        <v>0.21420668244485164</v>
      </c>
      <c r="V1377">
        <v>0.24428427436334826</v>
      </c>
      <c r="W1377">
        <v>0.100003962268016</v>
      </c>
      <c r="X1377">
        <v>1.7423663439193396E-2</v>
      </c>
      <c r="Y1377">
        <v>4.21942213947267E-3</v>
      </c>
    </row>
    <row r="1378" spans="1:25">
      <c r="A1378" s="1010"/>
      <c r="B1378" s="1351">
        <v>1128</v>
      </c>
      <c r="C1378" s="1014">
        <v>0.99264677864235573</v>
      </c>
      <c r="D1378" s="1014">
        <v>0.96970900215144429</v>
      </c>
      <c r="E1378" s="1014">
        <v>1.0164246075249388</v>
      </c>
      <c r="F1378" s="1014">
        <v>1.0185507759776451</v>
      </c>
      <c r="G1378" s="1014">
        <v>1.0224725776492956</v>
      </c>
      <c r="H1378" s="1014">
        <v>0.97732476696147075</v>
      </c>
      <c r="I1378" s="1014">
        <v>1.0213545468104086</v>
      </c>
      <c r="K1378">
        <v>2.4553236905107227</v>
      </c>
      <c r="L1378">
        <v>0</v>
      </c>
      <c r="M1378">
        <v>1.5728799742519995E-3</v>
      </c>
      <c r="N1378">
        <v>0.15037685627717548</v>
      </c>
      <c r="O1378">
        <v>2.1295667788455278E-2</v>
      </c>
      <c r="P1378">
        <v>2.9410099715674431E-2</v>
      </c>
      <c r="Q1378">
        <v>5.6649888084285265E-3</v>
      </c>
      <c r="R1378">
        <v>1.5516366295169751E-3</v>
      </c>
      <c r="S1378">
        <v>0.26838834293494424</v>
      </c>
      <c r="T1378">
        <v>1.3974459767611376</v>
      </c>
      <c r="U1378">
        <v>0.2136002492436247</v>
      </c>
      <c r="V1378">
        <v>0.24977099268069131</v>
      </c>
      <c r="W1378">
        <v>9.783387096691086E-2</v>
      </c>
      <c r="X1378">
        <v>1.733484526974494E-2</v>
      </c>
      <c r="Y1378">
        <v>4.2230434086677543E-3</v>
      </c>
    </row>
    <row r="1379" spans="1:25">
      <c r="A1379" s="1010"/>
      <c r="B1379" s="1351">
        <v>1129</v>
      </c>
      <c r="C1379" s="1014">
        <v>1.0131046736945224</v>
      </c>
      <c r="D1379" s="1014">
        <v>0.98883531190269924</v>
      </c>
      <c r="E1379" s="1014">
        <v>0.97916529954601905</v>
      </c>
      <c r="F1379" s="1014">
        <v>1.0081882053360383</v>
      </c>
      <c r="G1379" s="1014">
        <v>1.0043521440682273</v>
      </c>
      <c r="H1379" s="1014">
        <v>0.96965730133981709</v>
      </c>
      <c r="I1379" s="1014">
        <v>0.96563853016468149</v>
      </c>
      <c r="K1379">
        <v>2.3903217779854069</v>
      </c>
      <c r="L1379">
        <v>0</v>
      </c>
      <c r="M1379">
        <v>1.6447607598733054E-3</v>
      </c>
      <c r="N1379">
        <v>0.14048998073166002</v>
      </c>
      <c r="O1379">
        <v>2.0751711888020007E-2</v>
      </c>
      <c r="P1379">
        <v>2.7974022738191676E-2</v>
      </c>
      <c r="Q1379">
        <v>5.317115625920299E-3</v>
      </c>
      <c r="R1379">
        <v>1.6223709357236665E-3</v>
      </c>
      <c r="S1379">
        <v>0.24526765020904223</v>
      </c>
      <c r="T1379">
        <v>1.382416518486995</v>
      </c>
      <c r="U1379">
        <v>0.20916129485710216</v>
      </c>
      <c r="V1379">
        <v>0.24554343547262797</v>
      </c>
      <c r="W1379">
        <v>9.3451911768078016E-2</v>
      </c>
      <c r="X1379">
        <v>1.5554967159314806E-2</v>
      </c>
      <c r="Y1379">
        <v>4.4155588726045945E-3</v>
      </c>
    </row>
    <row r="1380" spans="1:25">
      <c r="A1380" s="1010"/>
      <c r="B1380" s="1351">
        <v>1130</v>
      </c>
      <c r="C1380" s="1014">
        <v>1.0283107239343561</v>
      </c>
      <c r="D1380" s="1014">
        <v>0.96482792221509606</v>
      </c>
      <c r="E1380" s="1014">
        <v>1.0004704176315886</v>
      </c>
      <c r="F1380" s="1014">
        <v>1.028117516198479</v>
      </c>
      <c r="G1380" s="1014">
        <v>1.028276421708306</v>
      </c>
      <c r="H1380" s="1014">
        <v>0.96004201226002528</v>
      </c>
      <c r="I1380" s="1014">
        <v>0.99488216013645814</v>
      </c>
      <c r="K1380">
        <v>2.4247552023169057</v>
      </c>
      <c r="L1380">
        <v>0</v>
      </c>
      <c r="M1380">
        <v>1.5434431354633899E-3</v>
      </c>
      <c r="N1380">
        <v>0.14058809000890413</v>
      </c>
      <c r="O1380">
        <v>2.0569532698260708E-2</v>
      </c>
      <c r="P1380">
        <v>2.8890827510844368E-2</v>
      </c>
      <c r="Q1380">
        <v>5.3851763780039677E-3</v>
      </c>
      <c r="R1380">
        <v>1.5222220979347204E-3</v>
      </c>
      <c r="S1380">
        <v>0.25145032065500578</v>
      </c>
      <c r="T1380">
        <v>1.4102161309794041</v>
      </c>
      <c r="U1380">
        <v>0.20613904733801389</v>
      </c>
      <c r="V1380">
        <v>0.24864036947398255</v>
      </c>
      <c r="W1380">
        <v>9.2331004397933167E-2</v>
      </c>
      <c r="X1380">
        <v>1.6422937163880824E-2</v>
      </c>
      <c r="Y1380">
        <v>4.1429867501985868E-3</v>
      </c>
    </row>
    <row r="1381" spans="1:25">
      <c r="A1381" s="1010"/>
      <c r="B1381" s="1351">
        <v>1131</v>
      </c>
      <c r="C1381" s="1014">
        <v>0.96125741287967825</v>
      </c>
      <c r="D1381" s="1014">
        <v>1.0441726836337866</v>
      </c>
      <c r="E1381" s="1014">
        <v>1.0115042955011759</v>
      </c>
      <c r="F1381" s="1014">
        <v>1.0437016422165177</v>
      </c>
      <c r="G1381" s="1014">
        <v>1.0065282663663149</v>
      </c>
      <c r="H1381" s="1014">
        <v>0.96723067255779371</v>
      </c>
      <c r="I1381" s="1014">
        <v>0.9931461018106198</v>
      </c>
      <c r="K1381">
        <v>2.4876895836971351</v>
      </c>
      <c r="L1381">
        <v>0</v>
      </c>
      <c r="M1381">
        <v>1.5977727414462923E-3</v>
      </c>
      <c r="N1381">
        <v>0.15048356010340741</v>
      </c>
      <c r="O1381">
        <v>2.163265410213127E-2</v>
      </c>
      <c r="P1381">
        <v>2.9731312179419545E-2</v>
      </c>
      <c r="Q1381">
        <v>5.726459219095377E-3</v>
      </c>
      <c r="R1381">
        <v>1.5759679887305592E-3</v>
      </c>
      <c r="S1381">
        <v>0.25875071958787171</v>
      </c>
      <c r="T1381">
        <v>1.4318414489718105</v>
      </c>
      <c r="U1381">
        <v>0.22055772113791267</v>
      </c>
      <c r="V1381">
        <v>0.24911981253781262</v>
      </c>
      <c r="W1381">
        <v>9.8186871831926051E-2</v>
      </c>
      <c r="X1381">
        <v>1.7391563430844852E-2</v>
      </c>
      <c r="Y1381">
        <v>4.2892653476167206E-3</v>
      </c>
    </row>
    <row r="1382" spans="1:25">
      <c r="A1382" s="1010"/>
      <c r="B1382" s="1351">
        <v>1132</v>
      </c>
      <c r="C1382" s="1014">
        <v>1.0073814437550048</v>
      </c>
      <c r="D1382" s="1014">
        <v>0.96727462479490978</v>
      </c>
      <c r="E1382" s="1014">
        <v>0.98217341239570899</v>
      </c>
      <c r="F1382" s="1014">
        <v>0.98169557837107002</v>
      </c>
      <c r="G1382" s="1014">
        <v>0.98094022605846565</v>
      </c>
      <c r="H1382" s="1014">
        <v>1.0166034506725423</v>
      </c>
      <c r="I1382" s="1014">
        <v>1.0170081711746877</v>
      </c>
      <c r="K1382">
        <v>2.3882052558258251</v>
      </c>
      <c r="L1382">
        <v>0</v>
      </c>
      <c r="M1382">
        <v>1.7318133231146533E-3</v>
      </c>
      <c r="N1382">
        <v>0.14937328512717377</v>
      </c>
      <c r="O1382">
        <v>2.0973061567424799E-2</v>
      </c>
      <c r="P1382">
        <v>2.7806267284460787E-2</v>
      </c>
      <c r="Q1382">
        <v>5.3902802084995092E-3</v>
      </c>
      <c r="R1382">
        <v>1.7093271414328492E-3</v>
      </c>
      <c r="S1382">
        <v>0.26678372129038952</v>
      </c>
      <c r="T1382">
        <v>1.3461537363790739</v>
      </c>
      <c r="U1382">
        <v>0.21035977702831421</v>
      </c>
      <c r="V1382">
        <v>0.24188203848558518</v>
      </c>
      <c r="W1382">
        <v>9.9180741065304695E-2</v>
      </c>
      <c r="X1382">
        <v>1.5672608571838009E-2</v>
      </c>
      <c r="Y1382">
        <v>4.6522249994394816E-3</v>
      </c>
    </row>
    <row r="1383" spans="1:25">
      <c r="A1383" s="1010"/>
      <c r="B1383" s="1351">
        <v>1133</v>
      </c>
      <c r="C1383" s="1014">
        <v>0.9919325848309789</v>
      </c>
      <c r="D1383" s="1014">
        <v>0.97364969638412002</v>
      </c>
      <c r="E1383" s="1014">
        <v>1.0019171175742285</v>
      </c>
      <c r="F1383" s="1014">
        <v>0.96607914807664175</v>
      </c>
      <c r="G1383" s="1014">
        <v>0.96279705885464306</v>
      </c>
      <c r="H1383" s="1014">
        <v>0.98950483799436695</v>
      </c>
      <c r="I1383" s="1014">
        <v>0.97496783303754497</v>
      </c>
      <c r="K1383">
        <v>2.3594377562610234</v>
      </c>
      <c r="L1383">
        <v>0</v>
      </c>
      <c r="M1383">
        <v>1.6409198873382845E-3</v>
      </c>
      <c r="N1383">
        <v>0.15018396131632286</v>
      </c>
      <c r="O1383">
        <v>2.12822173979531E-2</v>
      </c>
      <c r="P1383">
        <v>2.781312882026548E-2</v>
      </c>
      <c r="Q1383">
        <v>5.579862700136818E-3</v>
      </c>
      <c r="R1383">
        <v>1.619030395732325E-3</v>
      </c>
      <c r="S1383">
        <v>0.25676419495342229</v>
      </c>
      <c r="T1383">
        <v>1.3251515149016488</v>
      </c>
      <c r="U1383">
        <v>0.21370397779373365</v>
      </c>
      <c r="V1383">
        <v>0.23967887458367124</v>
      </c>
      <c r="W1383">
        <v>9.8548385280299258E-2</v>
      </c>
      <c r="X1383">
        <v>1.6347060981214034E-2</v>
      </c>
      <c r="Y1383">
        <v>4.4064670239568737E-3</v>
      </c>
    </row>
    <row r="1384" spans="1:25">
      <c r="A1384" s="1010"/>
      <c r="B1384" s="1351">
        <v>1134</v>
      </c>
      <c r="C1384" s="1014">
        <v>0.97527201158151222</v>
      </c>
      <c r="D1384" s="1014">
        <v>1.0272052022966036</v>
      </c>
      <c r="E1384" s="1014">
        <v>1.0076941654484013</v>
      </c>
      <c r="F1384" s="1014">
        <v>0.99564848333247247</v>
      </c>
      <c r="G1384" s="1014">
        <v>1.0108319269441868</v>
      </c>
      <c r="H1384" s="1014">
        <v>0.99228301748113057</v>
      </c>
      <c r="I1384" s="1014">
        <v>1.0201616052251217</v>
      </c>
      <c r="K1384">
        <v>2.4273249283347194</v>
      </c>
      <c r="L1384">
        <v>0</v>
      </c>
      <c r="M1384">
        <v>1.6343205729355374E-3</v>
      </c>
      <c r="N1384">
        <v>0.15221842967759056</v>
      </c>
      <c r="O1384">
        <v>2.1396201529973579E-2</v>
      </c>
      <c r="P1384">
        <v>2.8799335318317576E-2</v>
      </c>
      <c r="Q1384">
        <v>5.6423309858351419E-3</v>
      </c>
      <c r="R1384">
        <v>1.6125801540608873E-3</v>
      </c>
      <c r="S1384">
        <v>0.2663063921610847</v>
      </c>
      <c r="T1384">
        <v>1.3658357063704143</v>
      </c>
      <c r="U1384">
        <v>0.21737494630449669</v>
      </c>
      <c r="V1384">
        <v>0.24893522821655006</v>
      </c>
      <c r="W1384">
        <v>9.9542297596044702E-2</v>
      </c>
      <c r="X1384">
        <v>1.690688900083847E-2</v>
      </c>
      <c r="Y1384">
        <v>4.3889115924488162E-3</v>
      </c>
    </row>
    <row r="1385" spans="1:25">
      <c r="A1385" s="1010"/>
      <c r="B1385" s="1351">
        <v>1135</v>
      </c>
      <c r="C1385" s="1014">
        <v>1.0080867882891342</v>
      </c>
      <c r="D1385" s="1014">
        <v>0.9994290281931314</v>
      </c>
      <c r="E1385" s="1014">
        <v>1.0122621186209255</v>
      </c>
      <c r="F1385" s="1014">
        <v>0.99245651687449232</v>
      </c>
      <c r="G1385" s="1014">
        <v>1.0060797244293169</v>
      </c>
      <c r="H1385" s="1014">
        <v>0.99922321660302682</v>
      </c>
      <c r="I1385" s="1014">
        <v>1.0293928698970887</v>
      </c>
      <c r="K1385">
        <v>2.4057511710655684</v>
      </c>
      <c r="L1385">
        <v>0</v>
      </c>
      <c r="M1385">
        <v>1.5866815857531293E-3</v>
      </c>
      <c r="N1385">
        <v>0.1498475495121416</v>
      </c>
      <c r="O1385">
        <v>2.0827948241247767E-2</v>
      </c>
      <c r="P1385">
        <v>2.8671371810816873E-2</v>
      </c>
      <c r="Q1385">
        <v>5.517616524973055E-3</v>
      </c>
      <c r="R1385">
        <v>1.565721479311392E-3</v>
      </c>
      <c r="S1385">
        <v>0.26419688079833409</v>
      </c>
      <c r="T1385">
        <v>1.3615551968245532</v>
      </c>
      <c r="U1385">
        <v>0.21031457017542091</v>
      </c>
      <c r="V1385">
        <v>0.24602472823217975</v>
      </c>
      <c r="W1385">
        <v>9.7728273507101351E-2</v>
      </c>
      <c r="X1385">
        <v>1.6826617818501744E-2</v>
      </c>
      <c r="Y1385">
        <v>4.2613777267386703E-3</v>
      </c>
    </row>
    <row r="1386" spans="1:25">
      <c r="A1386" s="1010"/>
      <c r="B1386" s="1351">
        <v>1136</v>
      </c>
      <c r="C1386" s="1014">
        <v>1.0152634125813704</v>
      </c>
      <c r="D1386" s="1014">
        <v>1.027787416706754</v>
      </c>
      <c r="E1386" s="1014">
        <v>1.0091918603852894</v>
      </c>
      <c r="F1386" s="1014">
        <v>0.98073882128166157</v>
      </c>
      <c r="G1386" s="1014">
        <v>1.0286396142215466</v>
      </c>
      <c r="H1386" s="1014">
        <v>1.0356968832549407</v>
      </c>
      <c r="I1386" s="1014">
        <v>1.0183464907963862</v>
      </c>
      <c r="K1386">
        <v>2.3907312119388031</v>
      </c>
      <c r="L1386">
        <v>0</v>
      </c>
      <c r="M1386">
        <v>1.6333387786210971E-3</v>
      </c>
      <c r="N1386">
        <v>0.15290283097904156</v>
      </c>
      <c r="O1386">
        <v>2.0551813876249912E-2</v>
      </c>
      <c r="P1386">
        <v>2.8339537947901963E-2</v>
      </c>
      <c r="Q1386">
        <v>5.4277870682987442E-3</v>
      </c>
      <c r="R1386">
        <v>1.6125221774166134E-3</v>
      </c>
      <c r="S1386">
        <v>0.25898445849725688</v>
      </c>
      <c r="T1386">
        <v>1.3454143774873495</v>
      </c>
      <c r="U1386">
        <v>0.20881755876721322</v>
      </c>
      <c r="V1386">
        <v>0.2494497364322614</v>
      </c>
      <c r="W1386">
        <v>9.9901481704248923E-2</v>
      </c>
      <c r="X1386">
        <v>1.6573691981047089E-2</v>
      </c>
      <c r="Y1386">
        <v>4.388753799135098E-3</v>
      </c>
    </row>
    <row r="1387" spans="1:25">
      <c r="A1387" s="1010"/>
      <c r="B1387" s="1351">
        <v>1137</v>
      </c>
      <c r="C1387" s="1014">
        <v>0.99045699200588766</v>
      </c>
      <c r="D1387" s="1014">
        <v>1.0300491984835769</v>
      </c>
      <c r="E1387" s="1014">
        <v>0.99450843851968107</v>
      </c>
      <c r="F1387" s="1014">
        <v>0.99969465391914936</v>
      </c>
      <c r="G1387" s="1014">
        <v>1.017055743175689</v>
      </c>
      <c r="H1387" s="1014">
        <v>1.0032732469943444</v>
      </c>
      <c r="I1387" s="1014">
        <v>0.99589924774811189</v>
      </c>
      <c r="K1387">
        <v>2.4144893727287435</v>
      </c>
      <c r="L1387">
        <v>0</v>
      </c>
      <c r="M1387">
        <v>1.6711960335897714E-3</v>
      </c>
      <c r="N1387">
        <v>0.14959668249865521</v>
      </c>
      <c r="O1387">
        <v>2.1046579519836205E-2</v>
      </c>
      <c r="P1387">
        <v>2.8411568591640925E-2</v>
      </c>
      <c r="Q1387">
        <v>5.4771009344939314E-3</v>
      </c>
      <c r="R1387">
        <v>1.6492086079860791E-3</v>
      </c>
      <c r="S1387">
        <v>0.25646217502173874</v>
      </c>
      <c r="T1387">
        <v>1.3711011042603138</v>
      </c>
      <c r="U1387">
        <v>0.21399679473659089</v>
      </c>
      <c r="V1387">
        <v>0.24906503619740664</v>
      </c>
      <c r="W1387">
        <v>9.8596831498017679E-2</v>
      </c>
      <c r="X1387">
        <v>1.6268884726186421E-2</v>
      </c>
      <c r="Y1387">
        <v>4.4886021694665965E-3</v>
      </c>
    </row>
    <row r="1388" spans="1:25">
      <c r="A1388" s="1010"/>
      <c r="B1388" s="1351">
        <v>1138</v>
      </c>
      <c r="C1388" s="1014">
        <v>0.97433902657156513</v>
      </c>
      <c r="D1388" s="1014">
        <v>1.009263629742281</v>
      </c>
      <c r="E1388" s="1014">
        <v>0.98764282628715161</v>
      </c>
      <c r="F1388" s="1014">
        <v>0.96270270305964822</v>
      </c>
      <c r="G1388" s="1014">
        <v>1.0041953384113449</v>
      </c>
      <c r="H1388" s="1014">
        <v>0.99083727291882762</v>
      </c>
      <c r="I1388" s="1014">
        <v>1.0356282070924139</v>
      </c>
      <c r="K1388">
        <v>2.3828041092632395</v>
      </c>
      <c r="L1388">
        <v>0</v>
      </c>
      <c r="M1388">
        <v>1.7094645397415355E-3</v>
      </c>
      <c r="N1388">
        <v>0.14985378832455074</v>
      </c>
      <c r="O1388">
        <v>2.1486248472972886E-2</v>
      </c>
      <c r="P1388">
        <v>2.7829227218002635E-2</v>
      </c>
      <c r="Q1388">
        <v>5.5528739113418196E-3</v>
      </c>
      <c r="R1388">
        <v>1.6866913439752731E-3</v>
      </c>
      <c r="S1388">
        <v>0.27269009978245817</v>
      </c>
      <c r="T1388">
        <v>1.3202232145519133</v>
      </c>
      <c r="U1388">
        <v>0.2175127761216234</v>
      </c>
      <c r="V1388">
        <v>0.24793529716227677</v>
      </c>
      <c r="W1388">
        <v>9.9172993947074156E-2</v>
      </c>
      <c r="X1388">
        <v>1.5979745146143507E-2</v>
      </c>
      <c r="Y1388">
        <v>4.5906178206485846E-3</v>
      </c>
    </row>
    <row r="1389" spans="1:25">
      <c r="A1389" s="1010"/>
      <c r="B1389" s="1351">
        <v>1139</v>
      </c>
      <c r="C1389" s="1014">
        <v>1.0141117254559864</v>
      </c>
      <c r="D1389" s="1014">
        <v>1.0108466038344384</v>
      </c>
      <c r="E1389" s="1014">
        <v>0.95189042990460182</v>
      </c>
      <c r="F1389" s="1014">
        <v>1.0089277813104933</v>
      </c>
      <c r="G1389" s="1014">
        <v>1.0424212439608909</v>
      </c>
      <c r="H1389" s="1014">
        <v>0.9616750009722993</v>
      </c>
      <c r="I1389" s="1014">
        <v>1.014664713560574</v>
      </c>
      <c r="K1389">
        <v>2.3962217595123607</v>
      </c>
      <c r="L1389">
        <v>0</v>
      </c>
      <c r="M1389">
        <v>1.7155924880351526E-3</v>
      </c>
      <c r="N1389">
        <v>0.13490525467521425</v>
      </c>
      <c r="O1389">
        <v>2.0613230485385096E-2</v>
      </c>
      <c r="P1389">
        <v>2.7592453163271042E-2</v>
      </c>
      <c r="Q1389">
        <v>5.136070438223052E-3</v>
      </c>
      <c r="R1389">
        <v>1.6920445964431438E-3</v>
      </c>
      <c r="S1389">
        <v>0.25372969236254567</v>
      </c>
      <c r="T1389">
        <v>1.3828397528531047</v>
      </c>
      <c r="U1389">
        <v>0.20886217503113402</v>
      </c>
      <c r="V1389">
        <v>0.2520945243428091</v>
      </c>
      <c r="W1389">
        <v>9.1244564186778385E-2</v>
      </c>
      <c r="X1389">
        <v>1.4622402256318581E-2</v>
      </c>
      <c r="Y1389">
        <v>4.605187609166928E-3</v>
      </c>
    </row>
    <row r="1390" spans="1:25">
      <c r="A1390" s="1010"/>
      <c r="B1390" s="1351">
        <v>1140</v>
      </c>
      <c r="C1390" s="1014">
        <v>0.95669547559418955</v>
      </c>
      <c r="D1390" s="1014">
        <v>0.98915132714569565</v>
      </c>
      <c r="E1390" s="1014">
        <v>0.97563124492278341</v>
      </c>
      <c r="F1390" s="1014">
        <v>1.0133620024267118</v>
      </c>
      <c r="G1390" s="1014">
        <v>0.99951858699401264</v>
      </c>
      <c r="H1390" s="1014">
        <v>1.012196601788812</v>
      </c>
      <c r="I1390" s="1014">
        <v>0.97020071656122764</v>
      </c>
      <c r="K1390">
        <v>2.4588233702687057</v>
      </c>
      <c r="L1390">
        <v>0</v>
      </c>
      <c r="M1390">
        <v>1.8313517442757042E-3</v>
      </c>
      <c r="N1390">
        <v>0.15485365697189099</v>
      </c>
      <c r="O1390">
        <v>2.197129226759029E-2</v>
      </c>
      <c r="P1390">
        <v>2.8454275205974849E-2</v>
      </c>
      <c r="Q1390">
        <v>5.6093885960398215E-3</v>
      </c>
      <c r="R1390">
        <v>1.8074696114244451E-3</v>
      </c>
      <c r="S1390">
        <v>0.26456085241088656</v>
      </c>
      <c r="T1390">
        <v>1.389433677078006</v>
      </c>
      <c r="U1390">
        <v>0.22148139568155681</v>
      </c>
      <c r="V1390">
        <v>0.24836040067307175</v>
      </c>
      <c r="W1390">
        <v>0.10322692198418162</v>
      </c>
      <c r="X1390">
        <v>1.5976055082258765E-2</v>
      </c>
      <c r="Y1390">
        <v>4.9193364501000664E-3</v>
      </c>
    </row>
    <row r="1391" spans="1:25">
      <c r="A1391" s="1010"/>
      <c r="B1391" s="1351">
        <v>1141</v>
      </c>
      <c r="C1391" s="1014">
        <v>1.0116062964992616</v>
      </c>
      <c r="D1391" s="1014">
        <v>0.98977806753247033</v>
      </c>
      <c r="E1391" s="1014">
        <v>0.99340940107907005</v>
      </c>
      <c r="F1391" s="1014">
        <v>0.97672728127450847</v>
      </c>
      <c r="G1391" s="1014">
        <v>1.0123415420235933</v>
      </c>
      <c r="H1391" s="1014">
        <v>1.0135295651022127</v>
      </c>
      <c r="I1391" s="1014">
        <v>0.98002796277168935</v>
      </c>
      <c r="K1391">
        <v>2.3708842031631363</v>
      </c>
      <c r="L1391">
        <v>0</v>
      </c>
      <c r="M1391">
        <v>1.6713532988670077E-3</v>
      </c>
      <c r="N1391">
        <v>0.14913470972092852</v>
      </c>
      <c r="O1391">
        <v>2.0787438183554129E-2</v>
      </c>
      <c r="P1391">
        <v>2.7822270073872911E-2</v>
      </c>
      <c r="Q1391">
        <v>5.4036698191738033E-3</v>
      </c>
      <c r="R1391">
        <v>1.64958632481625E-3</v>
      </c>
      <c r="S1391">
        <v>0.25290625942163741</v>
      </c>
      <c r="T1391">
        <v>1.3395777071630464</v>
      </c>
      <c r="U1391">
        <v>0.2095191273160508</v>
      </c>
      <c r="V1391">
        <v>0.24694700637027128</v>
      </c>
      <c r="W1391">
        <v>9.8356886104232558E-2</v>
      </c>
      <c r="X1391">
        <v>1.5961265774255454E-2</v>
      </c>
      <c r="Y1391">
        <v>4.4896301901640031E-3</v>
      </c>
    </row>
    <row r="1392" spans="1:25">
      <c r="A1392" s="1010"/>
      <c r="B1392" s="1351">
        <v>1142</v>
      </c>
      <c r="C1392" s="1014">
        <v>1.0022567881861753</v>
      </c>
      <c r="D1392" s="1014">
        <v>0.95576258023666749</v>
      </c>
      <c r="E1392" s="1014">
        <v>0.97192852440258537</v>
      </c>
      <c r="F1392" s="1014">
        <v>1.0087326935309482</v>
      </c>
      <c r="G1392" s="1014">
        <v>0.99142380440476086</v>
      </c>
      <c r="H1392" s="1014">
        <v>1.0030939911135432</v>
      </c>
      <c r="I1392" s="1014">
        <v>0.99237284179054852</v>
      </c>
      <c r="K1392">
        <v>2.4204958112068482</v>
      </c>
      <c r="L1392">
        <v>0</v>
      </c>
      <c r="M1392">
        <v>1.7589190845197251E-3</v>
      </c>
      <c r="N1392">
        <v>0.14705364066360521</v>
      </c>
      <c r="O1392">
        <v>2.1129072353141144E-2</v>
      </c>
      <c r="P1392">
        <v>2.8061359186133148E-2</v>
      </c>
      <c r="Q1392">
        <v>5.3740319542795283E-3</v>
      </c>
      <c r="R1392">
        <v>1.7357733775448874E-3</v>
      </c>
      <c r="S1392">
        <v>0.26200366354588422</v>
      </c>
      <c r="T1392">
        <v>1.3830060292144957</v>
      </c>
      <c r="U1392">
        <v>0.21140055988294712</v>
      </c>
      <c r="V1392">
        <v>0.24402701038024441</v>
      </c>
      <c r="W1392">
        <v>9.8247856975195821E-2</v>
      </c>
      <c r="X1392">
        <v>1.5491529821758047E-2</v>
      </c>
      <c r="Y1392">
        <v>4.724202936137057E-3</v>
      </c>
    </row>
    <row r="1393" spans="1:25">
      <c r="A1393" s="1010"/>
      <c r="B1393" s="1351">
        <v>1143</v>
      </c>
      <c r="C1393" s="1014">
        <v>1.0147802340617786</v>
      </c>
      <c r="D1393" s="1014">
        <v>1.0051496478689663</v>
      </c>
      <c r="E1393" s="1014">
        <v>0.99670686484147475</v>
      </c>
      <c r="F1393" s="1014">
        <v>1.0065291382183554</v>
      </c>
      <c r="G1393" s="1014">
        <v>1.0189348691636806</v>
      </c>
      <c r="H1393" s="1014">
        <v>0.989167343189155</v>
      </c>
      <c r="I1393" s="1014">
        <v>0.96261936090310884</v>
      </c>
      <c r="K1393">
        <v>2.3963658226545879</v>
      </c>
      <c r="L1393">
        <v>0</v>
      </c>
      <c r="M1393">
        <v>1.6095350214686537E-3</v>
      </c>
      <c r="N1393">
        <v>0.14500998270461823</v>
      </c>
      <c r="O1393">
        <v>2.0654434986399225E-2</v>
      </c>
      <c r="P1393">
        <v>2.8328162406655165E-2</v>
      </c>
      <c r="Q1393">
        <v>5.3869703555520848E-3</v>
      </c>
      <c r="R1393">
        <v>1.5880568710632255E-3</v>
      </c>
      <c r="S1393">
        <v>0.24379856246528506</v>
      </c>
      <c r="T1393">
        <v>1.3805225514943504</v>
      </c>
      <c r="U1393">
        <v>0.20887491107280381</v>
      </c>
      <c r="V1393">
        <v>0.24786805004585552</v>
      </c>
      <c r="W1393">
        <v>9.5448578526923983E-2</v>
      </c>
      <c r="X1393">
        <v>1.6172929446320108E-2</v>
      </c>
      <c r="Y1393">
        <v>4.3221673002272476E-3</v>
      </c>
    </row>
    <row r="1394" spans="1:25">
      <c r="A1394" s="1010"/>
      <c r="B1394" s="1351">
        <v>1144</v>
      </c>
      <c r="C1394" s="1014">
        <v>1.0357785138279969</v>
      </c>
      <c r="D1394" s="1014">
        <v>1.0131396886469146</v>
      </c>
      <c r="E1394" s="1014">
        <v>0.97913252736389211</v>
      </c>
      <c r="F1394" s="1014">
        <v>0.97057978453768257</v>
      </c>
      <c r="G1394" s="1014">
        <v>1.0360943975540129</v>
      </c>
      <c r="H1394" s="1014">
        <v>1.0265097151444866</v>
      </c>
      <c r="I1394" s="1014">
        <v>0.98478897240859897</v>
      </c>
      <c r="K1394">
        <v>2.344801761586838</v>
      </c>
      <c r="L1394">
        <v>0</v>
      </c>
      <c r="M1394">
        <v>1.6941208834896462E-3</v>
      </c>
      <c r="N1394">
        <v>0.14480240272831113</v>
      </c>
      <c r="O1394">
        <v>2.0189284208729532E-2</v>
      </c>
      <c r="P1394">
        <v>2.7287190231578627E-2</v>
      </c>
      <c r="Q1394">
        <v>5.1728349808197694E-3</v>
      </c>
      <c r="R1394">
        <v>1.6723363857950417E-3</v>
      </c>
      <c r="S1394">
        <v>0.24626480832486428</v>
      </c>
      <c r="T1394">
        <v>1.3308475827748352</v>
      </c>
      <c r="U1394">
        <v>0.20458251537328609</v>
      </c>
      <c r="V1394">
        <v>0.24961969393815381</v>
      </c>
      <c r="W1394">
        <v>9.6322380123801982E-2</v>
      </c>
      <c r="X1394">
        <v>1.5183305043559126E-2</v>
      </c>
      <c r="Y1394">
        <v>4.5515483565926875E-3</v>
      </c>
    </row>
    <row r="1395" spans="1:25">
      <c r="A1395" s="1010"/>
      <c r="B1395" s="1351">
        <v>1145</v>
      </c>
      <c r="C1395" s="1014">
        <v>1.0208606005410492</v>
      </c>
      <c r="D1395" s="1014">
        <v>1.0276863769564017</v>
      </c>
      <c r="E1395" s="1014">
        <v>1.0249866133004244</v>
      </c>
      <c r="F1395" s="1014">
        <v>0.99510071477940054</v>
      </c>
      <c r="G1395" s="1014">
        <v>0.9974909405663106</v>
      </c>
      <c r="H1395" s="1014">
        <v>0.96514720362453377</v>
      </c>
      <c r="I1395" s="1014">
        <v>0.98900545766515358</v>
      </c>
      <c r="K1395">
        <v>2.3736464858368422</v>
      </c>
      <c r="L1395">
        <v>0</v>
      </c>
      <c r="M1395">
        <v>1.4648484318672565E-3</v>
      </c>
      <c r="N1395">
        <v>0.14368790275604387</v>
      </c>
      <c r="O1395">
        <v>2.0449807829993213E-2</v>
      </c>
      <c r="P1395">
        <v>2.8652699220433984E-2</v>
      </c>
      <c r="Q1395">
        <v>5.4864604223829267E-3</v>
      </c>
      <c r="R1395">
        <v>1.4448145387621373E-3</v>
      </c>
      <c r="S1395">
        <v>0.24449702812919866</v>
      </c>
      <c r="T1395">
        <v>1.3654576477767981</v>
      </c>
      <c r="U1395">
        <v>0.20772567633347794</v>
      </c>
      <c r="V1395">
        <v>0.24373907883003917</v>
      </c>
      <c r="W1395">
        <v>9.3015251236811494E-2</v>
      </c>
      <c r="X1395">
        <v>1.7022658303243021E-2</v>
      </c>
      <c r="Y1395">
        <v>3.9323088915258391E-3</v>
      </c>
    </row>
    <row r="1396" spans="1:25">
      <c r="A1396" s="1010"/>
      <c r="B1396" s="1351">
        <v>1146</v>
      </c>
      <c r="C1396" s="1014">
        <v>0.97399170709100491</v>
      </c>
      <c r="D1396" s="1014">
        <v>0.97706862208387191</v>
      </c>
      <c r="E1396" s="1014">
        <v>0.96033852779995399</v>
      </c>
      <c r="F1396" s="1014">
        <v>0.97361630084536566</v>
      </c>
      <c r="G1396" s="1014">
        <v>0.99410321844708427</v>
      </c>
      <c r="H1396" s="1014">
        <v>1.0050760887880377</v>
      </c>
      <c r="I1396" s="1014">
        <v>1.0042687634244187</v>
      </c>
      <c r="K1396">
        <v>2.3923861325944391</v>
      </c>
      <c r="L1396">
        <v>0</v>
      </c>
      <c r="M1396">
        <v>1.8484397081796786E-3</v>
      </c>
      <c r="N1396">
        <v>0.14921122803031195</v>
      </c>
      <c r="O1396">
        <v>2.1629137167691537E-2</v>
      </c>
      <c r="P1396">
        <v>2.738751235966299E-2</v>
      </c>
      <c r="Q1396">
        <v>5.4362983989860829E-3</v>
      </c>
      <c r="R1396">
        <v>1.8241639631834221E-3</v>
      </c>
      <c r="S1396">
        <v>0.26989472024043126</v>
      </c>
      <c r="T1396">
        <v>1.3346179629110151</v>
      </c>
      <c r="U1396">
        <v>0.21749491995110207</v>
      </c>
      <c r="V1396">
        <v>0.2463330521263839</v>
      </c>
      <c r="W1396">
        <v>0.10039724297975734</v>
      </c>
      <c r="X1396">
        <v>1.5043561201794882E-2</v>
      </c>
      <c r="Y1396">
        <v>4.9647729722964258E-3</v>
      </c>
    </row>
    <row r="1397" spans="1:25">
      <c r="A1397" s="1010"/>
      <c r="B1397" s="1351">
        <v>1147</v>
      </c>
      <c r="C1397" s="1014">
        <v>1.025356146925519</v>
      </c>
      <c r="D1397" s="1014">
        <v>1.0285374847388877</v>
      </c>
      <c r="E1397" s="1014">
        <v>1.0361426262640749</v>
      </c>
      <c r="F1397" s="1014">
        <v>1.0060657960290138</v>
      </c>
      <c r="G1397" s="1014">
        <v>1.0023813053210011</v>
      </c>
      <c r="H1397" s="1014">
        <v>0.99524689961208823</v>
      </c>
      <c r="I1397" s="1014">
        <v>0.9603346894854955</v>
      </c>
      <c r="K1397">
        <v>2.3919280897888546</v>
      </c>
      <c r="L1397">
        <v>0</v>
      </c>
      <c r="M1397">
        <v>1.469081314855916E-3</v>
      </c>
      <c r="N1397">
        <v>0.14909408826516912</v>
      </c>
      <c r="O1397">
        <v>2.0363649847485774E-2</v>
      </c>
      <c r="P1397">
        <v>2.9014230637598889E-2</v>
      </c>
      <c r="Q1397">
        <v>5.5239200878408664E-3</v>
      </c>
      <c r="R1397">
        <v>1.4495971758157974E-3</v>
      </c>
      <c r="S1397">
        <v>0.2387400636529976</v>
      </c>
      <c r="T1397">
        <v>1.3807479068503237</v>
      </c>
      <c r="U1397">
        <v>0.20685229096968635</v>
      </c>
      <c r="V1397">
        <v>0.24426644573587949</v>
      </c>
      <c r="W1397">
        <v>9.5892184830379076E-2</v>
      </c>
      <c r="X1397">
        <v>1.750746739754103E-2</v>
      </c>
      <c r="Y1397">
        <v>3.945325652990021E-3</v>
      </c>
    </row>
    <row r="1398" spans="1:25">
      <c r="A1398" s="1010"/>
      <c r="B1398" s="1351">
        <v>1148</v>
      </c>
      <c r="C1398" s="1014">
        <v>1.0300332213593795</v>
      </c>
      <c r="D1398" s="1014">
        <v>0.99844943460956292</v>
      </c>
      <c r="E1398" s="1014">
        <v>0.98493863742217402</v>
      </c>
      <c r="F1398" s="1014">
        <v>0.96911450391714005</v>
      </c>
      <c r="G1398" s="1014">
        <v>1.0171388489229465</v>
      </c>
      <c r="H1398" s="1014">
        <v>1.0029005706635377</v>
      </c>
      <c r="I1398" s="1014">
        <v>1.0110818140120736</v>
      </c>
      <c r="K1398">
        <v>2.3471003222886986</v>
      </c>
      <c r="L1398">
        <v>0</v>
      </c>
      <c r="M1398">
        <v>1.6498127387569472E-3</v>
      </c>
      <c r="N1398">
        <v>0.14346999165315494</v>
      </c>
      <c r="O1398">
        <v>2.0370967887178272E-2</v>
      </c>
      <c r="P1398">
        <v>2.7465027878743695E-2</v>
      </c>
      <c r="Q1398">
        <v>5.2502426743206796E-3</v>
      </c>
      <c r="R1398">
        <v>1.6280985808070989E-3</v>
      </c>
      <c r="S1398">
        <v>0.25418070283712213</v>
      </c>
      <c r="T1398">
        <v>1.3289596551140781</v>
      </c>
      <c r="U1398">
        <v>0.20574284286534233</v>
      </c>
      <c r="V1398">
        <v>0.24669476356845635</v>
      </c>
      <c r="W1398">
        <v>9.5102598850983711E-2</v>
      </c>
      <c r="X1398">
        <v>1.5454095482861E-2</v>
      </c>
      <c r="Y1398">
        <v>4.4311476344040014E-3</v>
      </c>
    </row>
    <row r="1399" spans="1:25">
      <c r="A1399" s="1010"/>
      <c r="B1399" s="1351">
        <v>1149</v>
      </c>
      <c r="C1399" s="1014">
        <v>1.012831926276168</v>
      </c>
      <c r="D1399" s="1014">
        <v>0.98140160934722531</v>
      </c>
      <c r="E1399" s="1014">
        <v>1.0073837427945114</v>
      </c>
      <c r="F1399" s="1014">
        <v>0.99680700304498382</v>
      </c>
      <c r="G1399" s="1014">
        <v>1.0452616610695888</v>
      </c>
      <c r="H1399" s="1014">
        <v>0.99290304825391473</v>
      </c>
      <c r="I1399" s="1014">
        <v>0.99853883616913897</v>
      </c>
      <c r="K1399">
        <v>2.40680980859557</v>
      </c>
      <c r="L1399">
        <v>0</v>
      </c>
      <c r="M1399">
        <v>1.5916045868283651E-3</v>
      </c>
      <c r="N1399">
        <v>0.14810228145792068</v>
      </c>
      <c r="O1399">
        <v>2.0810335813363189E-2</v>
      </c>
      <c r="P1399">
        <v>2.8622078722748752E-2</v>
      </c>
      <c r="Q1399">
        <v>5.4861290334109096E-3</v>
      </c>
      <c r="R1399">
        <v>1.5704456151884509E-3</v>
      </c>
      <c r="S1399">
        <v>0.25684736635455646</v>
      </c>
      <c r="T1399">
        <v>1.3674182671213755</v>
      </c>
      <c r="U1399">
        <v>0.20931275299609081</v>
      </c>
      <c r="V1399">
        <v>0.25244196576227396</v>
      </c>
      <c r="W1399">
        <v>9.6868332437465454E-2</v>
      </c>
      <c r="X1399">
        <v>1.6647222600717455E-2</v>
      </c>
      <c r="Y1399">
        <v>4.2742352672850521E-3</v>
      </c>
    </row>
    <row r="1400" spans="1:25">
      <c r="A1400" s="1010"/>
      <c r="B1400" s="1351">
        <v>1150</v>
      </c>
      <c r="C1400" s="1014">
        <v>0.99070437792848243</v>
      </c>
      <c r="D1400" s="1014">
        <v>0.9643139122733192</v>
      </c>
      <c r="E1400" s="1014">
        <v>1.0273795865350621</v>
      </c>
      <c r="F1400" s="1014">
        <v>1.0022215382204123</v>
      </c>
      <c r="G1400" s="1014">
        <v>0.96522889309800952</v>
      </c>
      <c r="H1400" s="1014">
        <v>0.9913121106960805</v>
      </c>
      <c r="I1400" s="1014">
        <v>1.0024255004097031</v>
      </c>
      <c r="K1400">
        <v>2.4281041006254998</v>
      </c>
      <c r="L1400">
        <v>0</v>
      </c>
      <c r="M1400">
        <v>1.5644037048010379E-3</v>
      </c>
      <c r="N1400">
        <v>0.15462120507486576</v>
      </c>
      <c r="O1400">
        <v>2.1371048928153301E-2</v>
      </c>
      <c r="P1400">
        <v>2.9176024022192285E-2</v>
      </c>
      <c r="Q1400">
        <v>5.747229238343656E-3</v>
      </c>
      <c r="R1400">
        <v>1.5435729674882349E-3</v>
      </c>
      <c r="S1400">
        <v>0.2659851940193636</v>
      </c>
      <c r="T1400">
        <v>1.3752808379194112</v>
      </c>
      <c r="U1400">
        <v>0.21405696351170383</v>
      </c>
      <c r="V1400">
        <v>0.24008670694090106</v>
      </c>
      <c r="W1400">
        <v>9.9953484483229132E-2</v>
      </c>
      <c r="X1400">
        <v>1.7645140445838953E-2</v>
      </c>
      <c r="Y1400">
        <v>4.2010967788109962E-3</v>
      </c>
    </row>
    <row r="1401" spans="1:25">
      <c r="A1401" s="1010"/>
      <c r="B1401" s="1351">
        <v>1151</v>
      </c>
      <c r="C1401" s="1014">
        <v>1.0095708042027929</v>
      </c>
      <c r="D1401" s="1014">
        <v>0.98179352949502818</v>
      </c>
      <c r="E1401" s="1014">
        <v>1.0177310092525074</v>
      </c>
      <c r="F1401" s="1014">
        <v>0.96739288462297712</v>
      </c>
      <c r="G1401" s="1014">
        <v>0.99435115714519506</v>
      </c>
      <c r="H1401" s="1014">
        <v>1.0160572576954292</v>
      </c>
      <c r="I1401" s="1014">
        <v>0.9775820219552821</v>
      </c>
      <c r="K1401">
        <v>2.3645521515401318</v>
      </c>
      <c r="L1401">
        <v>0</v>
      </c>
      <c r="M1401">
        <v>1.5990775389592732E-3</v>
      </c>
      <c r="N1401">
        <v>0.15356545138741243</v>
      </c>
      <c r="O1401">
        <v>2.0882566640437125E-2</v>
      </c>
      <c r="P1401">
        <v>2.8141881153556793E-2</v>
      </c>
      <c r="Q1401">
        <v>5.5623282962364616E-3</v>
      </c>
      <c r="R1401">
        <v>1.5783036618026178E-3</v>
      </c>
      <c r="S1401">
        <v>0.25421698650623881</v>
      </c>
      <c r="T1401">
        <v>1.3272850615655869</v>
      </c>
      <c r="U1401">
        <v>0.21002397823197833</v>
      </c>
      <c r="V1401">
        <v>0.24391231850929426</v>
      </c>
      <c r="W1401">
        <v>9.983183535033012E-2</v>
      </c>
      <c r="X1401">
        <v>1.685489549645016E-2</v>
      </c>
      <c r="Y1401">
        <v>4.2956222797644415E-3</v>
      </c>
    </row>
    <row r="1402" spans="1:25">
      <c r="A1402" s="1010"/>
      <c r="B1402" s="1351">
        <v>1152</v>
      </c>
      <c r="C1402" s="1014">
        <v>0.96385916660709081</v>
      </c>
      <c r="D1402" s="1014">
        <v>1.0314169175129133</v>
      </c>
      <c r="E1402" s="1014">
        <v>1.0420828892808578</v>
      </c>
      <c r="F1402" s="1014">
        <v>1.0424952749920737</v>
      </c>
      <c r="G1402" s="1014">
        <v>1.0108437606615435</v>
      </c>
      <c r="H1402" s="1014">
        <v>0.988706463264998</v>
      </c>
      <c r="I1402" s="1014">
        <v>1.0027945794786814</v>
      </c>
      <c r="K1402">
        <v>2.505415825789636</v>
      </c>
      <c r="L1402">
        <v>0</v>
      </c>
      <c r="M1402">
        <v>1.5324750202287078E-3</v>
      </c>
      <c r="N1402">
        <v>0.15832199413382975</v>
      </c>
      <c r="O1402">
        <v>2.1653675891157641E-2</v>
      </c>
      <c r="P1402">
        <v>3.0464640780731113E-2</v>
      </c>
      <c r="Q1402">
        <v>5.9082837922027837E-3</v>
      </c>
      <c r="R1402">
        <v>1.5120156505644923E-3</v>
      </c>
      <c r="S1402">
        <v>0.26430717036406226</v>
      </c>
      <c r="T1402">
        <v>1.4308795090298112</v>
      </c>
      <c r="U1402">
        <v>0.2200712499417031</v>
      </c>
      <c r="V1402">
        <v>0.24957437417374004</v>
      </c>
      <c r="W1402">
        <v>0.10147923270095389</v>
      </c>
      <c r="X1402">
        <v>1.8660946186097857E-2</v>
      </c>
      <c r="Y1402">
        <v>4.1152081650112976E-3</v>
      </c>
    </row>
    <row r="1403" spans="1:25">
      <c r="A1403" s="1010"/>
      <c r="B1403" s="1351">
        <v>1153</v>
      </c>
      <c r="C1403" s="1014">
        <v>0.98245216949107383</v>
      </c>
      <c r="D1403" s="1014">
        <v>1.0184616987414983</v>
      </c>
      <c r="E1403" s="1014">
        <v>1.0271054374742927</v>
      </c>
      <c r="F1403" s="1014">
        <v>1.0165579694779294</v>
      </c>
      <c r="G1403" s="1014">
        <v>1.00498557464316</v>
      </c>
      <c r="H1403" s="1014">
        <v>0.99176307542810793</v>
      </c>
      <c r="I1403" s="1014">
        <v>1.0257073513088988</v>
      </c>
      <c r="K1403">
        <v>2.457491808191794</v>
      </c>
      <c r="L1403">
        <v>0</v>
      </c>
      <c r="M1403">
        <v>1.5602968860958326E-3</v>
      </c>
      <c r="N1403">
        <v>0.15408882121708375</v>
      </c>
      <c r="O1403">
        <v>2.1292906546329596E-2</v>
      </c>
      <c r="P1403">
        <v>2.958563018159684E-2</v>
      </c>
      <c r="Q1403">
        <v>5.7246604959811974E-3</v>
      </c>
      <c r="R1403">
        <v>1.5395302799990696E-3</v>
      </c>
      <c r="S1403">
        <v>0.26705078001970411</v>
      </c>
      <c r="T1403">
        <v>1.394947693396277</v>
      </c>
      <c r="U1403">
        <v>0.21585399930370647</v>
      </c>
      <c r="V1403">
        <v>0.24740102977939085</v>
      </c>
      <c r="W1403">
        <v>9.9625216863395011E-2</v>
      </c>
      <c r="X1403">
        <v>1.7751743078289195E-2</v>
      </c>
      <c r="Y1403">
        <v>4.1900939161370609E-3</v>
      </c>
    </row>
    <row r="1404" spans="1:25">
      <c r="A1404" s="1010"/>
      <c r="B1404" s="1351">
        <v>1154</v>
      </c>
      <c r="C1404" s="1014">
        <v>1.0103660410336657</v>
      </c>
      <c r="D1404" s="1014">
        <v>1.0227512926523581</v>
      </c>
      <c r="E1404" s="1014">
        <v>0.98556905162601449</v>
      </c>
      <c r="F1404" s="1014">
        <v>0.99262354720553114</v>
      </c>
      <c r="G1404" s="1014">
        <v>0.97154569358009835</v>
      </c>
      <c r="H1404" s="1014">
        <v>1.0116195040349121</v>
      </c>
      <c r="I1404" s="1014">
        <v>0.9904146622954878</v>
      </c>
      <c r="K1404">
        <v>2.3807754318197403</v>
      </c>
      <c r="L1404">
        <v>0</v>
      </c>
      <c r="M1404">
        <v>1.6853968772097083E-3</v>
      </c>
      <c r="N1404">
        <v>0.1468610355275137</v>
      </c>
      <c r="O1404">
        <v>2.0658325974048968E-2</v>
      </c>
      <c r="P1404">
        <v>2.7842574896454801E-2</v>
      </c>
      <c r="Q1404">
        <v>5.3277066329308342E-3</v>
      </c>
      <c r="R1404">
        <v>1.6634055617037063E-3</v>
      </c>
      <c r="S1404">
        <v>0.25153081738334593</v>
      </c>
      <c r="T1404">
        <v>1.3612114132756827</v>
      </c>
      <c r="U1404">
        <v>0.20974983761494553</v>
      </c>
      <c r="V1404">
        <v>0.24008207180466914</v>
      </c>
      <c r="W1404">
        <v>9.7313538972546784E-2</v>
      </c>
      <c r="X1404">
        <v>1.5692859455645376E-2</v>
      </c>
      <c r="Y1404">
        <v>4.5272415974614419E-3</v>
      </c>
    </row>
    <row r="1405" spans="1:25">
      <c r="A1405" s="1010"/>
      <c r="B1405" s="1351">
        <v>1155</v>
      </c>
      <c r="C1405" s="1014">
        <v>1.0300605154136726</v>
      </c>
      <c r="D1405" s="1014">
        <v>1.005510326084101</v>
      </c>
      <c r="E1405" s="1014">
        <v>1.0316223966026616</v>
      </c>
      <c r="F1405" s="1014">
        <v>0.99468820715724282</v>
      </c>
      <c r="G1405" s="1014">
        <v>0.95948647471501469</v>
      </c>
      <c r="H1405" s="1014">
        <v>0.97924990247785426</v>
      </c>
      <c r="I1405" s="1014">
        <v>0.98775297879852464</v>
      </c>
      <c r="K1405">
        <v>2.3694908146738638</v>
      </c>
      <c r="L1405">
        <v>0</v>
      </c>
      <c r="M1405">
        <v>1.4597449192536346E-3</v>
      </c>
      <c r="N1405">
        <v>0.1461099976858404</v>
      </c>
      <c r="O1405">
        <v>2.0368951629615741E-2</v>
      </c>
      <c r="P1405">
        <v>2.868045328884658E-2</v>
      </c>
      <c r="Q1405">
        <v>5.5007721376648631E-3</v>
      </c>
      <c r="R1405">
        <v>1.4400683375258873E-3</v>
      </c>
      <c r="S1405">
        <v>0.24587261451103826</v>
      </c>
      <c r="T1405">
        <v>1.3650351582690952</v>
      </c>
      <c r="U1405">
        <v>0.20589250355323696</v>
      </c>
      <c r="V1405">
        <v>0.23668540651997957</v>
      </c>
      <c r="W1405">
        <v>9.4219066716606709E-2</v>
      </c>
      <c r="X1405">
        <v>1.7226175647321693E-2</v>
      </c>
      <c r="Y1405">
        <v>3.919391296345583E-3</v>
      </c>
    </row>
    <row r="1406" spans="1:25">
      <c r="A1406" s="1010"/>
      <c r="B1406" s="1351">
        <v>1156</v>
      </c>
      <c r="C1406" s="1014">
        <v>0.99048402527936441</v>
      </c>
      <c r="D1406" s="1014">
        <v>0.95644459668196757</v>
      </c>
      <c r="E1406" s="1014">
        <v>1.0026392736683771</v>
      </c>
      <c r="F1406" s="1014">
        <v>0.96841499125429764</v>
      </c>
      <c r="G1406" s="1014">
        <v>1.0189385516163989</v>
      </c>
      <c r="H1406" s="1014">
        <v>0.98167393263799241</v>
      </c>
      <c r="I1406" s="1014">
        <v>0.98630329544732975</v>
      </c>
      <c r="K1406">
        <v>2.3777099313482224</v>
      </c>
      <c r="L1406">
        <v>0</v>
      </c>
      <c r="M1406">
        <v>1.6342708977372718E-3</v>
      </c>
      <c r="N1406">
        <v>0.14988589396282151</v>
      </c>
      <c r="O1406">
        <v>2.1397592839498495E-2</v>
      </c>
      <c r="P1406">
        <v>2.8077836664109693E-2</v>
      </c>
      <c r="Q1406">
        <v>5.6141810308357612E-3</v>
      </c>
      <c r="R1406">
        <v>1.6122961951154956E-3</v>
      </c>
      <c r="S1406">
        <v>0.26182426309328449</v>
      </c>
      <c r="T1406">
        <v>1.3283706770299573</v>
      </c>
      <c r="U1406">
        <v>0.21401900792784223</v>
      </c>
      <c r="V1406">
        <v>0.24935505868714908</v>
      </c>
      <c r="W1406">
        <v>9.8310668966042375E-2</v>
      </c>
      <c r="X1406">
        <v>1.6488587099493583E-2</v>
      </c>
      <c r="Y1406">
        <v>4.3881387498065022E-3</v>
      </c>
    </row>
    <row r="1407" spans="1:25">
      <c r="A1407" s="1010"/>
      <c r="B1407" s="1351">
        <v>1157</v>
      </c>
      <c r="C1407" s="1014">
        <v>1.0226481332814896</v>
      </c>
      <c r="D1407" s="1014">
        <v>0.99977477651610958</v>
      </c>
      <c r="E1407" s="1014">
        <v>0.98318928611070455</v>
      </c>
      <c r="F1407" s="1014">
        <v>0.99664335870889087</v>
      </c>
      <c r="G1407" s="1014">
        <v>0.97784207584625416</v>
      </c>
      <c r="H1407" s="1014">
        <v>0.95727915599048941</v>
      </c>
      <c r="I1407" s="1014">
        <v>0.99137090523382365</v>
      </c>
      <c r="K1407">
        <v>2.3636098456002452</v>
      </c>
      <c r="L1407">
        <v>0</v>
      </c>
      <c r="M1407">
        <v>1.5914229610972459E-3</v>
      </c>
      <c r="N1407">
        <v>0.13757448657165874</v>
      </c>
      <c r="O1407">
        <v>2.051095805455452E-2</v>
      </c>
      <c r="P1407">
        <v>2.7776760058431566E-2</v>
      </c>
      <c r="Q1407">
        <v>5.2769528228700817E-3</v>
      </c>
      <c r="R1407">
        <v>1.5694790903980245E-3</v>
      </c>
      <c r="S1407">
        <v>0.24708447160170621</v>
      </c>
      <c r="T1407">
        <v>1.3666727560139176</v>
      </c>
      <c r="U1407">
        <v>0.20722278939920399</v>
      </c>
      <c r="V1407">
        <v>0.24042471835386864</v>
      </c>
      <c r="W1407">
        <v>9.1290688575741713E-2</v>
      </c>
      <c r="X1407">
        <v>1.5525603313568413E-2</v>
      </c>
      <c r="Y1407">
        <v>4.271604705420322E-3</v>
      </c>
    </row>
    <row r="1408" spans="1:25">
      <c r="A1408" s="1010"/>
      <c r="B1408" s="1351">
        <v>1158</v>
      </c>
      <c r="C1408" s="1014">
        <v>1.0414017348727342</v>
      </c>
      <c r="D1408" s="1014">
        <v>1.0011564622548643</v>
      </c>
      <c r="E1408" s="1014">
        <v>1.0116540344280598</v>
      </c>
      <c r="F1408" s="1014">
        <v>0.98341927851809163</v>
      </c>
      <c r="G1408" s="1014">
        <v>1.026173152290778</v>
      </c>
      <c r="H1408" s="1014">
        <v>1.0354126655810603</v>
      </c>
      <c r="I1408" s="1014">
        <v>0.99696605816409967</v>
      </c>
      <c r="K1408">
        <v>2.3733257930978171</v>
      </c>
      <c r="L1408">
        <v>0</v>
      </c>
      <c r="M1408">
        <v>1.5929574419739864E-3</v>
      </c>
      <c r="N1408">
        <v>0.15023462169393531</v>
      </c>
      <c r="O1408">
        <v>2.015360548247809E-2</v>
      </c>
      <c r="P1408">
        <v>2.822531857570482E-2</v>
      </c>
      <c r="Q1408">
        <v>5.335732756548593E-3</v>
      </c>
      <c r="R1408">
        <v>1.5726499206262807E-3</v>
      </c>
      <c r="S1408">
        <v>0.25041743035166736</v>
      </c>
      <c r="T1408">
        <v>1.3491440077078738</v>
      </c>
      <c r="U1408">
        <v>0.20358450545043205</v>
      </c>
      <c r="V1408">
        <v>0.24747679486931076</v>
      </c>
      <c r="W1408">
        <v>9.8015801391020188E-2</v>
      </c>
      <c r="X1408">
        <v>1.6478047680156611E-2</v>
      </c>
      <c r="Y1408">
        <v>4.280234660037731E-3</v>
      </c>
    </row>
    <row r="1409" spans="1:25">
      <c r="A1409" s="1010"/>
      <c r="B1409" s="1351">
        <v>1159</v>
      </c>
      <c r="C1409" s="1014">
        <v>1.0253983597516485</v>
      </c>
      <c r="D1409" s="1014">
        <v>1.0084528091992144</v>
      </c>
      <c r="E1409" s="1014">
        <v>0.98248640486899463</v>
      </c>
      <c r="F1409" s="1014">
        <v>1.0063202230788364</v>
      </c>
      <c r="G1409" s="1014">
        <v>1.0093153523841154</v>
      </c>
      <c r="H1409" s="1014">
        <v>0.97199343274935568</v>
      </c>
      <c r="I1409" s="1014">
        <v>1.0206966172466789</v>
      </c>
      <c r="K1409">
        <v>2.3909896301955609</v>
      </c>
      <c r="L1409">
        <v>0</v>
      </c>
      <c r="M1409">
        <v>1.6108299759232099E-3</v>
      </c>
      <c r="N1409">
        <v>0.13898581659828069</v>
      </c>
      <c r="O1409">
        <v>2.0416635551146593E-2</v>
      </c>
      <c r="P1409">
        <v>2.8094257002890626E-2</v>
      </c>
      <c r="Q1409">
        <v>5.2489407174819199E-3</v>
      </c>
      <c r="R1409">
        <v>1.5889547478074746E-3</v>
      </c>
      <c r="S1409">
        <v>0.25384515061602747</v>
      </c>
      <c r="T1409">
        <v>1.3799271601263572</v>
      </c>
      <c r="U1409">
        <v>0.20666465937619019</v>
      </c>
      <c r="V1409">
        <v>0.24564101037508246</v>
      </c>
      <c r="W1409">
        <v>9.2266271867662439E-2</v>
      </c>
      <c r="X1409">
        <v>1.5596992167814782E-2</v>
      </c>
      <c r="Y1409">
        <v>4.3246110247401048E-3</v>
      </c>
    </row>
    <row r="1410" spans="1:25">
      <c r="A1410" s="1010"/>
      <c r="B1410" s="1351">
        <v>1160</v>
      </c>
      <c r="C1410" s="1014">
        <v>0.98565988779043634</v>
      </c>
      <c r="D1410" s="1014">
        <v>0.96891908149989281</v>
      </c>
      <c r="E1410" s="1014">
        <v>0.97785536350315916</v>
      </c>
      <c r="F1410" s="1014">
        <v>1.0025589659496656</v>
      </c>
      <c r="G1410" s="1014">
        <v>0.98929239150162829</v>
      </c>
      <c r="H1410" s="1014">
        <v>0.99803360037197608</v>
      </c>
      <c r="I1410" s="1014">
        <v>1.0092086820429993</v>
      </c>
      <c r="K1410">
        <v>2.4271010716566153</v>
      </c>
      <c r="L1410">
        <v>0</v>
      </c>
      <c r="M1410">
        <v>1.752576413157384E-3</v>
      </c>
      <c r="N1410">
        <v>0.14916552993384335</v>
      </c>
      <c r="O1410">
        <v>2.142432975681096E-2</v>
      </c>
      <c r="P1410">
        <v>2.8223074945682242E-2</v>
      </c>
      <c r="Q1410">
        <v>5.4821474630915067E-3</v>
      </c>
      <c r="R1410">
        <v>1.7293972358202769E-3</v>
      </c>
      <c r="S1410">
        <v>0.26867630669997339</v>
      </c>
      <c r="T1410">
        <v>1.3746694896048923</v>
      </c>
      <c r="U1410">
        <v>0.21498067013393801</v>
      </c>
      <c r="V1410">
        <v>0.24468911170719246</v>
      </c>
      <c r="W1410">
        <v>9.9301368236180534E-2</v>
      </c>
      <c r="X1410">
        <v>1.5805373172086093E-2</v>
      </c>
      <c r="Y1410">
        <v>4.7068491802572231E-3</v>
      </c>
    </row>
    <row r="1411" spans="1:25">
      <c r="A1411" s="1010"/>
      <c r="B1411" s="1351">
        <v>1161</v>
      </c>
      <c r="C1411" s="1014">
        <v>0.96148484663120526</v>
      </c>
      <c r="D1411" s="1014">
        <v>1.0215398232732875</v>
      </c>
      <c r="E1411" s="1014">
        <v>1.0346666562503641</v>
      </c>
      <c r="F1411" s="1014">
        <v>1.0002931210887003</v>
      </c>
      <c r="G1411" s="1014">
        <v>1.0111946431496146</v>
      </c>
      <c r="H1411" s="1014">
        <v>0.97501774887355364</v>
      </c>
      <c r="I1411" s="1014">
        <v>0.97726666749555124</v>
      </c>
      <c r="K1411">
        <v>2.4366505099957942</v>
      </c>
      <c r="L1411">
        <v>0</v>
      </c>
      <c r="M1411">
        <v>1.5418739221529751E-3</v>
      </c>
      <c r="N1411">
        <v>0.15574378709287309</v>
      </c>
      <c r="O1411">
        <v>2.1748024837851234E-2</v>
      </c>
      <c r="P1411">
        <v>2.9414630345186446E-2</v>
      </c>
      <c r="Q1411">
        <v>5.890873595243094E-3</v>
      </c>
      <c r="R1411">
        <v>1.5210000720646628E-3</v>
      </c>
      <c r="S1411">
        <v>0.25821593068838972</v>
      </c>
      <c r="T1411">
        <v>1.3727932041366326</v>
      </c>
      <c r="U1411">
        <v>0.22058818383341069</v>
      </c>
      <c r="V1411">
        <v>0.24981979080314828</v>
      </c>
      <c r="W1411">
        <v>0.10025453698237291</v>
      </c>
      <c r="X1411">
        <v>1.8062760732154383E-2</v>
      </c>
      <c r="Y1411">
        <v>4.1396607986210112E-3</v>
      </c>
    </row>
    <row r="1412" spans="1:25">
      <c r="A1412" s="1010"/>
      <c r="B1412" s="1351">
        <v>1162</v>
      </c>
      <c r="C1412" s="1014">
        <v>0.95692413714190294</v>
      </c>
      <c r="D1412" s="1014">
        <v>1.0028441334296316</v>
      </c>
      <c r="E1412" s="1014">
        <v>1.0204564711706701</v>
      </c>
      <c r="F1412" s="1014">
        <v>0.98555166782694437</v>
      </c>
      <c r="G1412" s="1014">
        <v>0.96619315155845287</v>
      </c>
      <c r="H1412" s="1014">
        <v>1.0062283205471532</v>
      </c>
      <c r="I1412" s="1014">
        <v>0.96215934104920653</v>
      </c>
      <c r="K1412">
        <v>2.4191843759854788</v>
      </c>
      <c r="L1412">
        <v>0</v>
      </c>
      <c r="M1412">
        <v>1.6535517245221411E-3</v>
      </c>
      <c r="N1412">
        <v>0.16008734585860537</v>
      </c>
      <c r="O1412">
        <v>2.193076340642966E-2</v>
      </c>
      <c r="P1412">
        <v>2.8769970456120848E-2</v>
      </c>
      <c r="Q1412">
        <v>5.8573854024358482E-3</v>
      </c>
      <c r="R1412">
        <v>1.6318603303432197E-3</v>
      </c>
      <c r="S1412">
        <v>0.26036670349523344</v>
      </c>
      <c r="T1412">
        <v>1.3522576393700441</v>
      </c>
      <c r="U1412">
        <v>0.22158853752027907</v>
      </c>
      <c r="V1412">
        <v>0.24249822861622836</v>
      </c>
      <c r="W1412">
        <v>0.10390574138170969</v>
      </c>
      <c r="X1412">
        <v>1.7502365995989189E-2</v>
      </c>
      <c r="Y1412">
        <v>4.4413858765809215E-3</v>
      </c>
    </row>
    <row r="1413" spans="1:25">
      <c r="A1413" s="1010"/>
      <c r="B1413" s="1351">
        <v>1163</v>
      </c>
      <c r="C1413" s="1014">
        <v>0.97902935332692198</v>
      </c>
      <c r="D1413" s="1014">
        <v>1.0021482812575326</v>
      </c>
      <c r="E1413" s="1014">
        <v>1.0378120567780773</v>
      </c>
      <c r="F1413" s="1014">
        <v>1.0027128932986886</v>
      </c>
      <c r="G1413" s="1014">
        <v>1.0376757609997198</v>
      </c>
      <c r="H1413" s="1014">
        <v>1.0347514059427902</v>
      </c>
      <c r="I1413" s="1014">
        <v>1.0166034822994869</v>
      </c>
      <c r="K1413">
        <v>2.4659475360363765</v>
      </c>
      <c r="L1413">
        <v>0</v>
      </c>
      <c r="M1413">
        <v>1.6032494239554681E-3</v>
      </c>
      <c r="N1413">
        <v>0.16361495764941733</v>
      </c>
      <c r="O1413">
        <v>2.1450680106041217E-2</v>
      </c>
      <c r="P1413">
        <v>2.9709119800850097E-2</v>
      </c>
      <c r="Q1413">
        <v>5.8283674371561733E-3</v>
      </c>
      <c r="R1413">
        <v>1.5827976357888414E-3</v>
      </c>
      <c r="S1413">
        <v>0.27165104067577406</v>
      </c>
      <c r="T1413">
        <v>1.3761827688120902</v>
      </c>
      <c r="U1413">
        <v>0.21664621735515641</v>
      </c>
      <c r="V1413">
        <v>0.25316277229473405</v>
      </c>
      <c r="W1413">
        <v>0.10513013729813329</v>
      </c>
      <c r="X1413">
        <v>1.8284072999670265E-2</v>
      </c>
      <c r="Y1413">
        <v>4.3078533955168141E-3</v>
      </c>
    </row>
    <row r="1414" spans="1:25">
      <c r="A1414" s="1010"/>
      <c r="B1414" s="1351">
        <v>1164</v>
      </c>
      <c r="C1414" s="1014">
        <v>0.97610868205024959</v>
      </c>
      <c r="D1414" s="1014">
        <v>1.0159023448247775</v>
      </c>
      <c r="E1414" s="1014">
        <v>0.97084014639245675</v>
      </c>
      <c r="F1414" s="1014">
        <v>0.97312550867823677</v>
      </c>
      <c r="G1414" s="1014">
        <v>1.0034721608669948</v>
      </c>
      <c r="H1414" s="1014">
        <v>0.99237356660289255</v>
      </c>
      <c r="I1414" s="1014">
        <v>0.96540207355031016</v>
      </c>
      <c r="K1414">
        <v>2.3717667735415207</v>
      </c>
      <c r="L1414">
        <v>0</v>
      </c>
      <c r="M1414">
        <v>1.7668751616007074E-3</v>
      </c>
      <c r="N1414">
        <v>0.14721164140875184</v>
      </c>
      <c r="O1414">
        <v>2.1405034971984906E-2</v>
      </c>
      <c r="P1414">
        <v>2.738985587015574E-2</v>
      </c>
      <c r="Q1414">
        <v>5.4381729719797751E-3</v>
      </c>
      <c r="R1414">
        <v>1.7433735904950174E-3</v>
      </c>
      <c r="S1414">
        <v>0.2529022623626217</v>
      </c>
      <c r="T1414">
        <v>1.3341646254353483</v>
      </c>
      <c r="U1414">
        <v>0.21705978753271085</v>
      </c>
      <c r="V1414">
        <v>0.24775706033248049</v>
      </c>
      <c r="W1414">
        <v>9.8418520220211275E-2</v>
      </c>
      <c r="X1414">
        <v>1.5298425796004414E-2</v>
      </c>
      <c r="Y1414">
        <v>4.7448882103777864E-3</v>
      </c>
    </row>
    <row r="1415" spans="1:25">
      <c r="A1415" s="1010"/>
      <c r="B1415" s="1351">
        <v>1165</v>
      </c>
      <c r="C1415" s="1014">
        <v>0.98705446220313342</v>
      </c>
      <c r="D1415" s="1014">
        <v>1.0195539541151672</v>
      </c>
      <c r="E1415" s="1014">
        <v>1.0177719730769013</v>
      </c>
      <c r="F1415" s="1014">
        <v>1.0024469846779411</v>
      </c>
      <c r="G1415" s="1014">
        <v>0.98483915238906128</v>
      </c>
      <c r="H1415" s="1014">
        <v>1.0209945827359865</v>
      </c>
      <c r="I1415" s="1014">
        <v>1.0038138886275536</v>
      </c>
      <c r="K1415">
        <v>2.4320626154783862</v>
      </c>
      <c r="L1415">
        <v>0</v>
      </c>
      <c r="M1415">
        <v>1.629774923999479E-3</v>
      </c>
      <c r="N1415">
        <v>0.15654274653222769</v>
      </c>
      <c r="O1415">
        <v>2.1182357617668283E-2</v>
      </c>
      <c r="P1415">
        <v>2.8984678944963364E-2</v>
      </c>
      <c r="Q1415">
        <v>5.6424113689894761E-3</v>
      </c>
      <c r="R1415">
        <v>1.608704638901357E-3</v>
      </c>
      <c r="S1415">
        <v>0.26243545376109145</v>
      </c>
      <c r="T1415">
        <v>1.3753809761450313</v>
      </c>
      <c r="U1415">
        <v>0.21481511419023558</v>
      </c>
      <c r="V1415">
        <v>0.24369882052119526</v>
      </c>
      <c r="W1415">
        <v>0.10176491103879826</v>
      </c>
      <c r="X1415">
        <v>1.7257851925536489E-2</v>
      </c>
      <c r="Y1415">
        <v>4.3783637177478053E-3</v>
      </c>
    </row>
    <row r="1416" spans="1:25">
      <c r="A1416" s="1010"/>
      <c r="B1416" s="1351">
        <v>1166</v>
      </c>
      <c r="C1416" s="1014">
        <v>1.0069810794159704</v>
      </c>
      <c r="D1416" s="1014">
        <v>0.99419141337602979</v>
      </c>
      <c r="E1416" s="1014">
        <v>0.95672234200219908</v>
      </c>
      <c r="F1416" s="1014">
        <v>1.039390108634944</v>
      </c>
      <c r="G1416" s="1014">
        <v>1.0030190389478721</v>
      </c>
      <c r="H1416" s="1014">
        <v>1.0255795708755635</v>
      </c>
      <c r="I1416" s="1014">
        <v>0.98351647135427234</v>
      </c>
      <c r="K1416">
        <v>2.4549557265218849</v>
      </c>
      <c r="L1416">
        <v>0</v>
      </c>
      <c r="M1416">
        <v>1.8309897853105634E-3</v>
      </c>
      <c r="N1416">
        <v>0.14623064060890423</v>
      </c>
      <c r="O1416">
        <v>2.0838375732896833E-2</v>
      </c>
      <c r="P1416">
        <v>2.820355192244962E-2</v>
      </c>
      <c r="Q1416">
        <v>5.2181009459273562E-3</v>
      </c>
      <c r="R1416">
        <v>1.807423953240224E-3</v>
      </c>
      <c r="S1416">
        <v>0.25511207243953909</v>
      </c>
      <c r="T1416">
        <v>1.4246990875332224</v>
      </c>
      <c r="U1416">
        <v>0.21035744997168163</v>
      </c>
      <c r="V1416">
        <v>0.24577362403748743</v>
      </c>
      <c r="W1416">
        <v>9.8610525594360121E-2</v>
      </c>
      <c r="X1416">
        <v>1.5016651383912494E-2</v>
      </c>
      <c r="Y1416">
        <v>4.9192121835738333E-3</v>
      </c>
    </row>
    <row r="1417" spans="1:25">
      <c r="A1417" s="1010"/>
      <c r="B1417" s="1351">
        <v>1167</v>
      </c>
      <c r="C1417" s="1014">
        <v>0.99557925846680007</v>
      </c>
      <c r="D1417" s="1014">
        <v>1.0067702729948897</v>
      </c>
      <c r="E1417" s="1014">
        <v>0.99731227256176125</v>
      </c>
      <c r="F1417" s="1014">
        <v>0.98866623186836566</v>
      </c>
      <c r="G1417" s="1014">
        <v>0.9753409564335529</v>
      </c>
      <c r="H1417" s="1014">
        <v>0.97705222305446271</v>
      </c>
      <c r="I1417" s="1014">
        <v>0.98026295376685779</v>
      </c>
      <c r="K1417">
        <v>2.3796250172346687</v>
      </c>
      <c r="L1417">
        <v>0</v>
      </c>
      <c r="M1417">
        <v>1.6178771398737851E-3</v>
      </c>
      <c r="N1417">
        <v>0.14600398120843622</v>
      </c>
      <c r="O1417">
        <v>2.1045723752005398E-2</v>
      </c>
      <c r="P1417">
        <v>2.8086727442917986E-2</v>
      </c>
      <c r="Q1417">
        <v>5.4923708936943354E-3</v>
      </c>
      <c r="R1417">
        <v>1.5960199673740749E-3</v>
      </c>
      <c r="S1417">
        <v>0.25184274240968657</v>
      </c>
      <c r="T1417">
        <v>1.356035309203423</v>
      </c>
      <c r="U1417">
        <v>0.21290539934153865</v>
      </c>
      <c r="V1417">
        <v>0.24160643103035231</v>
      </c>
      <c r="W1417">
        <v>9.6068193607683927E-2</v>
      </c>
      <c r="X1417">
        <v>1.6216155294074799E-2</v>
      </c>
      <c r="Y1417">
        <v>4.3438402233513876E-3</v>
      </c>
    </row>
    <row r="1418" spans="1:25">
      <c r="A1418" s="1010"/>
      <c r="B1418" s="1351">
        <v>1168</v>
      </c>
      <c r="C1418" s="1014">
        <v>1.018500242957775</v>
      </c>
      <c r="D1418" s="1014">
        <v>1.0198263474606832</v>
      </c>
      <c r="E1418" s="1014">
        <v>1.0243819764353363</v>
      </c>
      <c r="F1418" s="1014">
        <v>1.0121236716469901</v>
      </c>
      <c r="G1418" s="1014">
        <v>0.98528842955765039</v>
      </c>
      <c r="H1418" s="1014">
        <v>1.0076327203972999</v>
      </c>
      <c r="I1418" s="1014">
        <v>0.96804342141926281</v>
      </c>
      <c r="K1418">
        <v>2.4074639002722136</v>
      </c>
      <c r="L1418">
        <v>0</v>
      </c>
      <c r="M1418">
        <v>1.5374004721181958E-3</v>
      </c>
      <c r="N1418">
        <v>0.15061785302840455</v>
      </c>
      <c r="O1418">
        <v>2.0531456994250925E-2</v>
      </c>
      <c r="P1418">
        <v>2.8940197541181382E-2</v>
      </c>
      <c r="Q1418">
        <v>5.50506445584714E-3</v>
      </c>
      <c r="R1418">
        <v>1.5172608662669253E-3</v>
      </c>
      <c r="S1418">
        <v>0.24421221082104608</v>
      </c>
      <c r="T1418">
        <v>1.3888029149745014</v>
      </c>
      <c r="U1418">
        <v>0.20820504032442658</v>
      </c>
      <c r="V1418">
        <v>0.24180046852867162</v>
      </c>
      <c r="W1418">
        <v>9.7535670765807395E-2</v>
      </c>
      <c r="X1418">
        <v>1.7203678530858555E-2</v>
      </c>
      <c r="Y1418">
        <v>4.1294839130684271E-3</v>
      </c>
    </row>
    <row r="1419" spans="1:25">
      <c r="A1419" s="1010"/>
      <c r="B1419" s="1351">
        <v>1169</v>
      </c>
      <c r="C1419" s="1014">
        <v>0.97578053602467407</v>
      </c>
      <c r="D1419" s="1014">
        <v>0.9793632912169089</v>
      </c>
      <c r="E1419" s="1014">
        <v>1.0015777939809618</v>
      </c>
      <c r="F1419" s="1014">
        <v>1.010513771715881</v>
      </c>
      <c r="G1419" s="1014">
        <v>0.98263975014978522</v>
      </c>
      <c r="H1419" s="1014">
        <v>1.0426146287151237</v>
      </c>
      <c r="I1419" s="1014">
        <v>0.97392564229562695</v>
      </c>
      <c r="K1419">
        <v>2.4558137179517527</v>
      </c>
      <c r="L1419">
        <v>0</v>
      </c>
      <c r="M1419">
        <v>1.7565883698554042E-3</v>
      </c>
      <c r="N1419">
        <v>0.16071633050092046</v>
      </c>
      <c r="O1419">
        <v>2.1606438218930626E-2</v>
      </c>
      <c r="P1419">
        <v>2.885315329851423E-2</v>
      </c>
      <c r="Q1419">
        <v>5.6629383175903847E-3</v>
      </c>
      <c r="R1419">
        <v>1.7343495156702197E-3</v>
      </c>
      <c r="S1419">
        <v>0.26449375260944269</v>
      </c>
      <c r="T1419">
        <v>1.3860941838803671</v>
      </c>
      <c r="U1419">
        <v>0.21724022057346654</v>
      </c>
      <c r="V1419">
        <v>0.24410966112095278</v>
      </c>
      <c r="W1419">
        <v>0.10548080394463934</v>
      </c>
      <c r="X1419">
        <v>1.6858146687622783E-2</v>
      </c>
      <c r="Y1419">
        <v>4.7203276534901525E-3</v>
      </c>
    </row>
    <row r="1420" spans="1:25">
      <c r="A1420" s="1010"/>
      <c r="B1420" s="1351">
        <v>1170</v>
      </c>
      <c r="C1420" s="1014">
        <v>0.99029080838116712</v>
      </c>
      <c r="D1420" s="1014">
        <v>1.0041312480094247</v>
      </c>
      <c r="E1420" s="1014">
        <v>0.9735965686491026</v>
      </c>
      <c r="F1420" s="1014">
        <v>1.013794449232019</v>
      </c>
      <c r="G1420" s="1014">
        <v>1.036298313284165</v>
      </c>
      <c r="H1420" s="1014">
        <v>1.0323389699633532</v>
      </c>
      <c r="I1420" s="1014">
        <v>1.0194413989045601</v>
      </c>
      <c r="K1420">
        <v>2.4532949146616425</v>
      </c>
      <c r="L1420">
        <v>0</v>
      </c>
      <c r="M1420">
        <v>1.8060497134370988E-3</v>
      </c>
      <c r="N1420">
        <v>0.15181569372813772</v>
      </c>
      <c r="O1420">
        <v>2.1154492753242014E-2</v>
      </c>
      <c r="P1420">
        <v>2.8421332845745439E-2</v>
      </c>
      <c r="Q1420">
        <v>5.3896641783436113E-3</v>
      </c>
      <c r="R1420">
        <v>1.7829570728089533E-3</v>
      </c>
      <c r="S1420">
        <v>0.26828991394833479</v>
      </c>
      <c r="T1420">
        <v>1.3899822318580555</v>
      </c>
      <c r="U1420">
        <v>0.21396070826200428</v>
      </c>
      <c r="V1420">
        <v>0.25244183431724099</v>
      </c>
      <c r="W1420">
        <v>0.1013267310803594</v>
      </c>
      <c r="X1420">
        <v>1.5682782930258543E-2</v>
      </c>
      <c r="Y1420">
        <v>4.8526214005448808E-3</v>
      </c>
    </row>
    <row r="1421" spans="1:25">
      <c r="A1421" s="1010"/>
      <c r="B1421" s="1351">
        <v>1171</v>
      </c>
      <c r="C1421" s="1014">
        <v>1.0155559058928367</v>
      </c>
      <c r="D1421" s="1014">
        <v>1.0032276257887971</v>
      </c>
      <c r="E1421" s="1014">
        <v>0.99731379596565151</v>
      </c>
      <c r="F1421" s="1014">
        <v>0.98277011649477986</v>
      </c>
      <c r="G1421" s="1014">
        <v>1.0230884709626364</v>
      </c>
      <c r="H1421" s="1014">
        <v>0.97906517199893128</v>
      </c>
      <c r="I1421" s="1014">
        <v>1.0050279672344098</v>
      </c>
      <c r="K1421">
        <v>2.3713332278573902</v>
      </c>
      <c r="L1421">
        <v>0</v>
      </c>
      <c r="M1421">
        <v>1.5905480500607225E-3</v>
      </c>
      <c r="N1421">
        <v>0.14354239244405906</v>
      </c>
      <c r="O1421">
        <v>2.0647747879812165E-2</v>
      </c>
      <c r="P1421">
        <v>2.803970281315488E-2</v>
      </c>
      <c r="Q1421">
        <v>5.3885181012036888E-3</v>
      </c>
      <c r="R1421">
        <v>1.5691042667437592E-3</v>
      </c>
      <c r="S1421">
        <v>0.25374407145442579</v>
      </c>
      <c r="T1421">
        <v>1.3479483447866407</v>
      </c>
      <c r="U1421">
        <v>0.20871741631872795</v>
      </c>
      <c r="V1421">
        <v>0.24852821350005938</v>
      </c>
      <c r="W1421">
        <v>9.4448423404989906E-2</v>
      </c>
      <c r="X1421">
        <v>1.6079256378637569E-2</v>
      </c>
      <c r="Y1421">
        <v>4.2705845589939969E-3</v>
      </c>
    </row>
    <row r="1422" spans="1:25">
      <c r="A1422" s="1010"/>
      <c r="B1422" s="1351">
        <v>1172</v>
      </c>
      <c r="C1422" s="1014">
        <v>0.96529142172752447</v>
      </c>
      <c r="D1422" s="1014">
        <v>0.9935032572749174</v>
      </c>
      <c r="E1422" s="1014">
        <v>0.99402503122050156</v>
      </c>
      <c r="F1422" s="1014">
        <v>1.0037877420161589</v>
      </c>
      <c r="G1422" s="1014">
        <v>1.0183707762452201</v>
      </c>
      <c r="H1422" s="1014">
        <v>1.0189586602805623</v>
      </c>
      <c r="I1422" s="1014">
        <v>0.98685758762605702</v>
      </c>
      <c r="K1422">
        <v>2.4521906954038339</v>
      </c>
      <c r="L1422">
        <v>0</v>
      </c>
      <c r="M1422">
        <v>1.7572295839292926E-3</v>
      </c>
      <c r="N1422">
        <v>0.1571005294291995</v>
      </c>
      <c r="O1422">
        <v>2.1767250411009936E-2</v>
      </c>
      <c r="P1422">
        <v>2.871989423072711E-2</v>
      </c>
      <c r="Q1422">
        <v>5.6618856455369132E-3</v>
      </c>
      <c r="R1422">
        <v>1.734466129945388E-3</v>
      </c>
      <c r="S1422">
        <v>0.26686421711328118</v>
      </c>
      <c r="T1422">
        <v>1.3767043733385786</v>
      </c>
      <c r="U1422">
        <v>0.2195740746668379</v>
      </c>
      <c r="V1422">
        <v>0.25093356856954135</v>
      </c>
      <c r="W1422">
        <v>0.10357238776769248</v>
      </c>
      <c r="X1422">
        <v>1.6594632646302971E-2</v>
      </c>
      <c r="Y1422">
        <v>4.7206450391052771E-3</v>
      </c>
    </row>
    <row r="1423" spans="1:25">
      <c r="A1423" s="1010"/>
      <c r="B1423" s="1351">
        <v>1173</v>
      </c>
      <c r="C1423" s="1014">
        <v>0.99069253564624893</v>
      </c>
      <c r="D1423" s="1014">
        <v>0.979681099708126</v>
      </c>
      <c r="E1423" s="1014">
        <v>1.0331288455291565</v>
      </c>
      <c r="F1423" s="1014">
        <v>1.0050043270504407</v>
      </c>
      <c r="G1423" s="1014">
        <v>1.0338371861824196</v>
      </c>
      <c r="H1423" s="1014">
        <v>1.0106997740202299</v>
      </c>
      <c r="I1423" s="1014">
        <v>1.0426439140121873</v>
      </c>
      <c r="K1423">
        <v>2.460032760558664</v>
      </c>
      <c r="L1423">
        <v>0</v>
      </c>
      <c r="M1423">
        <v>1.5705511038719784E-3</v>
      </c>
      <c r="N1423">
        <v>0.1579834385784756</v>
      </c>
      <c r="O1423">
        <v>2.1300985329937881E-2</v>
      </c>
      <c r="P1423">
        <v>2.9660404500335337E-2</v>
      </c>
      <c r="Q1423">
        <v>5.7610371395025546E-3</v>
      </c>
      <c r="R1423">
        <v>1.5500396652307082E-3</v>
      </c>
      <c r="S1423">
        <v>0.27625442389819044</v>
      </c>
      <c r="T1423">
        <v>1.3792251745167141</v>
      </c>
      <c r="U1423">
        <v>0.21407944962548464</v>
      </c>
      <c r="V1423">
        <v>0.25177405877348991</v>
      </c>
      <c r="W1423">
        <v>0.10178677667539623</v>
      </c>
      <c r="X1423">
        <v>1.8008825961457475E-2</v>
      </c>
      <c r="Y1423">
        <v>4.2186969983196709E-3</v>
      </c>
    </row>
    <row r="1424" spans="1:25">
      <c r="A1424" s="1010"/>
      <c r="B1424" s="1351">
        <v>1174</v>
      </c>
      <c r="C1424" s="1014">
        <v>1.0349944185705005</v>
      </c>
      <c r="D1424" s="1014">
        <v>0.96970343941688597</v>
      </c>
      <c r="E1424" s="1014">
        <v>1.0109178487885051</v>
      </c>
      <c r="F1424" s="1014">
        <v>1.0293584798328961</v>
      </c>
      <c r="G1424" s="1014">
        <v>0.99202999465757191</v>
      </c>
      <c r="H1424" s="1014">
        <v>0.97313557133347195</v>
      </c>
      <c r="I1424" s="1014">
        <v>0.96103218921070377</v>
      </c>
      <c r="K1424">
        <v>2.4124239016091775</v>
      </c>
      <c r="L1424">
        <v>0</v>
      </c>
      <c r="M1424">
        <v>1.5193525334763315E-3</v>
      </c>
      <c r="N1424">
        <v>0.14285657089026552</v>
      </c>
      <c r="O1424">
        <v>2.0420801352408174E-2</v>
      </c>
      <c r="P1424">
        <v>2.8900906925765309E-2</v>
      </c>
      <c r="Q1424">
        <v>5.4024992877045779E-3</v>
      </c>
      <c r="R1424">
        <v>1.498743794197668E-3</v>
      </c>
      <c r="S1424">
        <v>0.24182947004677005</v>
      </c>
      <c r="T1424">
        <v>1.4121511555582962</v>
      </c>
      <c r="U1424">
        <v>0.20484239578933355</v>
      </c>
      <c r="V1424">
        <v>0.24202160514421558</v>
      </c>
      <c r="W1424">
        <v>9.3242654688655155E-2</v>
      </c>
      <c r="X1424">
        <v>1.6697364117992945E-2</v>
      </c>
      <c r="Y1424">
        <v>4.0790865470470778E-3</v>
      </c>
    </row>
    <row r="1425" spans="1:25">
      <c r="A1425" s="1010"/>
      <c r="B1425" s="1351">
        <v>1175</v>
      </c>
      <c r="C1425" s="1014">
        <v>0.98845095980409792</v>
      </c>
      <c r="D1425" s="1014">
        <v>1.0115245591155744</v>
      </c>
      <c r="E1425" s="1014">
        <v>0.998883891155248</v>
      </c>
      <c r="F1425" s="1014">
        <v>0.99962723062283965</v>
      </c>
      <c r="G1425" s="1014">
        <v>1.0031600374268026</v>
      </c>
      <c r="H1425" s="1014">
        <v>1.0444920339853896</v>
      </c>
      <c r="I1425" s="1014">
        <v>0.96993192100636116</v>
      </c>
      <c r="K1425">
        <v>2.4256039779873975</v>
      </c>
      <c r="L1425">
        <v>0</v>
      </c>
      <c r="M1425">
        <v>1.7345550429642767E-3</v>
      </c>
      <c r="N1425">
        <v>0.15741767652271055</v>
      </c>
      <c r="O1425">
        <v>2.1176589997233458E-2</v>
      </c>
      <c r="P1425">
        <v>2.8473962343240584E-2</v>
      </c>
      <c r="Q1425">
        <v>5.5352701664088287E-3</v>
      </c>
      <c r="R1425">
        <v>1.7126346077627689E-3</v>
      </c>
      <c r="S1425">
        <v>0.25602035892474362</v>
      </c>
      <c r="T1425">
        <v>1.3711031668730995</v>
      </c>
      <c r="U1425">
        <v>0.21444621814844206</v>
      </c>
      <c r="V1425">
        <v>0.24680377317236912</v>
      </c>
      <c r="W1425">
        <v>0.10348136460618475</v>
      </c>
      <c r="X1425">
        <v>1.6506290835684889E-2</v>
      </c>
      <c r="Y1425">
        <v>4.6612268324835397E-3</v>
      </c>
    </row>
    <row r="1426" spans="1:25">
      <c r="A1426" s="1010"/>
      <c r="B1426" s="1351">
        <v>1176</v>
      </c>
      <c r="C1426" s="1014">
        <v>0.99381858112912769</v>
      </c>
      <c r="D1426" s="1014">
        <v>0.97154331270799954</v>
      </c>
      <c r="E1426" s="1014">
        <v>1.0239487487973777</v>
      </c>
      <c r="F1426" s="1014">
        <v>1.0004423868286041</v>
      </c>
      <c r="G1426" s="1014">
        <v>1.0044795727058327</v>
      </c>
      <c r="H1426" s="1014">
        <v>0.99034080708028893</v>
      </c>
      <c r="I1426" s="1014">
        <v>1.0213919383126906</v>
      </c>
      <c r="K1426">
        <v>2.4321194186295929</v>
      </c>
      <c r="L1426">
        <v>0</v>
      </c>
      <c r="M1426">
        <v>1.566568030623147E-3</v>
      </c>
      <c r="N1426">
        <v>0.15323945766743949</v>
      </c>
      <c r="O1426">
        <v>2.126678890149776E-2</v>
      </c>
      <c r="P1426">
        <v>2.9191545335986103E-2</v>
      </c>
      <c r="Q1426">
        <v>5.6997779940107319E-3</v>
      </c>
      <c r="R1426">
        <v>1.5456880157650702E-3</v>
      </c>
      <c r="S1426">
        <v>0.26903504566739761</v>
      </c>
      <c r="T1426">
        <v>1.3727648205080665</v>
      </c>
      <c r="U1426">
        <v>0.21337435410551611</v>
      </c>
      <c r="V1426">
        <v>0.24659907391520758</v>
      </c>
      <c r="W1426">
        <v>9.9258417219603268E-2</v>
      </c>
      <c r="X1426">
        <v>1.7504164086728443E-2</v>
      </c>
      <c r="Y1426">
        <v>4.206853242995065E-3</v>
      </c>
    </row>
    <row r="1427" spans="1:25">
      <c r="A1427" s="1010"/>
      <c r="B1427" s="1351">
        <v>1177</v>
      </c>
      <c r="C1427" s="1014">
        <v>0.9903226636041913</v>
      </c>
      <c r="D1427" s="1014">
        <v>1.0086114704856155</v>
      </c>
      <c r="E1427" s="1014">
        <v>1.0061470854266088</v>
      </c>
      <c r="F1427" s="1014">
        <v>1.0128464299232807</v>
      </c>
      <c r="G1427" s="1014">
        <v>0.9904676798887454</v>
      </c>
      <c r="H1427" s="1014">
        <v>0.99697668936294948</v>
      </c>
      <c r="I1427" s="1014">
        <v>0.97805385334096684</v>
      </c>
      <c r="K1427">
        <v>2.428608720120649</v>
      </c>
      <c r="L1427">
        <v>0</v>
      </c>
      <c r="M1427">
        <v>1.6288318623413343E-3</v>
      </c>
      <c r="N1427">
        <v>0.15100972685136935</v>
      </c>
      <c r="O1427">
        <v>2.1154841873732757E-2</v>
      </c>
      <c r="P1427">
        <v>2.881594204101539E-2</v>
      </c>
      <c r="Q1427">
        <v>5.5700471790549062E-3</v>
      </c>
      <c r="R1427">
        <v>1.6072664646961696E-3</v>
      </c>
      <c r="S1427">
        <v>0.25411897071932649</v>
      </c>
      <c r="T1427">
        <v>1.3893940004955934</v>
      </c>
      <c r="U1427">
        <v>0.21406599583742786</v>
      </c>
      <c r="V1427">
        <v>0.24449136271456237</v>
      </c>
      <c r="W1427">
        <v>9.8842223082198671E-2</v>
      </c>
      <c r="X1427">
        <v>1.6792725242356997E-2</v>
      </c>
      <c r="Y1427">
        <v>4.3744494816552832E-3</v>
      </c>
    </row>
    <row r="1428" spans="1:25">
      <c r="A1428" s="1010"/>
      <c r="B1428" s="1351">
        <v>1178</v>
      </c>
      <c r="C1428" s="1014">
        <v>1.0004298921881205</v>
      </c>
      <c r="D1428" s="1014">
        <v>0.99247003893244501</v>
      </c>
      <c r="E1428" s="1014">
        <v>1.0094001841391953</v>
      </c>
      <c r="F1428" s="1014">
        <v>1.0121541271136376</v>
      </c>
      <c r="G1428" s="1014">
        <v>0.98323920559103073</v>
      </c>
      <c r="H1428" s="1014">
        <v>1.0012746261191441</v>
      </c>
      <c r="I1428" s="1014">
        <v>0.98810803272973335</v>
      </c>
      <c r="K1428">
        <v>2.4260968141006911</v>
      </c>
      <c r="L1428">
        <v>0</v>
      </c>
      <c r="M1428">
        <v>1.6141424045015198E-3</v>
      </c>
      <c r="N1428">
        <v>0.15113375423960093</v>
      </c>
      <c r="O1428">
        <v>2.1017739006083471E-2</v>
      </c>
      <c r="P1428">
        <v>2.885185102750986E-2</v>
      </c>
      <c r="Q1428">
        <v>5.551995620863991E-3</v>
      </c>
      <c r="R1428">
        <v>1.5928632261489257E-3</v>
      </c>
      <c r="S1428">
        <v>0.25658827258140565</v>
      </c>
      <c r="T1428">
        <v>1.388515643710601</v>
      </c>
      <c r="U1428">
        <v>0.21191444008281515</v>
      </c>
      <c r="V1428">
        <v>0.24260927611932664</v>
      </c>
      <c r="W1428">
        <v>9.8733491203756046E-2</v>
      </c>
      <c r="X1428">
        <v>1.686638107272638E-2</v>
      </c>
      <c r="Y1428">
        <v>4.3352486143559956E-3</v>
      </c>
    </row>
    <row r="1429" spans="1:25">
      <c r="A1429" s="1010"/>
      <c r="B1429" s="1351">
        <v>1179</v>
      </c>
      <c r="C1429" s="1014">
        <v>0.99184620625997821</v>
      </c>
      <c r="D1429" s="1014">
        <v>0.9678675346597525</v>
      </c>
      <c r="E1429" s="1014">
        <v>1.015776277076252</v>
      </c>
      <c r="F1429" s="1014">
        <v>1.0150438271370879</v>
      </c>
      <c r="G1429" s="1014">
        <v>0.98467817395715418</v>
      </c>
      <c r="H1429" s="1014">
        <v>1.0333093734399506</v>
      </c>
      <c r="I1429" s="1014">
        <v>0.9938986779128729</v>
      </c>
      <c r="K1429">
        <v>2.4570330505282669</v>
      </c>
      <c r="L1429">
        <v>0</v>
      </c>
      <c r="M1429">
        <v>1.6672647139347877E-3</v>
      </c>
      <c r="N1429">
        <v>0.15920706566616816</v>
      </c>
      <c r="O1429">
        <v>2.1321333003844468E-2</v>
      </c>
      <c r="P1429">
        <v>2.9216615363822997E-2</v>
      </c>
      <c r="Q1429">
        <v>5.6681538131461455E-3</v>
      </c>
      <c r="R1429">
        <v>1.6459666361796814E-3</v>
      </c>
      <c r="S1429">
        <v>0.26644002468168659</v>
      </c>
      <c r="T1429">
        <v>1.3926201840183801</v>
      </c>
      <c r="U1429">
        <v>0.21377041760028007</v>
      </c>
      <c r="V1429">
        <v>0.24337273510927224</v>
      </c>
      <c r="W1429">
        <v>0.10361814457617467</v>
      </c>
      <c r="X1429">
        <v>1.7339896182320246E-2</v>
      </c>
      <c r="Y1429">
        <v>4.4797785909253011E-3</v>
      </c>
    </row>
    <row r="1430" spans="1:25">
      <c r="A1430" s="1010"/>
      <c r="B1430" s="1351">
        <v>1180</v>
      </c>
      <c r="C1430" s="1014">
        <v>1.0040502646891527</v>
      </c>
      <c r="D1430" s="1014">
        <v>1.0158520720766446</v>
      </c>
      <c r="E1430" s="1014">
        <v>1.0138763624951941</v>
      </c>
      <c r="F1430" s="1014">
        <v>1.026034363305087</v>
      </c>
      <c r="G1430" s="1014">
        <v>1.0155612702786057</v>
      </c>
      <c r="H1430" s="1014">
        <v>1.0154384728965864</v>
      </c>
      <c r="I1430" s="1014">
        <v>1.0014058955321725</v>
      </c>
      <c r="K1430">
        <v>2.4531521557534988</v>
      </c>
      <c r="L1430">
        <v>0</v>
      </c>
      <c r="M1430">
        <v>1.6077145507963461E-3</v>
      </c>
      <c r="N1430">
        <v>0.15260812251804978</v>
      </c>
      <c r="O1430">
        <v>2.0837897239470715E-2</v>
      </c>
      <c r="P1430">
        <v>2.9283899300223706E-2</v>
      </c>
      <c r="Q1430">
        <v>5.5291520645410659E-3</v>
      </c>
      <c r="R1430">
        <v>1.5868157413130863E-3</v>
      </c>
      <c r="S1430">
        <v>0.25733783476561378</v>
      </c>
      <c r="T1430">
        <v>1.4076566982365175</v>
      </c>
      <c r="U1430">
        <v>0.21116559201198781</v>
      </c>
      <c r="V1430">
        <v>0.2478863917028746</v>
      </c>
      <c r="W1430">
        <v>9.9434211023457758E-2</v>
      </c>
      <c r="X1430">
        <v>1.7114466346057112E-2</v>
      </c>
      <c r="Y1430">
        <v>4.3187893541856825E-3</v>
      </c>
    </row>
    <row r="1431" spans="1:25">
      <c r="A1431" s="1010"/>
      <c r="B1431" s="1351">
        <v>1181</v>
      </c>
      <c r="C1431" s="1014">
        <v>0.95236512522027406</v>
      </c>
      <c r="D1431" s="1014">
        <v>0.96703919376152869</v>
      </c>
      <c r="E1431" s="1014">
        <v>1.0040382801255907</v>
      </c>
      <c r="F1431" s="1014">
        <v>0.97575396392036107</v>
      </c>
      <c r="G1431" s="1014">
        <v>0.98840923869745345</v>
      </c>
      <c r="H1431" s="1014">
        <v>0.98748013786270239</v>
      </c>
      <c r="I1431" s="1014">
        <v>1.0107331219869009</v>
      </c>
      <c r="K1431">
        <v>2.4231390368833701</v>
      </c>
      <c r="L1431">
        <v>0</v>
      </c>
      <c r="M1431">
        <v>1.7006527748127873E-3</v>
      </c>
      <c r="N1431">
        <v>0.15664709747517552</v>
      </c>
      <c r="O1431">
        <v>2.2201156464509545E-2</v>
      </c>
      <c r="P1431">
        <v>2.8547562539434405E-2</v>
      </c>
      <c r="Q1431">
        <v>5.8331976378316244E-3</v>
      </c>
      <c r="R1431">
        <v>1.677919944959735E-3</v>
      </c>
      <c r="S1431">
        <v>0.27803335147272834</v>
      </c>
      <c r="T1431">
        <v>1.3384670585045171</v>
      </c>
      <c r="U1431">
        <v>0.22259025185525017</v>
      </c>
      <c r="V1431">
        <v>0.24665851529871025</v>
      </c>
      <c r="W1431">
        <v>0.10266019350977627</v>
      </c>
      <c r="X1431">
        <v>1.6956639991271359E-2</v>
      </c>
      <c r="Y1431">
        <v>4.5667449640191997E-3</v>
      </c>
    </row>
    <row r="1432" spans="1:25">
      <c r="A1432" s="1010"/>
      <c r="B1432" s="1351">
        <v>1182</v>
      </c>
      <c r="C1432" s="1014">
        <v>0.99549298132428088</v>
      </c>
      <c r="D1432" s="1014">
        <v>1.0339552392282068</v>
      </c>
      <c r="E1432" s="1014">
        <v>1.0172199396038792</v>
      </c>
      <c r="F1432" s="1014">
        <v>1.0061020746092384</v>
      </c>
      <c r="G1432" s="1014">
        <v>1.0430841125619179</v>
      </c>
      <c r="H1432" s="1014">
        <v>0.97298817880565069</v>
      </c>
      <c r="I1432" s="1014">
        <v>0.99872657321327263</v>
      </c>
      <c r="K1432">
        <v>2.4193098890341607</v>
      </c>
      <c r="L1432">
        <v>0</v>
      </c>
      <c r="M1432">
        <v>1.5369975522584423E-3</v>
      </c>
      <c r="N1432">
        <v>0.14729037158280336</v>
      </c>
      <c r="O1432">
        <v>2.093772425776606E-2</v>
      </c>
      <c r="P1432">
        <v>2.9016783193095731E-2</v>
      </c>
      <c r="Q1432">
        <v>5.57418343106125E-3</v>
      </c>
      <c r="R1432">
        <v>1.5161463149814865E-3</v>
      </c>
      <c r="S1432">
        <v>0.25302542491866636</v>
      </c>
      <c r="T1432">
        <v>1.38038379212883</v>
      </c>
      <c r="U1432">
        <v>0.21299228517972293</v>
      </c>
      <c r="V1432">
        <v>0.25310651892274</v>
      </c>
      <c r="W1432">
        <v>9.5781140928050346E-2</v>
      </c>
      <c r="X1432">
        <v>1.7096065256820267E-2</v>
      </c>
      <c r="Y1432">
        <v>4.1264504718811958E-3</v>
      </c>
    </row>
    <row r="1433" spans="1:25">
      <c r="A1433" s="1010"/>
      <c r="B1433" s="1351">
        <v>1183</v>
      </c>
      <c r="C1433" s="1014">
        <v>1.0253019719292409</v>
      </c>
      <c r="D1433" s="1014">
        <v>1.0192060551298334</v>
      </c>
      <c r="E1433" s="1014">
        <v>1.0206313692591023</v>
      </c>
      <c r="F1433" s="1014">
        <v>1.0356673152736382</v>
      </c>
      <c r="G1433" s="1014">
        <v>0.97939294292457812</v>
      </c>
      <c r="H1433" s="1014">
        <v>0.9947918895325335</v>
      </c>
      <c r="I1433" s="1014">
        <v>1.0149157361592156</v>
      </c>
      <c r="K1433">
        <v>2.440737250115272</v>
      </c>
      <c r="L1433">
        <v>0</v>
      </c>
      <c r="M1433">
        <v>1.5197594884764744E-3</v>
      </c>
      <c r="N1433">
        <v>0.14718950663470767</v>
      </c>
      <c r="O1433">
        <v>2.0395558011406047E-2</v>
      </c>
      <c r="P1433">
        <v>2.9394791248684087E-2</v>
      </c>
      <c r="Q1433">
        <v>5.4483014988904437E-3</v>
      </c>
      <c r="R1433">
        <v>1.4995939953777787E-3</v>
      </c>
      <c r="S1433">
        <v>0.25330768778396323</v>
      </c>
      <c r="T1433">
        <v>1.4210243473796911</v>
      </c>
      <c r="U1433">
        <v>0.20681128642033442</v>
      </c>
      <c r="V1433">
        <v>0.24040067228878512</v>
      </c>
      <c r="W1433">
        <v>9.5524543436426773E-2</v>
      </c>
      <c r="X1433">
        <v>1.7179320391088944E-2</v>
      </c>
      <c r="Y1433">
        <v>4.0814005143905941E-3</v>
      </c>
    </row>
    <row r="1434" spans="1:25">
      <c r="A1434" s="1010"/>
      <c r="B1434" s="1351">
        <v>1184</v>
      </c>
      <c r="C1434" s="1014">
        <v>0.97962558814495093</v>
      </c>
      <c r="D1434" s="1014">
        <v>1.0424706548745983</v>
      </c>
      <c r="E1434" s="1014">
        <v>0.99054993354923238</v>
      </c>
      <c r="F1434" s="1014">
        <v>0.96546397552820395</v>
      </c>
      <c r="G1434" s="1014">
        <v>0.99681304319431319</v>
      </c>
      <c r="H1434" s="1014">
        <v>0.98755321865679213</v>
      </c>
      <c r="I1434" s="1014">
        <v>1.0024070692096876</v>
      </c>
      <c r="K1434">
        <v>2.3652438184004234</v>
      </c>
      <c r="L1434">
        <v>0</v>
      </c>
      <c r="M1434">
        <v>1.6724794372838729E-3</v>
      </c>
      <c r="N1434">
        <v>0.14789938958453583</v>
      </c>
      <c r="O1434">
        <v>2.1220588173140188E-2</v>
      </c>
      <c r="P1434">
        <v>2.7706346451023257E-2</v>
      </c>
      <c r="Q1434">
        <v>5.5003637143823522E-3</v>
      </c>
      <c r="R1434">
        <v>1.6501248582198769E-3</v>
      </c>
      <c r="S1434">
        <v>0.25805747452315175</v>
      </c>
      <c r="T1434">
        <v>1.3240705145931866</v>
      </c>
      <c r="U1434">
        <v>0.21634909201615082</v>
      </c>
      <c r="V1434">
        <v>0.24631823842494785</v>
      </c>
      <c r="W1434">
        <v>9.7709142019625619E-2</v>
      </c>
      <c r="X1434">
        <v>1.5943927578782324E-2</v>
      </c>
      <c r="Y1434">
        <v>4.491095900561186E-3</v>
      </c>
    </row>
    <row r="1435" spans="1:25">
      <c r="A1435" s="1010"/>
      <c r="B1435" s="1351">
        <v>1185</v>
      </c>
      <c r="C1435" s="1014">
        <v>0.98583277427212457</v>
      </c>
      <c r="D1435" s="1014">
        <v>0.95635734423873886</v>
      </c>
      <c r="E1435" s="1014">
        <v>0.99288458531683454</v>
      </c>
      <c r="F1435" s="1014">
        <v>1.0080993269667651</v>
      </c>
      <c r="G1435" s="1014">
        <v>0.98697051934738078</v>
      </c>
      <c r="H1435" s="1014">
        <v>1.0016205644053129</v>
      </c>
      <c r="I1435" s="1014">
        <v>1.024975386483153</v>
      </c>
      <c r="K1435">
        <v>2.446490328658014</v>
      </c>
      <c r="L1435">
        <v>0</v>
      </c>
      <c r="M1435">
        <v>1.7096117888838944E-3</v>
      </c>
      <c r="N1435">
        <v>0.15228280802114993</v>
      </c>
      <c r="O1435">
        <v>2.1492350705855076E-2</v>
      </c>
      <c r="P1435">
        <v>2.873370585486543E-2</v>
      </c>
      <c r="Q1435">
        <v>5.5839532784109835E-3</v>
      </c>
      <c r="R1435">
        <v>1.6870818252980833E-3</v>
      </c>
      <c r="S1435">
        <v>0.27508342145275744</v>
      </c>
      <c r="T1435">
        <v>1.3825929202157468</v>
      </c>
      <c r="U1435">
        <v>0.21499495853793399</v>
      </c>
      <c r="V1435">
        <v>0.24422775044623465</v>
      </c>
      <c r="W1435">
        <v>0.10046461293631284</v>
      </c>
      <c r="X1435">
        <v>1.6464696590243261E-2</v>
      </c>
      <c r="Y1435">
        <v>4.5916805820871405E-3</v>
      </c>
    </row>
    <row r="1436" spans="1:25">
      <c r="A1436" s="1010"/>
      <c r="B1436" s="1351">
        <v>1186</v>
      </c>
      <c r="C1436" s="1014">
        <v>1.0111538865162533</v>
      </c>
      <c r="D1436" s="1014">
        <v>0.99842671778988834</v>
      </c>
      <c r="E1436" s="1014">
        <v>0.99390216325667902</v>
      </c>
      <c r="F1436" s="1014">
        <v>1.0002874528219035</v>
      </c>
      <c r="G1436" s="1014">
        <v>1.0094371242232312</v>
      </c>
      <c r="H1436" s="1014">
        <v>0.98567331083898035</v>
      </c>
      <c r="I1436" s="1014">
        <v>0.99765463700813095</v>
      </c>
      <c r="K1436">
        <v>2.3973144558207791</v>
      </c>
      <c r="L1436">
        <v>0</v>
      </c>
      <c r="M1436">
        <v>1.6213784445661139E-3</v>
      </c>
      <c r="N1436">
        <v>0.1448370705928341</v>
      </c>
      <c r="O1436">
        <v>2.0757295152061633E-2</v>
      </c>
      <c r="P1436">
        <v>2.8282987457029264E-2</v>
      </c>
      <c r="Q1436">
        <v>5.3985168834897257E-3</v>
      </c>
      <c r="R1436">
        <v>1.5996655553701317E-3</v>
      </c>
      <c r="S1436">
        <v>0.25411713421433768</v>
      </c>
      <c r="T1436">
        <v>1.3719010387015929</v>
      </c>
      <c r="U1436">
        <v>0.20961453438975283</v>
      </c>
      <c r="V1436">
        <v>0.2464767116829687</v>
      </c>
      <c r="W1436">
        <v>9.5494407571154363E-2</v>
      </c>
      <c r="X1436">
        <v>1.6102709752643295E-2</v>
      </c>
      <c r="Y1436">
        <v>4.3537623121088958E-3</v>
      </c>
    </row>
    <row r="1437" spans="1:25">
      <c r="A1437" s="1010"/>
      <c r="B1437" s="1351">
        <v>1187</v>
      </c>
      <c r="C1437" s="1014">
        <v>1.0037120907785428</v>
      </c>
      <c r="D1437" s="1014">
        <v>1.0015124587806472</v>
      </c>
      <c r="E1437" s="1014">
        <v>0.99614308938945528</v>
      </c>
      <c r="F1437" s="1014">
        <v>1.0191202406612994</v>
      </c>
      <c r="G1437" s="1014">
        <v>1.0129071555681204</v>
      </c>
      <c r="H1437" s="1014">
        <v>0.96270760734916228</v>
      </c>
      <c r="I1437" s="1014">
        <v>1.0204690583406062</v>
      </c>
      <c r="K1437">
        <v>2.4283127492225844</v>
      </c>
      <c r="L1437">
        <v>0</v>
      </c>
      <c r="M1437">
        <v>1.5868718990525376E-3</v>
      </c>
      <c r="N1437">
        <v>0.14267173702978614</v>
      </c>
      <c r="O1437">
        <v>2.0898484049127877E-2</v>
      </c>
      <c r="P1437">
        <v>2.8791052905071755E-2</v>
      </c>
      <c r="Q1437">
        <v>5.4475277372026806E-3</v>
      </c>
      <c r="R1437">
        <v>1.5651141639831435E-3</v>
      </c>
      <c r="S1437">
        <v>0.25948325813019857</v>
      </c>
      <c r="T1437">
        <v>1.3977796794649975</v>
      </c>
      <c r="U1437">
        <v>0.21117629952195116</v>
      </c>
      <c r="V1437">
        <v>0.24751863240054356</v>
      </c>
      <c r="W1437">
        <v>9.3941057931493557E-2</v>
      </c>
      <c r="X1437">
        <v>1.6367052972666354E-2</v>
      </c>
      <c r="Y1437">
        <v>4.259724814616621E-3</v>
      </c>
    </row>
    <row r="1438" spans="1:25">
      <c r="A1438" s="1010"/>
      <c r="B1438" s="1351">
        <v>1188</v>
      </c>
      <c r="C1438" s="1014">
        <v>1.0054503040914771</v>
      </c>
      <c r="D1438" s="1014">
        <v>1.0375890252602895</v>
      </c>
      <c r="E1438" s="1014">
        <v>0.98110999143995592</v>
      </c>
      <c r="F1438" s="1014">
        <v>0.99876961940440756</v>
      </c>
      <c r="G1438" s="1014">
        <v>1.0404334103580466</v>
      </c>
      <c r="H1438" s="1014">
        <v>0.99857036404722255</v>
      </c>
      <c r="I1438" s="1014">
        <v>0.98663471338477715</v>
      </c>
      <c r="K1438">
        <v>2.3961057143594342</v>
      </c>
      <c r="L1438">
        <v>0</v>
      </c>
      <c r="M1438">
        <v>1.6819462457850307E-3</v>
      </c>
      <c r="N1438">
        <v>0.14457179954880189</v>
      </c>
      <c r="O1438">
        <v>2.0690737503319546E-2</v>
      </c>
      <c r="P1438">
        <v>2.8001499568982957E-2</v>
      </c>
      <c r="Q1438">
        <v>5.3119808276139756E-3</v>
      </c>
      <c r="R1438">
        <v>1.6597131644132054E-3</v>
      </c>
      <c r="S1438">
        <v>0.24888880619223655</v>
      </c>
      <c r="T1438">
        <v>1.369543694178412</v>
      </c>
      <c r="U1438">
        <v>0.2107602043674778</v>
      </c>
      <c r="V1438">
        <v>0.25216989072695556</v>
      </c>
      <c r="W1438">
        <v>9.6054233192014934E-2</v>
      </c>
      <c r="X1438">
        <v>1.561790922575489E-2</v>
      </c>
      <c r="Y1438">
        <v>4.5171921092351398E-3</v>
      </c>
    </row>
    <row r="1439" spans="1:25">
      <c r="A1439" s="1010"/>
      <c r="B1439" s="1351">
        <v>1189</v>
      </c>
      <c r="C1439" s="1014">
        <v>0.99680365590141484</v>
      </c>
      <c r="D1439" s="1014">
        <v>0.97274015585789742</v>
      </c>
      <c r="E1439" s="1014">
        <v>0.98967067723490032</v>
      </c>
      <c r="F1439" s="1014">
        <v>0.98207395044978973</v>
      </c>
      <c r="G1439" s="1014">
        <v>0.98454000675114317</v>
      </c>
      <c r="H1439" s="1014">
        <v>1.0024727708115855</v>
      </c>
      <c r="I1439" s="1014">
        <v>1.0248362787002685</v>
      </c>
      <c r="K1439">
        <v>2.3962882036514488</v>
      </c>
      <c r="L1439">
        <v>0</v>
      </c>
      <c r="M1439">
        <v>1.6971841358757642E-3</v>
      </c>
      <c r="N1439">
        <v>0.14971578900327348</v>
      </c>
      <c r="O1439">
        <v>2.117437464885992E-2</v>
      </c>
      <c r="P1439">
        <v>2.8060751777183247E-2</v>
      </c>
      <c r="Q1439">
        <v>5.4835100132846759E-3</v>
      </c>
      <c r="R1439">
        <v>1.6748369625771609E-3</v>
      </c>
      <c r="S1439">
        <v>0.26974202131118741</v>
      </c>
      <c r="T1439">
        <v>1.3468313674294905</v>
      </c>
      <c r="U1439">
        <v>0.2126177050701083</v>
      </c>
      <c r="V1439">
        <v>0.24312747829743203</v>
      </c>
      <c r="W1439">
        <v>9.8961246444389805E-2</v>
      </c>
      <c r="X1439">
        <v>1.6037952727255993E-2</v>
      </c>
      <c r="Y1439">
        <v>4.5583541022787008E-3</v>
      </c>
    </row>
    <row r="1440" spans="1:25">
      <c r="A1440" s="1010"/>
      <c r="B1440" s="1351">
        <v>1190</v>
      </c>
      <c r="C1440" s="1014">
        <v>0.96717273762737066</v>
      </c>
      <c r="D1440" s="1014">
        <v>0.9670258272465363</v>
      </c>
      <c r="E1440" s="1014">
        <v>0.99686312448717218</v>
      </c>
      <c r="F1440" s="1014">
        <v>1.0279441882852451</v>
      </c>
      <c r="G1440" s="1014">
        <v>1.0208958534872168</v>
      </c>
      <c r="H1440" s="1014">
        <v>1.01315310488521</v>
      </c>
      <c r="I1440" s="1014">
        <v>1.0404178325696061</v>
      </c>
      <c r="K1440">
        <v>2.5037896834764188</v>
      </c>
      <c r="L1440">
        <v>0</v>
      </c>
      <c r="M1440">
        <v>1.7439232969482567E-3</v>
      </c>
      <c r="N1440">
        <v>0.15724214536790854</v>
      </c>
      <c r="O1440">
        <v>2.1856358264677106E-2</v>
      </c>
      <c r="P1440">
        <v>2.9466176920219897E-2</v>
      </c>
      <c r="Q1440">
        <v>5.701346067581505E-3</v>
      </c>
      <c r="R1440">
        <v>1.7212027637978991E-3</v>
      </c>
      <c r="S1440">
        <v>0.28412173074896541</v>
      </c>
      <c r="T1440">
        <v>1.4098982078107105</v>
      </c>
      <c r="U1440">
        <v>0.21915698898828029</v>
      </c>
      <c r="V1440">
        <v>0.25122872713504185</v>
      </c>
      <c r="W1440">
        <v>0.10349040545881899</v>
      </c>
      <c r="X1440">
        <v>1.6965770718642418E-2</v>
      </c>
      <c r="Y1440">
        <v>4.6845465287192857E-3</v>
      </c>
    </row>
    <row r="1441" spans="1:25">
      <c r="A1441" s="1010"/>
      <c r="B1441" s="1351">
        <v>1191</v>
      </c>
      <c r="C1441" s="1014">
        <v>0.99007940060419053</v>
      </c>
      <c r="D1441" s="1014">
        <v>0.99415824077885528</v>
      </c>
      <c r="E1441" s="1014">
        <v>0.96846116407789384</v>
      </c>
      <c r="F1441" s="1014">
        <v>1.0251264275762293</v>
      </c>
      <c r="G1441" s="1014">
        <v>1.0068498164053414</v>
      </c>
      <c r="H1441" s="1014">
        <v>0.97413475736958399</v>
      </c>
      <c r="I1441" s="1014">
        <v>1.0207401523495685</v>
      </c>
      <c r="K1441">
        <v>2.4452058550931874</v>
      </c>
      <c r="L1441">
        <v>0</v>
      </c>
      <c r="M1441">
        <v>1.7265450891397922E-3</v>
      </c>
      <c r="N1441">
        <v>0.14278288601248237</v>
      </c>
      <c r="O1441">
        <v>2.1202094518476464E-2</v>
      </c>
      <c r="P1441">
        <v>2.8403699742081189E-2</v>
      </c>
      <c r="Q1441">
        <v>5.3735296255920106E-3</v>
      </c>
      <c r="R1441">
        <v>1.7031499784897711E-3</v>
      </c>
      <c r="S1441">
        <v>0.2648782612275431</v>
      </c>
      <c r="T1441">
        <v>1.4054059836665631</v>
      </c>
      <c r="U1441">
        <v>0.21398874804609883</v>
      </c>
      <c r="V1441">
        <v>0.24744164600167967</v>
      </c>
      <c r="W1441">
        <v>9.5596024819347328E-2</v>
      </c>
      <c r="X1441">
        <v>1.5520963745759795E-2</v>
      </c>
      <c r="Y1441">
        <v>4.6354127982096392E-3</v>
      </c>
    </row>
    <row r="1442" spans="1:25">
      <c r="A1442" s="1010"/>
      <c r="B1442" s="1351">
        <v>1192</v>
      </c>
      <c r="C1442" s="1014">
        <v>0.98751111461672569</v>
      </c>
      <c r="D1442" s="1014">
        <v>1.0060639311287813</v>
      </c>
      <c r="E1442" s="1014">
        <v>0.99895158768529357</v>
      </c>
      <c r="F1442" s="1014">
        <v>0.97595901867650325</v>
      </c>
      <c r="G1442" s="1014">
        <v>1.0416793719545909</v>
      </c>
      <c r="H1442" s="1014">
        <v>1.012147970871909</v>
      </c>
      <c r="I1442" s="1014">
        <v>1.0284757610148108</v>
      </c>
      <c r="K1442">
        <v>2.4056210370376991</v>
      </c>
      <c r="L1442">
        <v>0</v>
      </c>
      <c r="M1442">
        <v>1.6842102665815914E-3</v>
      </c>
      <c r="N1442">
        <v>0.15281742810750698</v>
      </c>
      <c r="O1442">
        <v>2.1222047415789275E-2</v>
      </c>
      <c r="P1442">
        <v>2.8311228390480898E-2</v>
      </c>
      <c r="Q1442">
        <v>5.5475298190434917E-3</v>
      </c>
      <c r="R1442">
        <v>1.6622459082635264E-3</v>
      </c>
      <c r="S1442">
        <v>0.26960080476153642</v>
      </c>
      <c r="T1442">
        <v>1.3386409337080669</v>
      </c>
      <c r="U1442">
        <v>0.21465054760497129</v>
      </c>
      <c r="V1442">
        <v>0.25344178772977305</v>
      </c>
      <c r="W1442">
        <v>0.10045326259512959</v>
      </c>
      <c r="X1442">
        <v>1.6433345860640072E-2</v>
      </c>
      <c r="Y1442">
        <v>4.5240854030769257E-3</v>
      </c>
    </row>
    <row r="1443" spans="1:25">
      <c r="A1443" s="1010"/>
      <c r="B1443" s="1351">
        <v>1193</v>
      </c>
      <c r="C1443" s="1014">
        <v>1.0176276870194016</v>
      </c>
      <c r="D1443" s="1014">
        <v>0.9692982272988484</v>
      </c>
      <c r="E1443" s="1014">
        <v>1.0323410866164797</v>
      </c>
      <c r="F1443" s="1014">
        <v>0.99493224223985</v>
      </c>
      <c r="G1443" s="1014">
        <v>0.96115461665681667</v>
      </c>
      <c r="H1443" s="1014">
        <v>0.99009443382307305</v>
      </c>
      <c r="I1443" s="1014">
        <v>1.0030180731614622</v>
      </c>
      <c r="K1443">
        <v>2.3948299068578072</v>
      </c>
      <c r="L1443">
        <v>0</v>
      </c>
      <c r="M1443">
        <v>1.5037917512128675E-3</v>
      </c>
      <c r="N1443">
        <v>0.15086775641527952</v>
      </c>
      <c r="O1443">
        <v>2.0785324851185023E-2</v>
      </c>
      <c r="P1443">
        <v>2.8924344424589611E-2</v>
      </c>
      <c r="Q1443">
        <v>5.6172021553985586E-3</v>
      </c>
      <c r="R1443">
        <v>1.4837434629726553E-3</v>
      </c>
      <c r="S1443">
        <v>0.25836399031798712</v>
      </c>
      <c r="T1443">
        <v>1.3653856148296724</v>
      </c>
      <c r="U1443">
        <v>0.20841041325755275</v>
      </c>
      <c r="V1443">
        <v>0.23770808121869746</v>
      </c>
      <c r="W1443">
        <v>9.7246593614935081E-2</v>
      </c>
      <c r="X1443">
        <v>1.7502373470438023E-2</v>
      </c>
      <c r="Y1443">
        <v>4.0382605903104525E-3</v>
      </c>
    </row>
    <row r="1444" spans="1:25">
      <c r="A1444" s="1010"/>
      <c r="B1444" s="1351">
        <v>1194</v>
      </c>
      <c r="C1444" s="1014">
        <v>1.0379164582580322</v>
      </c>
      <c r="D1444" s="1014">
        <v>0.9742159184159912</v>
      </c>
      <c r="E1444" s="1014">
        <v>1.00277928237159</v>
      </c>
      <c r="F1444" s="1014">
        <v>0.98713218025139282</v>
      </c>
      <c r="G1444" s="1014">
        <v>1.0136502177930613</v>
      </c>
      <c r="H1444" s="1014">
        <v>1.000237340082873</v>
      </c>
      <c r="I1444" s="1014">
        <v>0.99846055012753643</v>
      </c>
      <c r="K1444">
        <v>2.3706259411503279</v>
      </c>
      <c r="L1444">
        <v>0</v>
      </c>
      <c r="M1444">
        <v>1.5821940917457099E-3</v>
      </c>
      <c r="N1444">
        <v>0.14520781242494948</v>
      </c>
      <c r="O1444">
        <v>2.0337282958874252E-2</v>
      </c>
      <c r="P1444">
        <v>2.8113665863659244E-2</v>
      </c>
      <c r="Q1444">
        <v>5.3367327211209202E-3</v>
      </c>
      <c r="R1444">
        <v>1.5613144562100143E-3</v>
      </c>
      <c r="S1444">
        <v>0.25211781800612676</v>
      </c>
      <c r="T1444">
        <v>1.3540479554571716</v>
      </c>
      <c r="U1444">
        <v>0.2042388725576284</v>
      </c>
      <c r="V1444">
        <v>0.24557262466665591</v>
      </c>
      <c r="W1444">
        <v>9.5234391145125621E-2</v>
      </c>
      <c r="X1444">
        <v>1.6190281721920666E-2</v>
      </c>
      <c r="Y1444">
        <v>4.2493832626314945E-3</v>
      </c>
    </row>
    <row r="1445" spans="1:25">
      <c r="A1445" s="1010"/>
      <c r="B1445" s="1351">
        <v>1195</v>
      </c>
      <c r="C1445" s="1014">
        <v>0.99181721433993397</v>
      </c>
      <c r="D1445" s="1014">
        <v>0.98686134489102428</v>
      </c>
      <c r="E1445" s="1014">
        <v>0.99870482856349829</v>
      </c>
      <c r="F1445" s="1014">
        <v>0.98489781801630938</v>
      </c>
      <c r="G1445" s="1014">
        <v>1.0357521572087078</v>
      </c>
      <c r="H1445" s="1014">
        <v>0.97625780154952246</v>
      </c>
      <c r="I1445" s="1014">
        <v>0.95732385840408663</v>
      </c>
      <c r="K1445">
        <v>2.3858048826173608</v>
      </c>
      <c r="L1445">
        <v>0</v>
      </c>
      <c r="M1445">
        <v>1.6251397073461756E-3</v>
      </c>
      <c r="N1445">
        <v>0.14727616184483674</v>
      </c>
      <c r="O1445">
        <v>2.1219518233414551E-2</v>
      </c>
      <c r="P1445">
        <v>2.816636324036749E-2</v>
      </c>
      <c r="Q1445">
        <v>5.5454921291313531E-3</v>
      </c>
      <c r="R1445">
        <v>1.6031665531909824E-3</v>
      </c>
      <c r="S1445">
        <v>0.24932247856432477</v>
      </c>
      <c r="T1445">
        <v>1.3508962781139193</v>
      </c>
      <c r="U1445">
        <v>0.2137177648546989</v>
      </c>
      <c r="V1445">
        <v>0.25215617470978546</v>
      </c>
      <c r="W1445">
        <v>9.6824969866996902E-2</v>
      </c>
      <c r="X1445">
        <v>1.6338363339966407E-2</v>
      </c>
      <c r="Y1445">
        <v>4.3632908740736274E-3</v>
      </c>
    </row>
    <row r="1446" spans="1:25">
      <c r="A1446" s="1010"/>
      <c r="B1446" s="1351">
        <v>1196</v>
      </c>
      <c r="C1446" s="1014">
        <v>0.98748019877024495</v>
      </c>
      <c r="D1446" s="1014">
        <v>1.0025532383862981</v>
      </c>
      <c r="E1446" s="1014">
        <v>0.9980332699361909</v>
      </c>
      <c r="F1446" s="1014">
        <v>0.99530036860489202</v>
      </c>
      <c r="G1446" s="1014">
        <v>1.0224344168718804</v>
      </c>
      <c r="H1446" s="1014">
        <v>1.0077072532430067</v>
      </c>
      <c r="I1446" s="1014">
        <v>1.0002910804627916</v>
      </c>
      <c r="K1446">
        <v>2.4206971960303023</v>
      </c>
      <c r="L1446">
        <v>0</v>
      </c>
      <c r="M1446">
        <v>1.6813624895225055E-3</v>
      </c>
      <c r="N1446">
        <v>0.15212744986701668</v>
      </c>
      <c r="O1446">
        <v>2.1238422513869183E-2</v>
      </c>
      <c r="P1446">
        <v>2.8508752265287839E-2</v>
      </c>
      <c r="Q1446">
        <v>5.5466836949993933E-3</v>
      </c>
      <c r="R1446">
        <v>1.6593386421778413E-3</v>
      </c>
      <c r="S1446">
        <v>0.26228867654661064</v>
      </c>
      <c r="T1446">
        <v>1.3651500750339145</v>
      </c>
      <c r="U1446">
        <v>0.21465408977355707</v>
      </c>
      <c r="V1446">
        <v>0.25016056967632783</v>
      </c>
      <c r="W1446">
        <v>0.10005437071345556</v>
      </c>
      <c r="X1446">
        <v>1.6473957009438087E-2</v>
      </c>
      <c r="Y1446">
        <v>4.5161727831717E-3</v>
      </c>
    </row>
    <row r="1447" spans="1:25">
      <c r="A1447" s="1010"/>
      <c r="B1447" s="1351">
        <v>1197</v>
      </c>
      <c r="C1447" s="1014">
        <v>0.9799286796460418</v>
      </c>
      <c r="D1447" s="1014">
        <v>1.0164784135109832</v>
      </c>
      <c r="E1447" s="1014">
        <v>0.9977336424203862</v>
      </c>
      <c r="F1447" s="1014">
        <v>0.9606449390556131</v>
      </c>
      <c r="G1447" s="1014">
        <v>0.99795638666889075</v>
      </c>
      <c r="H1447" s="1014">
        <v>0.97906563380296074</v>
      </c>
      <c r="I1447" s="1014">
        <v>1.0380202672596717</v>
      </c>
      <c r="K1447">
        <v>2.3717070119850994</v>
      </c>
      <c r="L1447">
        <v>0</v>
      </c>
      <c r="M1447">
        <v>1.6421944494539342E-3</v>
      </c>
      <c r="N1447">
        <v>0.14839147411011183</v>
      </c>
      <c r="O1447">
        <v>2.1337037083085666E-2</v>
      </c>
      <c r="P1447">
        <v>2.7929663251827566E-2</v>
      </c>
      <c r="Q1447">
        <v>5.5707581240967818E-3</v>
      </c>
      <c r="R1447">
        <v>1.6200543793523235E-3</v>
      </c>
      <c r="S1447">
        <v>0.26982420874326135</v>
      </c>
      <c r="T1447">
        <v>1.3176106012960496</v>
      </c>
      <c r="U1447">
        <v>0.21630721070088457</v>
      </c>
      <c r="V1447">
        <v>0.24646816475294897</v>
      </c>
      <c r="W1447">
        <v>9.7614626800632404E-2</v>
      </c>
      <c r="X1447">
        <v>1.6266153222488308E-2</v>
      </c>
      <c r="Y1447">
        <v>4.4092539698143999E-3</v>
      </c>
    </row>
    <row r="1448" spans="1:25">
      <c r="A1448" s="1010"/>
      <c r="B1448" s="1351">
        <v>1198</v>
      </c>
      <c r="C1448" s="1014">
        <v>0.98917009782571841</v>
      </c>
      <c r="D1448" s="1014">
        <v>1.0108744757470747</v>
      </c>
      <c r="E1448" s="1014">
        <v>1.0201448017247707</v>
      </c>
      <c r="F1448" s="1014">
        <v>1.0110296858069368</v>
      </c>
      <c r="G1448" s="1014">
        <v>0.9787675326385622</v>
      </c>
      <c r="H1448" s="1014">
        <v>1.0265740692366525</v>
      </c>
      <c r="I1448" s="1014">
        <v>1.017400780217141</v>
      </c>
      <c r="K1448">
        <v>2.4491157166940174</v>
      </c>
      <c r="L1448">
        <v>0</v>
      </c>
      <c r="M1448">
        <v>1.6301879447466806E-3</v>
      </c>
      <c r="N1448">
        <v>0.15771861778388438</v>
      </c>
      <c r="O1448">
        <v>2.1178439367863493E-2</v>
      </c>
      <c r="P1448">
        <v>2.92403688964613E-2</v>
      </c>
      <c r="Q1448">
        <v>5.6546986231337717E-3</v>
      </c>
      <c r="R1448">
        <v>1.609226867154951E-3</v>
      </c>
      <c r="S1448">
        <v>0.26705612781903931</v>
      </c>
      <c r="T1448">
        <v>1.387208725142844</v>
      </c>
      <c r="U1448">
        <v>0.21436389137993225</v>
      </c>
      <c r="V1448">
        <v>0.24251916897337478</v>
      </c>
      <c r="W1448">
        <v>0.10238696634490937</v>
      </c>
      <c r="X1448">
        <v>1.7429888389266797E-2</v>
      </c>
      <c r="Y1448">
        <v>4.3797850509015883E-3</v>
      </c>
    </row>
    <row r="1449" spans="1:25">
      <c r="A1449" s="1010"/>
      <c r="B1449" s="1351">
        <v>1199</v>
      </c>
      <c r="C1449" s="1014">
        <v>1.0110850841384393</v>
      </c>
      <c r="D1449" s="1014">
        <v>0.9645411288488388</v>
      </c>
      <c r="E1449" s="1014">
        <v>0.97204907916850436</v>
      </c>
      <c r="F1449" s="1014">
        <v>1.0019176255857278</v>
      </c>
      <c r="G1449" s="1014">
        <v>0.98557801248417665</v>
      </c>
      <c r="H1449" s="1014">
        <v>0.9930565815795952</v>
      </c>
      <c r="I1449" s="1014">
        <v>0.98519903827072453</v>
      </c>
      <c r="K1449">
        <v>2.3957242093843729</v>
      </c>
      <c r="L1449">
        <v>0</v>
      </c>
      <c r="M1449">
        <v>1.7222169000792576E-3</v>
      </c>
      <c r="N1449">
        <v>0.14401831788157646</v>
      </c>
      <c r="O1449">
        <v>2.0902576552719088E-2</v>
      </c>
      <c r="P1449">
        <v>2.7811134246299118E-2</v>
      </c>
      <c r="Q1449">
        <v>5.31707871337551E-3</v>
      </c>
      <c r="R1449">
        <v>1.6993250933308886E-3</v>
      </c>
      <c r="S1449">
        <v>0.25581224087439108</v>
      </c>
      <c r="T1449">
        <v>1.3736649418529707</v>
      </c>
      <c r="U1449">
        <v>0.20955512024000622</v>
      </c>
      <c r="V1449">
        <v>0.24248416720604082</v>
      </c>
      <c r="W1449">
        <v>9.6212881977779469E-2</v>
      </c>
      <c r="X1449">
        <v>1.5343638924280605E-2</v>
      </c>
      <c r="Y1449">
        <v>4.6250027216802152E-3</v>
      </c>
    </row>
    <row r="1450" spans="1:25">
      <c r="A1450" s="1010"/>
      <c r="B1450" s="1351">
        <v>1200</v>
      </c>
      <c r="C1450" s="1014">
        <v>1.0055633332944525</v>
      </c>
      <c r="D1450" s="1014">
        <v>0.99915980943187743</v>
      </c>
      <c r="E1450" s="1014">
        <v>0.97720316215182201</v>
      </c>
      <c r="F1450" s="1014">
        <v>0.99927455272855037</v>
      </c>
      <c r="G1450" s="1014">
        <v>0.97879390591421067</v>
      </c>
      <c r="H1450" s="1014">
        <v>0.99828218827248905</v>
      </c>
      <c r="I1450" s="1014">
        <v>0.97381342112092362</v>
      </c>
      <c r="K1450">
        <v>2.3886583952778464</v>
      </c>
      <c r="L1450">
        <v>0</v>
      </c>
      <c r="M1450">
        <v>1.709038322159907E-3</v>
      </c>
      <c r="N1450">
        <v>0.14517358349407661</v>
      </c>
      <c r="O1450">
        <v>2.085832970789658E-2</v>
      </c>
      <c r="P1450">
        <v>2.7803187147454358E-2</v>
      </c>
      <c r="Q1450">
        <v>5.3337752138193804E-3</v>
      </c>
      <c r="R1450">
        <v>1.6864405983083323E-3</v>
      </c>
      <c r="S1450">
        <v>0.25023828320772362</v>
      </c>
      <c r="T1450">
        <v>1.3701520008932504</v>
      </c>
      <c r="U1450">
        <v>0.21072327807183625</v>
      </c>
      <c r="V1450">
        <v>0.24164497779871313</v>
      </c>
      <c r="W1450">
        <v>9.6682021218989278E-2</v>
      </c>
      <c r="X1450">
        <v>1.5481620874335893E-2</v>
      </c>
      <c r="Y1450">
        <v>4.5899353736014578E-3</v>
      </c>
    </row>
    <row r="1451" spans="1:25">
      <c r="A1451" s="1010"/>
      <c r="B1451" s="1351">
        <v>1201</v>
      </c>
      <c r="C1451" s="1014">
        <v>1.0425366533080642</v>
      </c>
      <c r="D1451" s="1014">
        <v>1.0325564456028711</v>
      </c>
      <c r="E1451" s="1014">
        <v>1.0286063711982445</v>
      </c>
      <c r="F1451" s="1014">
        <v>1.0156346732736139</v>
      </c>
      <c r="G1451" s="1014">
        <v>0.98378117239644569</v>
      </c>
      <c r="H1451" s="1014">
        <v>1.0091808717054382</v>
      </c>
      <c r="I1451" s="1014">
        <v>1.0183607291048073</v>
      </c>
      <c r="K1451">
        <v>2.4053689733934611</v>
      </c>
      <c r="L1451">
        <v>0</v>
      </c>
      <c r="M1451">
        <v>1.4870217653377019E-3</v>
      </c>
      <c r="N1451">
        <v>0.14755287040971471</v>
      </c>
      <c r="O1451">
        <v>2.0006103560313099E-2</v>
      </c>
      <c r="P1451">
        <v>2.9082711865162758E-2</v>
      </c>
      <c r="Q1451">
        <v>5.3866968752485176E-3</v>
      </c>
      <c r="R1451">
        <v>1.467571992494858E-3</v>
      </c>
      <c r="S1451">
        <v>0.24960213093846192</v>
      </c>
      <c r="T1451">
        <v>1.3937138711429851</v>
      </c>
      <c r="U1451">
        <v>0.20341863413918071</v>
      </c>
      <c r="V1451">
        <v>0.24011571493185394</v>
      </c>
      <c r="W1451">
        <v>9.5316215537219098E-2</v>
      </c>
      <c r="X1451">
        <v>1.719922658757048E-2</v>
      </c>
      <c r="Y1451">
        <v>3.9942471785936974E-3</v>
      </c>
    </row>
    <row r="1452" spans="1:25">
      <c r="A1452" s="1010"/>
      <c r="B1452" s="1351">
        <v>1202</v>
      </c>
      <c r="C1452" s="1014">
        <v>0.98841139310988402</v>
      </c>
      <c r="D1452" s="1014">
        <v>0.98110302585020881</v>
      </c>
      <c r="E1452" s="1014">
        <v>1.0087766637629951</v>
      </c>
      <c r="F1452" s="1014">
        <v>1.0157446750440702</v>
      </c>
      <c r="G1452" s="1014">
        <v>1.0293841660851044</v>
      </c>
      <c r="H1452" s="1014">
        <v>0.99203034541053381</v>
      </c>
      <c r="I1452" s="1014">
        <v>1.0078676186297286</v>
      </c>
      <c r="K1452">
        <v>2.4533916639950628</v>
      </c>
      <c r="L1452">
        <v>0</v>
      </c>
      <c r="M1452">
        <v>1.624896174381818E-3</v>
      </c>
      <c r="N1452">
        <v>0.15183559613413017</v>
      </c>
      <c r="O1452">
        <v>2.1326861666854168E-2</v>
      </c>
      <c r="P1452">
        <v>2.9184186189619907E-2</v>
      </c>
      <c r="Q1452">
        <v>5.6301406222458274E-3</v>
      </c>
      <c r="R1452">
        <v>1.6032756174201841E-3</v>
      </c>
      <c r="S1452">
        <v>0.26562853519540497</v>
      </c>
      <c r="T1452">
        <v>1.3934275857126175</v>
      </c>
      <c r="U1452">
        <v>0.21448903521812643</v>
      </c>
      <c r="V1452">
        <v>0.25124818538172422</v>
      </c>
      <c r="W1452">
        <v>9.9228497686395703E-2</v>
      </c>
      <c r="X1452">
        <v>1.7051073033951959E-2</v>
      </c>
      <c r="Y1452">
        <v>4.3635877109525012E-3</v>
      </c>
    </row>
    <row r="1453" spans="1:25">
      <c r="A1453" s="1010"/>
      <c r="B1453" s="1351">
        <v>1203</v>
      </c>
      <c r="C1453" s="1014">
        <v>0.99823357293451209</v>
      </c>
      <c r="D1453" s="1014">
        <v>1.0322323260056643</v>
      </c>
      <c r="E1453" s="1014">
        <v>1.0053794865907903</v>
      </c>
      <c r="F1453" s="1014">
        <v>1.0194760120600808</v>
      </c>
      <c r="G1453" s="1014">
        <v>0.96247368767321673</v>
      </c>
      <c r="H1453" s="1014">
        <v>1.0044008836080511</v>
      </c>
      <c r="I1453" s="1014">
        <v>0.9902859144835261</v>
      </c>
      <c r="K1453">
        <v>2.4275474065599703</v>
      </c>
      <c r="L1453">
        <v>0</v>
      </c>
      <c r="M1453">
        <v>1.6222703015090776E-3</v>
      </c>
      <c r="N1453">
        <v>0.15006804175346816</v>
      </c>
      <c r="O1453">
        <v>2.0880072267240053E-2</v>
      </c>
      <c r="P1453">
        <v>2.8812286990587126E-2</v>
      </c>
      <c r="Q1453">
        <v>5.4934738754941802E-3</v>
      </c>
      <c r="R1453">
        <v>1.6009505396154633E-3</v>
      </c>
      <c r="S1453">
        <v>0.25294553371346812</v>
      </c>
      <c r="T1453">
        <v>1.3984713285078259</v>
      </c>
      <c r="U1453">
        <v>0.2123669116610559</v>
      </c>
      <c r="V1453">
        <v>0.23921486889044213</v>
      </c>
      <c r="W1453">
        <v>9.8270469829200888E-2</v>
      </c>
      <c r="X1453">
        <v>1.668847921745192E-2</v>
      </c>
      <c r="Y1453">
        <v>4.3572596156297438E-3</v>
      </c>
    </row>
    <row r="1454" spans="1:25">
      <c r="A1454" s="1010"/>
      <c r="B1454" s="1351">
        <v>1204</v>
      </c>
      <c r="C1454" s="1014">
        <v>1.0028114793462688</v>
      </c>
      <c r="D1454" s="1014">
        <v>0.9707066363883704</v>
      </c>
      <c r="E1454" s="1014">
        <v>1.0035191586745653</v>
      </c>
      <c r="F1454" s="1014">
        <v>0.99575795364056707</v>
      </c>
      <c r="G1454" s="1014">
        <v>0.99803149816431103</v>
      </c>
      <c r="H1454" s="1014">
        <v>1.016884587206687</v>
      </c>
      <c r="I1454" s="1014">
        <v>1.0441797634884376</v>
      </c>
      <c r="K1454">
        <v>2.4269676375556122</v>
      </c>
      <c r="L1454">
        <v>0</v>
      </c>
      <c r="M1454">
        <v>1.663601874092881E-3</v>
      </c>
      <c r="N1454">
        <v>0.15305420280020951</v>
      </c>
      <c r="O1454">
        <v>2.1066432107124413E-2</v>
      </c>
      <c r="P1454">
        <v>2.8692846030521559E-2</v>
      </c>
      <c r="Q1454">
        <v>5.5321753305142057E-3</v>
      </c>
      <c r="R1454">
        <v>1.6420073342310263E-3</v>
      </c>
      <c r="S1454">
        <v>0.27488001069420481</v>
      </c>
      <c r="T1454">
        <v>1.3658958622792017</v>
      </c>
      <c r="U1454">
        <v>0.21139109585684204</v>
      </c>
      <c r="V1454">
        <v>0.24500746325188719</v>
      </c>
      <c r="W1454">
        <v>0.10033641576751573</v>
      </c>
      <c r="X1454">
        <v>1.6663725301245907E-2</v>
      </c>
      <c r="Y1454">
        <v>4.469002676204599E-3</v>
      </c>
    </row>
    <row r="1455" spans="1:25">
      <c r="A1455" s="1010"/>
      <c r="B1455" s="1351">
        <v>1205</v>
      </c>
      <c r="C1455" s="1014">
        <v>1.0245923833647483</v>
      </c>
      <c r="D1455" s="1014">
        <v>0.99200885031369346</v>
      </c>
      <c r="E1455" s="1014">
        <v>1.0005097431972607</v>
      </c>
      <c r="F1455" s="1014">
        <v>1.000068535501216</v>
      </c>
      <c r="G1455" s="1014">
        <v>0.99811745940219221</v>
      </c>
      <c r="H1455" s="1014">
        <v>0.97815543686665163</v>
      </c>
      <c r="I1455" s="1014">
        <v>1.0330595866546906</v>
      </c>
      <c r="K1455">
        <v>2.3938395328634194</v>
      </c>
      <c r="L1455">
        <v>0</v>
      </c>
      <c r="M1455">
        <v>1.5685256685955321E-3</v>
      </c>
      <c r="N1455">
        <v>0.14292665361599829</v>
      </c>
      <c r="O1455">
        <v>2.0518412526797453E-2</v>
      </c>
      <c r="P1455">
        <v>2.8425274930310055E-2</v>
      </c>
      <c r="Q1455">
        <v>5.3720052259007096E-3</v>
      </c>
      <c r="R1455">
        <v>1.5473591235369664E-3</v>
      </c>
      <c r="S1455">
        <v>0.25993580988452086</v>
      </c>
      <c r="T1455">
        <v>1.3717436316708838</v>
      </c>
      <c r="U1455">
        <v>0.2068872762234186</v>
      </c>
      <c r="V1455">
        <v>0.24371021719095168</v>
      </c>
      <c r="W1455">
        <v>9.3864659253461991E-2</v>
      </c>
      <c r="X1455">
        <v>1.6265357438759918E-2</v>
      </c>
      <c r="Y1455">
        <v>4.2114014474696378E-3</v>
      </c>
    </row>
    <row r="1456" spans="1:25">
      <c r="A1456" s="1010"/>
      <c r="B1456" s="1351">
        <v>1206</v>
      </c>
      <c r="C1456" s="1014">
        <v>0.99008424681183849</v>
      </c>
      <c r="D1456" s="1014">
        <v>1.0425670884453531</v>
      </c>
      <c r="E1456" s="1014">
        <v>0.9969169710716812</v>
      </c>
      <c r="F1456" s="1014">
        <v>1.0292612343130991</v>
      </c>
      <c r="G1456" s="1014">
        <v>1.0121874525183165</v>
      </c>
      <c r="H1456" s="1014">
        <v>1.0018858278415361</v>
      </c>
      <c r="I1456" s="1014">
        <v>0.99590898472310763</v>
      </c>
      <c r="K1456">
        <v>2.4530932231857432</v>
      </c>
      <c r="L1456">
        <v>0</v>
      </c>
      <c r="M1456">
        <v>1.6567898975594036E-3</v>
      </c>
      <c r="N1456">
        <v>0.14938782703351022</v>
      </c>
      <c r="O1456">
        <v>2.1000224118585639E-2</v>
      </c>
      <c r="P1456">
        <v>2.8984876349998728E-2</v>
      </c>
      <c r="Q1456">
        <v>5.4783159897501127E-3</v>
      </c>
      <c r="R1456">
        <v>1.6349618232896137E-3</v>
      </c>
      <c r="S1456">
        <v>0.2549307842874115</v>
      </c>
      <c r="T1456">
        <v>1.411705827586178</v>
      </c>
      <c r="U1456">
        <v>0.2140856696414371</v>
      </c>
      <c r="V1456">
        <v>0.24824847320253302</v>
      </c>
      <c r="W1456">
        <v>9.8317857246761384E-2</v>
      </c>
      <c r="X1456">
        <v>1.652536868586894E-2</v>
      </c>
      <c r="Y1456">
        <v>4.4498271179741295E-3</v>
      </c>
    </row>
    <row r="1457" spans="1:25">
      <c r="A1457" s="1010"/>
      <c r="B1457" s="1351">
        <v>1207</v>
      </c>
      <c r="C1457" s="1014">
        <v>0.97428448974332693</v>
      </c>
      <c r="D1457" s="1014">
        <v>1.0258968522081837</v>
      </c>
      <c r="E1457" s="1014">
        <v>0.98109231882749115</v>
      </c>
      <c r="F1457" s="1014">
        <v>1.0127882725232451</v>
      </c>
      <c r="G1457" s="1014">
        <v>1.0300529039241084</v>
      </c>
      <c r="H1457" s="1014">
        <v>0.99636508415786673</v>
      </c>
      <c r="I1457" s="1014">
        <v>1.0135757063753461</v>
      </c>
      <c r="K1457">
        <v>2.4483236494275733</v>
      </c>
      <c r="L1457">
        <v>0</v>
      </c>
      <c r="M1457">
        <v>1.7363025430100838E-3</v>
      </c>
      <c r="N1457">
        <v>0.14923159450084722</v>
      </c>
      <c r="O1457">
        <v>2.1405891399567278E-2</v>
      </c>
      <c r="P1457">
        <v>2.8572220071833437E-2</v>
      </c>
      <c r="Q1457">
        <v>5.4954852865834779E-3</v>
      </c>
      <c r="R1457">
        <v>1.713300144687594E-3</v>
      </c>
      <c r="S1457">
        <v>0.26515987058801549</v>
      </c>
      <c r="T1457">
        <v>1.3887661179201543</v>
      </c>
      <c r="U1457">
        <v>0.21750202695065785</v>
      </c>
      <c r="V1457">
        <v>0.25238077638181056</v>
      </c>
      <c r="W1457">
        <v>9.9151281601706734E-2</v>
      </c>
      <c r="X1457">
        <v>1.6018348920118747E-2</v>
      </c>
      <c r="Y1457">
        <v>4.6630382045987255E-3</v>
      </c>
    </row>
    <row r="1458" spans="1:25">
      <c r="A1458" s="1010"/>
      <c r="B1458" s="1351">
        <v>1208</v>
      </c>
      <c r="C1458" s="1014">
        <v>0.98540009643873916</v>
      </c>
      <c r="D1458" s="1014">
        <v>1.0185079718414811</v>
      </c>
      <c r="E1458" s="1014">
        <v>1.033896819450828</v>
      </c>
      <c r="F1458" s="1014">
        <v>0.97688147654667357</v>
      </c>
      <c r="G1458" s="1014">
        <v>0.96182066996181237</v>
      </c>
      <c r="H1458" s="1014">
        <v>1.0148662887767537</v>
      </c>
      <c r="I1458" s="1014">
        <v>0.98561976278910746</v>
      </c>
      <c r="K1458">
        <v>2.3913202264308779</v>
      </c>
      <c r="L1458">
        <v>0</v>
      </c>
      <c r="M1458">
        <v>1.5694812350428012E-3</v>
      </c>
      <c r="N1458">
        <v>0.15825024568218737</v>
      </c>
      <c r="O1458">
        <v>2.1233571002353069E-2</v>
      </c>
      <c r="P1458">
        <v>2.8728747105188406E-2</v>
      </c>
      <c r="Q1458">
        <v>5.747158064302477E-3</v>
      </c>
      <c r="R1458">
        <v>1.5490679208841572E-3</v>
      </c>
      <c r="S1458">
        <v>0.25785524159502077</v>
      </c>
      <c r="T1458">
        <v>1.3406469023870202</v>
      </c>
      <c r="U1458">
        <v>0.21523191631706046</v>
      </c>
      <c r="V1458">
        <v>0.23982293390041623</v>
      </c>
      <c r="W1458">
        <v>0.1019133601568955</v>
      </c>
      <c r="X1458">
        <v>1.7694511304048248E-2</v>
      </c>
      <c r="Y1458">
        <v>4.2160522305437964E-3</v>
      </c>
    </row>
    <row r="1459" spans="1:25">
      <c r="A1459" s="1010"/>
      <c r="B1459" s="1351">
        <v>1209</v>
      </c>
      <c r="C1459" s="1014">
        <v>0.95508635367521477</v>
      </c>
      <c r="D1459" s="1014">
        <v>0.99681153685485258</v>
      </c>
      <c r="E1459" s="1014">
        <v>0.97753712771093915</v>
      </c>
      <c r="F1459" s="1014">
        <v>0.9657630494265822</v>
      </c>
      <c r="G1459" s="1014">
        <v>0.98114958707339883</v>
      </c>
      <c r="H1459" s="1014">
        <v>0.98415621727026448</v>
      </c>
      <c r="I1459" s="1014">
        <v>0.979261835355553</v>
      </c>
      <c r="K1459">
        <v>2.3822216328050185</v>
      </c>
      <c r="L1459">
        <v>0</v>
      </c>
      <c r="M1459">
        <v>1.773594536189523E-3</v>
      </c>
      <c r="N1459">
        <v>0.15078062078502147</v>
      </c>
      <c r="O1459">
        <v>2.1972309546177765E-2</v>
      </c>
      <c r="P1459">
        <v>2.7577610450836985E-2</v>
      </c>
      <c r="Q1459">
        <v>5.6205462159640944E-3</v>
      </c>
      <c r="R1459">
        <v>1.7498066134009397E-3</v>
      </c>
      <c r="S1459">
        <v>0.26402101984059878</v>
      </c>
      <c r="T1459">
        <v>1.3242097570327822</v>
      </c>
      <c r="U1459">
        <v>0.22186134111550115</v>
      </c>
      <c r="V1459">
        <v>0.24532444855923083</v>
      </c>
      <c r="W1459">
        <v>0.10039587981695586</v>
      </c>
      <c r="X1459">
        <v>1.5719490586656754E-2</v>
      </c>
      <c r="Y1459">
        <v>4.7623967780822743E-3</v>
      </c>
    </row>
    <row r="1460" spans="1:25">
      <c r="A1460" s="1010"/>
      <c r="B1460" s="1351">
        <v>1210</v>
      </c>
      <c r="C1460" s="1014">
        <v>1.0198080014840158</v>
      </c>
      <c r="D1460" s="1014">
        <v>1.0176649004677645</v>
      </c>
      <c r="E1460" s="1014">
        <v>1.017906852816</v>
      </c>
      <c r="F1460" s="1014">
        <v>1.0045980592335215</v>
      </c>
      <c r="G1460" s="1014">
        <v>0.96982853176509065</v>
      </c>
      <c r="H1460" s="1014">
        <v>1.0318447519837619</v>
      </c>
      <c r="I1460" s="1014">
        <v>0.99998613158711591</v>
      </c>
      <c r="K1460">
        <v>2.4083251557479857</v>
      </c>
      <c r="L1460">
        <v>0</v>
      </c>
      <c r="M1460">
        <v>1.5943975040081128E-3</v>
      </c>
      <c r="N1460">
        <v>0.15322812134772396</v>
      </c>
      <c r="O1460">
        <v>2.0510490444598631E-2</v>
      </c>
      <c r="P1460">
        <v>2.875524375279823E-2</v>
      </c>
      <c r="Q1460">
        <v>5.4641775060620878E-3</v>
      </c>
      <c r="R1460">
        <v>1.574001341454803E-3</v>
      </c>
      <c r="S1460">
        <v>0.25417439244876561</v>
      </c>
      <c r="T1460">
        <v>1.3783352422625419</v>
      </c>
      <c r="U1460">
        <v>0.20791627346679739</v>
      </c>
      <c r="V1460">
        <v>0.23910546345848316</v>
      </c>
      <c r="W1460">
        <v>9.9602274444991951E-2</v>
      </c>
      <c r="X1460">
        <v>1.6969959995738328E-2</v>
      </c>
      <c r="Y1460">
        <v>4.2839127820372119E-3</v>
      </c>
    </row>
    <row r="1461" spans="1:25">
      <c r="A1461" s="1010"/>
      <c r="B1461" s="1351">
        <v>1211</v>
      </c>
      <c r="C1461" s="1014">
        <v>0.99803276766012439</v>
      </c>
      <c r="D1461" s="1014">
        <v>1.0014435505008823</v>
      </c>
      <c r="E1461" s="1014">
        <v>0.98774425215065731</v>
      </c>
      <c r="F1461" s="1014">
        <v>0.97592361143879502</v>
      </c>
      <c r="G1461" s="1014">
        <v>0.98753179401020452</v>
      </c>
      <c r="H1461" s="1014">
        <v>1.0174084639299958</v>
      </c>
      <c r="I1461" s="1014">
        <v>1.0301520286143491</v>
      </c>
      <c r="K1461">
        <v>2.387416196454041</v>
      </c>
      <c r="L1461">
        <v>0</v>
      </c>
      <c r="M1461">
        <v>1.716209902417015E-3</v>
      </c>
      <c r="N1461">
        <v>0.15054431065943366</v>
      </c>
      <c r="O1461">
        <v>2.1012149171872597E-2</v>
      </c>
      <c r="P1461">
        <v>2.788661868457212E-2</v>
      </c>
      <c r="Q1461">
        <v>5.4309058462675185E-3</v>
      </c>
      <c r="R1461">
        <v>1.6939439500509017E-3</v>
      </c>
      <c r="S1461">
        <v>0.26817478403552664</v>
      </c>
      <c r="T1461">
        <v>1.3383561292351172</v>
      </c>
      <c r="U1461">
        <v>0.21234927292856529</v>
      </c>
      <c r="V1461">
        <v>0.24356832799693318</v>
      </c>
      <c r="W1461">
        <v>9.9623916090877687E-2</v>
      </c>
      <c r="X1461">
        <v>1.5881690733672862E-2</v>
      </c>
      <c r="Y1461">
        <v>4.6103570235654957E-3</v>
      </c>
    </row>
    <row r="1462" spans="1:25">
      <c r="A1462" s="1010"/>
      <c r="B1462" s="1351">
        <v>1212</v>
      </c>
      <c r="C1462" s="1014">
        <v>0.99739942018339067</v>
      </c>
      <c r="D1462" s="1014">
        <v>0.99621342192472973</v>
      </c>
      <c r="E1462" s="1014">
        <v>1.0282152801871944</v>
      </c>
      <c r="F1462" s="1014">
        <v>0.99528765884897608</v>
      </c>
      <c r="G1462" s="1014">
        <v>0.99127972654105967</v>
      </c>
      <c r="H1462" s="1014">
        <v>1.0317908896304488</v>
      </c>
      <c r="I1462" s="1014">
        <v>0.99390163603743564</v>
      </c>
      <c r="K1462">
        <v>2.4229096154840142</v>
      </c>
      <c r="L1462">
        <v>0</v>
      </c>
      <c r="M1462">
        <v>1.6030223586378099E-3</v>
      </c>
      <c r="N1462">
        <v>0.15892197186552445</v>
      </c>
      <c r="O1462">
        <v>2.1076711704671756E-2</v>
      </c>
      <c r="P1462">
        <v>2.9029846658309214E-2</v>
      </c>
      <c r="Q1462">
        <v>5.6727651556941509E-3</v>
      </c>
      <c r="R1462">
        <v>1.5825147930417652E-3</v>
      </c>
      <c r="S1462">
        <v>0.26113408466581112</v>
      </c>
      <c r="T1462">
        <v>1.3657840311137317</v>
      </c>
      <c r="U1462">
        <v>0.21262298251492545</v>
      </c>
      <c r="V1462">
        <v>0.24410624872290435</v>
      </c>
      <c r="W1462">
        <v>0.10268376622906138</v>
      </c>
      <c r="X1462">
        <v>1.7590630828179129E-2</v>
      </c>
      <c r="Y1462">
        <v>4.3070835907983622E-3</v>
      </c>
    </row>
    <row r="1463" spans="1:25">
      <c r="A1463" s="1010"/>
      <c r="B1463" s="1351">
        <v>1213</v>
      </c>
      <c r="C1463" s="1014">
        <v>0.99470053860135965</v>
      </c>
      <c r="D1463" s="1014">
        <v>1.0301457883980814</v>
      </c>
      <c r="E1463" s="1014">
        <v>1.0133046724760368</v>
      </c>
      <c r="F1463" s="1014">
        <v>1.0362399555997364</v>
      </c>
      <c r="G1463" s="1014">
        <v>1.0045343217581648</v>
      </c>
      <c r="H1463" s="1014">
        <v>1.0301010475816621</v>
      </c>
      <c r="I1463" s="1014">
        <v>0.99301293427425841</v>
      </c>
      <c r="K1463">
        <v>2.4732712251338453</v>
      </c>
      <c r="L1463">
        <v>0</v>
      </c>
      <c r="M1463">
        <v>1.6431580549303691E-3</v>
      </c>
      <c r="N1463">
        <v>0.1557327994935058</v>
      </c>
      <c r="O1463">
        <v>2.0968826210726519E-2</v>
      </c>
      <c r="P1463">
        <v>2.9469615145799474E-2</v>
      </c>
      <c r="Q1463">
        <v>5.5607204350351588E-3</v>
      </c>
      <c r="R1463">
        <v>1.6221025466539786E-3</v>
      </c>
      <c r="S1463">
        <v>0.25703193022656839</v>
      </c>
      <c r="T1463">
        <v>1.421645302426761</v>
      </c>
      <c r="U1463">
        <v>0.21314848244823378</v>
      </c>
      <c r="V1463">
        <v>0.24659030314483438</v>
      </c>
      <c r="W1463">
        <v>0.10150425915294517</v>
      </c>
      <c r="X1463">
        <v>1.7225213551677776E-2</v>
      </c>
      <c r="Y1463">
        <v>4.4148284060313361E-3</v>
      </c>
    </row>
    <row r="1464" spans="1:25">
      <c r="A1464" s="1010"/>
      <c r="B1464" s="1351">
        <v>1214</v>
      </c>
      <c r="C1464" s="1014">
        <v>1.018412782015133</v>
      </c>
      <c r="D1464" s="1014">
        <v>1.0013335606098803</v>
      </c>
      <c r="E1464" s="1014">
        <v>0.99227444540932364</v>
      </c>
      <c r="F1464" s="1014">
        <v>0.99042251996378794</v>
      </c>
      <c r="G1464" s="1014">
        <v>0.99630338222689507</v>
      </c>
      <c r="H1464" s="1014">
        <v>1.0180806421177913</v>
      </c>
      <c r="I1464" s="1014">
        <v>0.9905233025493696</v>
      </c>
      <c r="K1464">
        <v>2.3835022917899886</v>
      </c>
      <c r="L1464">
        <v>0</v>
      </c>
      <c r="M1464">
        <v>1.667300921072173E-3</v>
      </c>
      <c r="N1464">
        <v>0.14827233326973152</v>
      </c>
      <c r="O1464">
        <v>2.0595107858470112E-2</v>
      </c>
      <c r="P1464">
        <v>2.7989971106534599E-2</v>
      </c>
      <c r="Q1464">
        <v>5.3475453695285688E-3</v>
      </c>
      <c r="R1464">
        <v>1.6456837913519291E-3</v>
      </c>
      <c r="S1464">
        <v>0.2528038700048264</v>
      </c>
      <c r="T1464">
        <v>1.3583363976280156</v>
      </c>
      <c r="U1464">
        <v>0.20811501683773367</v>
      </c>
      <c r="V1464">
        <v>0.24379956614685289</v>
      </c>
      <c r="W1464">
        <v>9.7854494248203833E-2</v>
      </c>
      <c r="X1464">
        <v>1.593059766926835E-2</v>
      </c>
      <c r="Y1464">
        <v>4.4790087805439329E-3</v>
      </c>
    </row>
    <row r="1465" spans="1:25">
      <c r="A1465" s="1010"/>
      <c r="B1465" s="1351">
        <v>1215</v>
      </c>
      <c r="C1465" s="1014">
        <v>1.0355430836651482</v>
      </c>
      <c r="D1465" s="1014">
        <v>0.9850579567354445</v>
      </c>
      <c r="E1465" s="1014">
        <v>0.98196355795142343</v>
      </c>
      <c r="F1465" s="1014">
        <v>1.0208753564265951</v>
      </c>
      <c r="G1465" s="1014">
        <v>1.022045893196788</v>
      </c>
      <c r="H1465" s="1014">
        <v>1.0156530514142565</v>
      </c>
      <c r="I1465" s="1014">
        <v>1.0234325689361974</v>
      </c>
      <c r="K1465">
        <v>2.425130095876419</v>
      </c>
      <c r="L1465">
        <v>0</v>
      </c>
      <c r="M1465">
        <v>1.6771369557918271E-3</v>
      </c>
      <c r="N1465">
        <v>0.14456372361533096</v>
      </c>
      <c r="O1465">
        <v>2.032095401178393E-2</v>
      </c>
      <c r="P1465">
        <v>2.8411121676034386E-2</v>
      </c>
      <c r="Q1465">
        <v>5.2215696672493614E-3</v>
      </c>
      <c r="R1465">
        <v>1.655340324916725E-3</v>
      </c>
      <c r="S1465">
        <v>0.25870679681182429</v>
      </c>
      <c r="T1465">
        <v>1.3998745372408359</v>
      </c>
      <c r="U1465">
        <v>0.20463834287893173</v>
      </c>
      <c r="V1465">
        <v>0.24722214136085813</v>
      </c>
      <c r="W1465">
        <v>9.599943656622946E-2</v>
      </c>
      <c r="X1465">
        <v>1.5687977996582819E-2</v>
      </c>
      <c r="Y1465">
        <v>4.5052906816318711E-3</v>
      </c>
    </row>
    <row r="1466" spans="1:25">
      <c r="A1466" s="1010"/>
      <c r="B1466" s="1351">
        <v>1216</v>
      </c>
      <c r="C1466" s="1014">
        <v>1.0130615886948542</v>
      </c>
      <c r="D1466" s="1014">
        <v>1.0073212775052507</v>
      </c>
      <c r="E1466" s="1014">
        <v>0.99818359800542733</v>
      </c>
      <c r="F1466" s="1014">
        <v>0.97008371011034233</v>
      </c>
      <c r="G1466" s="1014">
        <v>1.0058166800335482</v>
      </c>
      <c r="H1466" s="1014">
        <v>0.97572588170694385</v>
      </c>
      <c r="I1466" s="1014">
        <v>1.0101648228127043</v>
      </c>
      <c r="K1466">
        <v>2.3522356591283868</v>
      </c>
      <c r="L1466">
        <v>0</v>
      </c>
      <c r="M1466">
        <v>1.5847422368992564E-3</v>
      </c>
      <c r="N1466">
        <v>0.14338811667094764</v>
      </c>
      <c r="O1466">
        <v>2.0680619467298586E-2</v>
      </c>
      <c r="P1466">
        <v>2.7805287661125701E-2</v>
      </c>
      <c r="Q1466">
        <v>5.4018233920399414E-3</v>
      </c>
      <c r="R1466">
        <v>1.5633036070330328E-3</v>
      </c>
      <c r="S1466">
        <v>0.25487099027826016</v>
      </c>
      <c r="T1466">
        <v>1.3305661581845356</v>
      </c>
      <c r="U1466">
        <v>0.20923424528747495</v>
      </c>
      <c r="V1466">
        <v>0.24572657241534407</v>
      </c>
      <c r="W1466">
        <v>9.4298064630483749E-2</v>
      </c>
      <c r="X1466">
        <v>1.6030422695292566E-2</v>
      </c>
      <c r="Y1466">
        <v>4.2547970754483588E-3</v>
      </c>
    </row>
    <row r="1467" spans="1:25">
      <c r="A1467" s="1010"/>
      <c r="B1467" s="1351">
        <v>1217</v>
      </c>
      <c r="C1467" s="1014">
        <v>0.98500659781486455</v>
      </c>
      <c r="D1467" s="1014">
        <v>0.99242852879778132</v>
      </c>
      <c r="E1467" s="1014">
        <v>1.0225409486758397</v>
      </c>
      <c r="F1467" s="1014">
        <v>1.0235705512487252</v>
      </c>
      <c r="G1467" s="1014">
        <v>1.0214743693612072</v>
      </c>
      <c r="H1467" s="1014">
        <v>1.0244475234402697</v>
      </c>
      <c r="I1467" s="1014">
        <v>0.96050074348711378</v>
      </c>
      <c r="K1467">
        <v>2.46590594216145</v>
      </c>
      <c r="L1467">
        <v>0</v>
      </c>
      <c r="M1467">
        <v>1.6321604749879085E-3</v>
      </c>
      <c r="N1467">
        <v>0.15905065273418403</v>
      </c>
      <c r="O1467">
        <v>2.1355923034328778E-2</v>
      </c>
      <c r="P1467">
        <v>2.9486225710157864E-2</v>
      </c>
      <c r="Q1467">
        <v>5.7156763874908348E-3</v>
      </c>
      <c r="R1467">
        <v>1.6111304708512804E-3</v>
      </c>
      <c r="S1467">
        <v>0.25536231533886905</v>
      </c>
      <c r="T1467">
        <v>1.4044690036554979</v>
      </c>
      <c r="U1467">
        <v>0.2152783231262704</v>
      </c>
      <c r="V1467">
        <v>0.25006627681676208</v>
      </c>
      <c r="W1467">
        <v>0.10310719811987305</v>
      </c>
      <c r="X1467">
        <v>1.7650411209512565E-2</v>
      </c>
      <c r="Y1467">
        <v>4.3849660326402079E-3</v>
      </c>
    </row>
    <row r="1468" spans="1:25">
      <c r="A1468" s="1010"/>
      <c r="B1468" s="1351">
        <v>1218</v>
      </c>
      <c r="C1468" s="1014">
        <v>1.0190882317390957</v>
      </c>
      <c r="D1468" s="1014">
        <v>0.97570149261567352</v>
      </c>
      <c r="E1468" s="1014">
        <v>0.98525169145984259</v>
      </c>
      <c r="F1468" s="1014">
        <v>0.9814370585299298</v>
      </c>
      <c r="G1468" s="1014">
        <v>1.035949958606925</v>
      </c>
      <c r="H1468" s="1014">
        <v>0.96309776678793502</v>
      </c>
      <c r="I1468" s="1014">
        <v>0.9851668188971956</v>
      </c>
      <c r="K1468">
        <v>2.3606670838204264</v>
      </c>
      <c r="L1468">
        <v>0</v>
      </c>
      <c r="M1468">
        <v>1.6084487952702554E-3</v>
      </c>
      <c r="N1468">
        <v>0.13992825575272777</v>
      </c>
      <c r="O1468">
        <v>2.0694617543743549E-2</v>
      </c>
      <c r="P1468">
        <v>2.7724556752795469E-2</v>
      </c>
      <c r="Q1468">
        <v>5.3353499965597562E-3</v>
      </c>
      <c r="R1468">
        <v>1.5864041516482695E-3</v>
      </c>
      <c r="S1468">
        <v>0.24995310528345899</v>
      </c>
      <c r="T1468">
        <v>1.3458643635703942</v>
      </c>
      <c r="U1468">
        <v>0.20795356491530442</v>
      </c>
      <c r="V1468">
        <v>0.25055773392113778</v>
      </c>
      <c r="W1468">
        <v>9.2737411323871921E-2</v>
      </c>
      <c r="X1468">
        <v>1.5622500261258958E-2</v>
      </c>
      <c r="Y1468">
        <v>4.3176691427985461E-3</v>
      </c>
    </row>
    <row r="1469" spans="1:25">
      <c r="A1469" s="1010"/>
      <c r="B1469" s="1351">
        <v>1219</v>
      </c>
      <c r="C1469" s="1014">
        <v>0.97416631595631542</v>
      </c>
      <c r="D1469" s="1014">
        <v>1.001408147983702</v>
      </c>
      <c r="E1469" s="1014">
        <v>0.99975842829235106</v>
      </c>
      <c r="F1469" s="1014">
        <v>1.0406401923864144</v>
      </c>
      <c r="G1469" s="1014">
        <v>0.96780407437379701</v>
      </c>
      <c r="H1469" s="1014">
        <v>1.0149950964397569</v>
      </c>
      <c r="I1469" s="1014">
        <v>0.98786484813396758</v>
      </c>
      <c r="K1469">
        <v>2.485895911684445</v>
      </c>
      <c r="L1469">
        <v>0</v>
      </c>
      <c r="M1469">
        <v>1.7109666039692947E-3</v>
      </c>
      <c r="N1469">
        <v>0.15562985361546225</v>
      </c>
      <c r="O1469">
        <v>2.1535275194660222E-2</v>
      </c>
      <c r="P1469">
        <v>2.9333698258998647E-2</v>
      </c>
      <c r="Q1469">
        <v>5.633977882261317E-3</v>
      </c>
      <c r="R1469">
        <v>1.6887158973761319E-3</v>
      </c>
      <c r="S1469">
        <v>0.26336334661897992</v>
      </c>
      <c r="T1469">
        <v>1.4273768191270668</v>
      </c>
      <c r="U1469">
        <v>0.21759380891898519</v>
      </c>
      <c r="V1469">
        <v>0.24168841119568427</v>
      </c>
      <c r="W1469">
        <v>0.10225291575777395</v>
      </c>
      <c r="X1469">
        <v>1.6913927833551175E-2</v>
      </c>
      <c r="Y1469">
        <v>4.5961279876118727E-3</v>
      </c>
    </row>
    <row r="1470" spans="1:25">
      <c r="A1470" s="1010"/>
      <c r="B1470" s="1351">
        <v>1220</v>
      </c>
      <c r="C1470" s="1014">
        <v>0.98990332562388528</v>
      </c>
      <c r="D1470" s="1014">
        <v>0.98145595969872301</v>
      </c>
      <c r="E1470" s="1014">
        <v>1.0140770136920851</v>
      </c>
      <c r="F1470" s="1014">
        <v>1.0033438351304871</v>
      </c>
      <c r="G1470" s="1014">
        <v>1.0033825446516151</v>
      </c>
      <c r="H1470" s="1014">
        <v>1.0031662705521784</v>
      </c>
      <c r="I1470" s="1014">
        <v>0.9986341249167775</v>
      </c>
      <c r="K1470">
        <v>2.4330424957773027</v>
      </c>
      <c r="L1470">
        <v>0</v>
      </c>
      <c r="M1470">
        <v>1.6225604968958651E-3</v>
      </c>
      <c r="N1470">
        <v>0.15408580473246758</v>
      </c>
      <c r="O1470">
        <v>2.1296608548667759E-2</v>
      </c>
      <c r="P1470">
        <v>2.8972738442985011E-2</v>
      </c>
      <c r="Q1470">
        <v>5.6519981337640078E-3</v>
      </c>
      <c r="R1470">
        <v>1.6012106780033816E-3</v>
      </c>
      <c r="S1470">
        <v>0.26375481208596557</v>
      </c>
      <c r="T1470">
        <v>1.3765310409209257</v>
      </c>
      <c r="U1470">
        <v>0.21418410304592628</v>
      </c>
      <c r="V1470">
        <v>0.24669499874954443</v>
      </c>
      <c r="W1470">
        <v>0.1003851769479527</v>
      </c>
      <c r="X1470">
        <v>1.7148596361429319E-2</v>
      </c>
      <c r="Y1470">
        <v>4.3579676265670612E-3</v>
      </c>
    </row>
    <row r="1471" spans="1:25">
      <c r="A1471" s="1010"/>
      <c r="B1471" s="1351">
        <v>1221</v>
      </c>
      <c r="C1471" s="1014">
        <v>0.99609327504424128</v>
      </c>
      <c r="D1471" s="1014">
        <v>0.9762140438688971</v>
      </c>
      <c r="E1471" s="1014">
        <v>0.98919913323091335</v>
      </c>
      <c r="F1471" s="1014">
        <v>0.98549519942124231</v>
      </c>
      <c r="G1471" s="1014">
        <v>0.98812240124738493</v>
      </c>
      <c r="H1471" s="1014">
        <v>0.97325453765523329</v>
      </c>
      <c r="I1471" s="1014">
        <v>1.032370154728288</v>
      </c>
      <c r="K1471">
        <v>2.393328949955936</v>
      </c>
      <c r="L1471">
        <v>0</v>
      </c>
      <c r="M1471">
        <v>1.6492098430903892E-3</v>
      </c>
      <c r="N1471">
        <v>0.14521830590079229</v>
      </c>
      <c r="O1471">
        <v>2.1172548373721789E-2</v>
      </c>
      <c r="P1471">
        <v>2.8112870238167945E-2</v>
      </c>
      <c r="Q1471">
        <v>5.48042354029622E-3</v>
      </c>
      <c r="R1471">
        <v>1.6268424330494753E-3</v>
      </c>
      <c r="S1471">
        <v>0.26883794616752815</v>
      </c>
      <c r="T1471">
        <v>1.3515132919530837</v>
      </c>
      <c r="U1471">
        <v>0.21276772154734513</v>
      </c>
      <c r="V1471">
        <v>0.24378573737874037</v>
      </c>
      <c r="W1471">
        <v>9.6015567964185325E-2</v>
      </c>
      <c r="X1471">
        <v>1.6019175487816759E-2</v>
      </c>
      <c r="Y1471">
        <v>4.4277288142967461E-3</v>
      </c>
    </row>
    <row r="1472" spans="1:25">
      <c r="A1472" s="1010"/>
      <c r="B1472" s="1351">
        <v>1222</v>
      </c>
      <c r="C1472" s="1014">
        <v>1.012934094521168</v>
      </c>
      <c r="D1472" s="1014">
        <v>0.98658478285534701</v>
      </c>
      <c r="E1472" s="1014">
        <v>0.96350264862975399</v>
      </c>
      <c r="F1472" s="1014">
        <v>1.0000072511110913</v>
      </c>
      <c r="G1472" s="1014">
        <v>1.0183356891741413</v>
      </c>
      <c r="H1472" s="1014">
        <v>1.0265625430026002</v>
      </c>
      <c r="I1472" s="1014">
        <v>0.99539309474670334</v>
      </c>
      <c r="K1472">
        <v>2.4045602279389877</v>
      </c>
      <c r="L1472">
        <v>0</v>
      </c>
      <c r="M1472">
        <v>1.7997268870485693E-3</v>
      </c>
      <c r="N1472">
        <v>0.14671923377272539</v>
      </c>
      <c r="O1472">
        <v>2.0755368420337664E-2</v>
      </c>
      <c r="P1472">
        <v>2.7686259931139278E-2</v>
      </c>
      <c r="Q1472">
        <v>5.2336585826121248E-3</v>
      </c>
      <c r="R1472">
        <v>1.7765856053257921E-3</v>
      </c>
      <c r="S1472">
        <v>0.25779961126105089</v>
      </c>
      <c r="T1472">
        <v>1.3708621501068265</v>
      </c>
      <c r="U1472">
        <v>0.20914390926631413</v>
      </c>
      <c r="V1472">
        <v>0.24800259466436006</v>
      </c>
      <c r="W1472">
        <v>9.8529342435501668E-2</v>
      </c>
      <c r="X1472">
        <v>1.5015960413431891E-2</v>
      </c>
      <c r="Y1472">
        <v>4.8352803664094089E-3</v>
      </c>
    </row>
    <row r="1473" spans="1:25">
      <c r="A1473" s="1010"/>
      <c r="B1473" s="1351">
        <v>1223</v>
      </c>
      <c r="C1473" s="1014">
        <v>0.98684161048371877</v>
      </c>
      <c r="D1473" s="1014">
        <v>0.99071919973768374</v>
      </c>
      <c r="E1473" s="1014">
        <v>0.99236025580356579</v>
      </c>
      <c r="F1473" s="1014">
        <v>1.0143085070356876</v>
      </c>
      <c r="G1473" s="1014">
        <v>1.0174813040041719</v>
      </c>
      <c r="H1473" s="1014">
        <v>0.98163950426316293</v>
      </c>
      <c r="I1473" s="1014">
        <v>0.98619173278156091</v>
      </c>
      <c r="K1473">
        <v>2.4349662651495465</v>
      </c>
      <c r="L1473">
        <v>0</v>
      </c>
      <c r="M1473">
        <v>1.662651458757295E-3</v>
      </c>
      <c r="N1473">
        <v>0.14782509861226845</v>
      </c>
      <c r="O1473">
        <v>2.1303935505514286E-2</v>
      </c>
      <c r="P1473">
        <v>2.8673261486074509E-2</v>
      </c>
      <c r="Q1473">
        <v>5.5320725322287982E-3</v>
      </c>
      <c r="R1473">
        <v>1.6402943618817141E-3</v>
      </c>
      <c r="S1473">
        <v>0.25803480620426827</v>
      </c>
      <c r="T1473">
        <v>1.3910972310349501</v>
      </c>
      <c r="U1473">
        <v>0.21477335773915496</v>
      </c>
      <c r="V1473">
        <v>0.24937638982549673</v>
      </c>
      <c r="W1473">
        <v>9.7554329407791074E-2</v>
      </c>
      <c r="X1473">
        <v>1.6353799368521216E-2</v>
      </c>
      <c r="Y1473">
        <v>4.4643405301509542E-3</v>
      </c>
    </row>
    <row r="1474" spans="1:25">
      <c r="A1474" s="1010"/>
      <c r="B1474" s="1351">
        <v>1224</v>
      </c>
      <c r="C1474" s="1014">
        <v>0.97091510602839715</v>
      </c>
      <c r="D1474" s="1014">
        <v>0.99896526110706274</v>
      </c>
      <c r="E1474" s="1014">
        <v>1.0197375513884821</v>
      </c>
      <c r="F1474" s="1014">
        <v>1.0109921198988283</v>
      </c>
      <c r="G1474" s="1014">
        <v>1.0142270605427834</v>
      </c>
      <c r="H1474" s="1014">
        <v>0.99126994619746289</v>
      </c>
      <c r="I1474" s="1014">
        <v>0.9923919021722174</v>
      </c>
      <c r="K1474">
        <v>2.4541424779148846</v>
      </c>
      <c r="L1474">
        <v>0</v>
      </c>
      <c r="M1474">
        <v>1.6092716109991569E-3</v>
      </c>
      <c r="N1474">
        <v>0.15543168178890651</v>
      </c>
      <c r="O1474">
        <v>2.1632682391437504E-2</v>
      </c>
      <c r="P1474">
        <v>2.9342886269885005E-2</v>
      </c>
      <c r="Q1474">
        <v>5.7736445984811315E-3</v>
      </c>
      <c r="R1474">
        <v>1.5878425259167423E-3</v>
      </c>
      <c r="S1474">
        <v>0.26388378826794351</v>
      </c>
      <c r="T1474">
        <v>1.3871482420081547</v>
      </c>
      <c r="U1474">
        <v>0.21839288911419502</v>
      </c>
      <c r="V1474">
        <v>0.24975902813054476</v>
      </c>
      <c r="W1474">
        <v>0.10092639019993332</v>
      </c>
      <c r="X1474">
        <v>1.7551090307087007E-2</v>
      </c>
      <c r="Y1474">
        <v>4.3215839233973789E-3</v>
      </c>
    </row>
    <row r="1475" spans="1:25">
      <c r="A1475" s="1010"/>
      <c r="B1475" s="1351">
        <v>1225</v>
      </c>
      <c r="C1475" s="1014">
        <v>1.0320859224227901</v>
      </c>
      <c r="D1475" s="1014">
        <v>1.0118834001133357</v>
      </c>
      <c r="E1475" s="1014">
        <v>1.0197206260286038</v>
      </c>
      <c r="F1475" s="1014">
        <v>1.0229661063417674</v>
      </c>
      <c r="G1475" s="1014">
        <v>1.0144947594133347</v>
      </c>
      <c r="H1475" s="1014">
        <v>0.98330979986141898</v>
      </c>
      <c r="I1475" s="1014">
        <v>1.0070666197974745</v>
      </c>
      <c r="K1475">
        <v>2.4190455770121209</v>
      </c>
      <c r="L1475">
        <v>0</v>
      </c>
      <c r="M1475">
        <v>1.4975483628520104E-3</v>
      </c>
      <c r="N1475">
        <v>0.1446176923947603</v>
      </c>
      <c r="O1475">
        <v>2.029307806417923E-2</v>
      </c>
      <c r="P1475">
        <v>2.9141369640053615E-2</v>
      </c>
      <c r="Q1475">
        <v>5.4160203855939766E-3</v>
      </c>
      <c r="R1475">
        <v>1.4774455556448376E-3</v>
      </c>
      <c r="S1475">
        <v>0.24963873917613946</v>
      </c>
      <c r="T1475">
        <v>1.4035769696484341</v>
      </c>
      <c r="U1475">
        <v>0.20544888022810046</v>
      </c>
      <c r="V1475">
        <v>0.24599476258554165</v>
      </c>
      <c r="W1475">
        <v>9.3905476968471499E-2</v>
      </c>
      <c r="X1475">
        <v>1.7011570965384533E-2</v>
      </c>
      <c r="Y1475">
        <v>4.0211197626687243E-3</v>
      </c>
    </row>
    <row r="1476" spans="1:25">
      <c r="A1476" s="1010"/>
      <c r="B1476" s="1351">
        <v>1226</v>
      </c>
      <c r="C1476" s="1014">
        <v>0.97203910997179632</v>
      </c>
      <c r="D1476" s="1014">
        <v>1.0072063528630815</v>
      </c>
      <c r="E1476" s="1014">
        <v>1.0122683621890882</v>
      </c>
      <c r="F1476" s="1014">
        <v>1.0417787204321294</v>
      </c>
      <c r="G1476" s="1014">
        <v>1.0196149394574006</v>
      </c>
      <c r="H1476" s="1014">
        <v>1.0188509618830224</v>
      </c>
      <c r="I1476" s="1014">
        <v>1.0253370422993031</v>
      </c>
      <c r="K1476">
        <v>2.5121890732243584</v>
      </c>
      <c r="L1476">
        <v>0</v>
      </c>
      <c r="M1476">
        <v>1.6749654168774235E-3</v>
      </c>
      <c r="N1476">
        <v>0.15822892586138304</v>
      </c>
      <c r="O1476">
        <v>2.1563543547650998E-2</v>
      </c>
      <c r="P1476">
        <v>2.990387636707284E-2</v>
      </c>
      <c r="Q1476">
        <v>5.7125216799806498E-3</v>
      </c>
      <c r="R1476">
        <v>1.6532653334683921E-3</v>
      </c>
      <c r="S1476">
        <v>0.27361742061295724</v>
      </c>
      <c r="T1476">
        <v>1.429220672731119</v>
      </c>
      <c r="U1476">
        <v>0.21811402317654899</v>
      </c>
      <c r="V1476">
        <v>0.25063107914540794</v>
      </c>
      <c r="W1476">
        <v>0.10319409936149412</v>
      </c>
      <c r="X1476">
        <v>1.7524967585221478E-2</v>
      </c>
      <c r="Y1476">
        <v>4.4996432389302569E-3</v>
      </c>
    </row>
    <row r="1477" spans="1:25">
      <c r="A1477" s="1010"/>
      <c r="B1477" s="1351">
        <v>1227</v>
      </c>
      <c r="C1477" s="1014">
        <v>0.97674824331228116</v>
      </c>
      <c r="D1477" s="1014">
        <v>0.98103649783571456</v>
      </c>
      <c r="E1477" s="1014">
        <v>0.99868391602957418</v>
      </c>
      <c r="F1477" s="1014">
        <v>0.99755003603858206</v>
      </c>
      <c r="G1477" s="1014">
        <v>1.01866671067609</v>
      </c>
      <c r="H1477" s="1014">
        <v>0.97129396042965532</v>
      </c>
      <c r="I1477" s="1014">
        <v>0.96853725030708204</v>
      </c>
      <c r="K1477">
        <v>2.4155494385919751</v>
      </c>
      <c r="L1477">
        <v>0</v>
      </c>
      <c r="M1477">
        <v>1.6440322211634909E-3</v>
      </c>
      <c r="N1477">
        <v>0.14896842202721203</v>
      </c>
      <c r="O1477">
        <v>2.15749525572256E-2</v>
      </c>
      <c r="P1477">
        <v>2.8518519060801596E-2</v>
      </c>
      <c r="Q1477">
        <v>5.6382624465042778E-3</v>
      </c>
      <c r="R1477">
        <v>1.6216900252822067E-3</v>
      </c>
      <c r="S1477">
        <v>0.25648078587296708</v>
      </c>
      <c r="T1477">
        <v>1.3682497432760576</v>
      </c>
      <c r="U1477">
        <v>0.21701486352823474</v>
      </c>
      <c r="V1477">
        <v>0.25020895797926684</v>
      </c>
      <c r="W1477">
        <v>9.7938744853754603E-2</v>
      </c>
      <c r="X1477">
        <v>1.656482352698423E-2</v>
      </c>
      <c r="Y1477">
        <v>4.4137056588450059E-3</v>
      </c>
    </row>
    <row r="1478" spans="1:25">
      <c r="A1478" s="1010"/>
      <c r="B1478" s="1351">
        <v>1228</v>
      </c>
      <c r="C1478" s="1014">
        <v>0.99924647108997811</v>
      </c>
      <c r="D1478" s="1014">
        <v>1.019831448596177</v>
      </c>
      <c r="E1478" s="1014">
        <v>0.97786630370890648</v>
      </c>
      <c r="F1478" s="1014">
        <v>1.0260803509570677</v>
      </c>
      <c r="G1478" s="1014">
        <v>1.0014967242310611</v>
      </c>
      <c r="H1478" s="1014">
        <v>0.99201422854776311</v>
      </c>
      <c r="I1478" s="1014">
        <v>1.0036562415012453</v>
      </c>
      <c r="K1478">
        <v>2.4371148402619736</v>
      </c>
      <c r="L1478">
        <v>0</v>
      </c>
      <c r="M1478">
        <v>1.6990311586055913E-3</v>
      </c>
      <c r="N1478">
        <v>0.14460120527556636</v>
      </c>
      <c r="O1478">
        <v>2.0896274166824349E-2</v>
      </c>
      <c r="P1478">
        <v>2.8468123579026217E-2</v>
      </c>
      <c r="Q1478">
        <v>5.3470859092893119E-3</v>
      </c>
      <c r="R1478">
        <v>1.6764238084707647E-3</v>
      </c>
      <c r="S1478">
        <v>0.25636723925420668</v>
      </c>
      <c r="T1478">
        <v>1.406921330860504</v>
      </c>
      <c r="U1478">
        <v>0.21205765203549681</v>
      </c>
      <c r="V1478">
        <v>0.24591413039097454</v>
      </c>
      <c r="W1478">
        <v>9.6262202954228354E-2</v>
      </c>
      <c r="X1478">
        <v>1.5739530212290555E-2</v>
      </c>
      <c r="Y1478">
        <v>4.5626729736974831E-3</v>
      </c>
    </row>
    <row r="1479" spans="1:25">
      <c r="A1479" s="1010"/>
      <c r="B1479" s="1351">
        <v>1229</v>
      </c>
      <c r="C1479" s="1014">
        <v>1.0017280079200781</v>
      </c>
      <c r="D1479" s="1014">
        <v>1.0144125020461392</v>
      </c>
      <c r="E1479" s="1014">
        <v>1.0250199914788312</v>
      </c>
      <c r="F1479" s="1014">
        <v>0.98972039661163624</v>
      </c>
      <c r="G1479" s="1014">
        <v>1.0212096015161951</v>
      </c>
      <c r="H1479" s="1014">
        <v>1.0374759859888338</v>
      </c>
      <c r="I1479" s="1014">
        <v>1.0210229001456028</v>
      </c>
      <c r="K1479">
        <v>2.4213865626688804</v>
      </c>
      <c r="L1479">
        <v>0</v>
      </c>
      <c r="M1479">
        <v>1.6091841660705081E-3</v>
      </c>
      <c r="N1479">
        <v>0.15801437789385894</v>
      </c>
      <c r="O1479">
        <v>2.0900103589717615E-2</v>
      </c>
      <c r="P1479">
        <v>2.8965831214495138E-2</v>
      </c>
      <c r="Q1479">
        <v>5.6074554201011916E-3</v>
      </c>
      <c r="R1479">
        <v>1.588710580126346E-3</v>
      </c>
      <c r="S1479">
        <v>0.26517201852532907</v>
      </c>
      <c r="T1479">
        <v>1.3580755988923197</v>
      </c>
      <c r="U1479">
        <v>0.21169326557730497</v>
      </c>
      <c r="V1479">
        <v>0.24895442424500921</v>
      </c>
      <c r="W1479">
        <v>0.10228739433411498</v>
      </c>
      <c r="X1479">
        <v>1.7412620081768443E-2</v>
      </c>
      <c r="Y1479">
        <v>4.3239464808019264E-3</v>
      </c>
    </row>
    <row r="1480" spans="1:25">
      <c r="A1480" s="1010"/>
      <c r="B1480" s="1351">
        <v>1230</v>
      </c>
      <c r="C1480" s="1014">
        <v>0.98771163207288359</v>
      </c>
      <c r="D1480" s="1014">
        <v>0.9763446485059627</v>
      </c>
      <c r="E1480" s="1014">
        <v>1.014252572099956</v>
      </c>
      <c r="F1480" s="1014">
        <v>0.98119743318627251</v>
      </c>
      <c r="G1480" s="1014">
        <v>0.96914265682841794</v>
      </c>
      <c r="H1480" s="1014">
        <v>0.99943828012555458</v>
      </c>
      <c r="I1480" s="1014">
        <v>1.0315678174643566</v>
      </c>
      <c r="K1480">
        <v>2.4066869553376078</v>
      </c>
      <c r="L1480">
        <v>0</v>
      </c>
      <c r="M1480">
        <v>1.6213880206171134E-3</v>
      </c>
      <c r="N1480">
        <v>0.15404840372982775</v>
      </c>
      <c r="O1480">
        <v>2.1368516138195588E-2</v>
      </c>
      <c r="P1480">
        <v>2.8619079048150316E-2</v>
      </c>
      <c r="Q1480">
        <v>5.6720750463582466E-3</v>
      </c>
      <c r="R1480">
        <v>1.5999740501810172E-3</v>
      </c>
      <c r="S1480">
        <v>0.27344454883208319</v>
      </c>
      <c r="T1480">
        <v>1.3461511650765381</v>
      </c>
      <c r="U1480">
        <v>0.2146599780986215</v>
      </c>
      <c r="V1480">
        <v>0.24098941285439648</v>
      </c>
      <c r="W1480">
        <v>0.10035045555783734</v>
      </c>
      <c r="X1480">
        <v>1.7050132992748084E-2</v>
      </c>
      <c r="Y1480">
        <v>4.3546019332888373E-3</v>
      </c>
    </row>
    <row r="1481" spans="1:25">
      <c r="A1481" s="1010"/>
      <c r="B1481" s="1351">
        <v>1231</v>
      </c>
      <c r="C1481" s="1014">
        <v>1.019807446359519</v>
      </c>
      <c r="D1481" s="1014">
        <v>1.0088300952971747</v>
      </c>
      <c r="E1481" s="1014">
        <v>1.0231427487479885</v>
      </c>
      <c r="F1481" s="1014">
        <v>1.0023985230437458</v>
      </c>
      <c r="G1481" s="1014">
        <v>0.97588787995926884</v>
      </c>
      <c r="H1481" s="1014">
        <v>1.0039185366866676</v>
      </c>
      <c r="I1481" s="1014">
        <v>0.98481921492531099</v>
      </c>
      <c r="K1481">
        <v>2.3959703658982248</v>
      </c>
      <c r="L1481">
        <v>0</v>
      </c>
      <c r="M1481">
        <v>1.5373841830989452E-3</v>
      </c>
      <c r="N1481">
        <v>0.1500470180776465</v>
      </c>
      <c r="O1481">
        <v>2.055329531966742E-2</v>
      </c>
      <c r="P1481">
        <v>2.8769998857908458E-2</v>
      </c>
      <c r="Q1481">
        <v>5.5041488377592313E-3</v>
      </c>
      <c r="R1481">
        <v>1.5171702811947281E-3</v>
      </c>
      <c r="S1481">
        <v>0.24915527504927235</v>
      </c>
      <c r="T1481">
        <v>1.3754313932454529</v>
      </c>
      <c r="U1481">
        <v>0.20793399150551248</v>
      </c>
      <c r="V1481">
        <v>0.24012187326074896</v>
      </c>
      <c r="W1481">
        <v>9.7236279021496869E-2</v>
      </c>
      <c r="X1481">
        <v>1.7108069254302645E-2</v>
      </c>
      <c r="Y1481">
        <v>4.1292373703632678E-3</v>
      </c>
    </row>
    <row r="1482" spans="1:25">
      <c r="A1482" s="1010"/>
      <c r="B1482" s="1351">
        <v>1232</v>
      </c>
      <c r="C1482" s="1014">
        <v>1.032002865370141</v>
      </c>
      <c r="D1482" s="1014">
        <v>1.0403945071231437</v>
      </c>
      <c r="E1482" s="1014">
        <v>0.97319055755016259</v>
      </c>
      <c r="F1482" s="1014">
        <v>0.99992665261624381</v>
      </c>
      <c r="G1482" s="1014">
        <v>1.0150956314702184</v>
      </c>
      <c r="H1482" s="1014">
        <v>1.021382802116453</v>
      </c>
      <c r="I1482" s="1014">
        <v>0.98410758659843822</v>
      </c>
      <c r="K1482">
        <v>2.376781811994698</v>
      </c>
      <c r="L1482">
        <v>0</v>
      </c>
      <c r="M1482">
        <v>1.702755620709421E-3</v>
      </c>
      <c r="N1482">
        <v>0.142937170108486</v>
      </c>
      <c r="O1482">
        <v>2.0141380732772461E-2</v>
      </c>
      <c r="P1482">
        <v>2.7625949516488293E-2</v>
      </c>
      <c r="Q1482">
        <v>5.1294222135614062E-3</v>
      </c>
      <c r="R1482">
        <v>1.6807501835867183E-3</v>
      </c>
      <c r="S1482">
        <v>0.2433128862003901</v>
      </c>
      <c r="T1482">
        <v>1.3709597924515295</v>
      </c>
      <c r="U1482">
        <v>0.20531138817496838</v>
      </c>
      <c r="V1482">
        <v>0.24627435022617819</v>
      </c>
      <c r="W1482">
        <v>9.5424429848752268E-2</v>
      </c>
      <c r="X1482">
        <v>1.511260001811999E-2</v>
      </c>
      <c r="Y1482">
        <v>4.5744479405739336E-3</v>
      </c>
    </row>
    <row r="1483" spans="1:25">
      <c r="A1483" s="1010"/>
      <c r="B1483" s="1351">
        <v>1233</v>
      </c>
      <c r="C1483" s="1014">
        <v>0.98678688921255198</v>
      </c>
      <c r="D1483" s="1014">
        <v>1.025378963289139</v>
      </c>
      <c r="E1483" s="1014">
        <v>1.0097347868600151</v>
      </c>
      <c r="F1483" s="1014">
        <v>1.0132731512593722</v>
      </c>
      <c r="G1483" s="1014">
        <v>0.98465145996133518</v>
      </c>
      <c r="H1483" s="1014">
        <v>0.99444451597769823</v>
      </c>
      <c r="I1483" s="1014">
        <v>0.9972657484294789</v>
      </c>
      <c r="K1483">
        <v>2.4331221316159701</v>
      </c>
      <c r="L1483">
        <v>0</v>
      </c>
      <c r="M1483">
        <v>1.6125525181133558E-3</v>
      </c>
      <c r="N1483">
        <v>0.15112362572821536</v>
      </c>
      <c r="O1483">
        <v>2.1156174732126234E-2</v>
      </c>
      <c r="P1483">
        <v>2.895120490644881E-2</v>
      </c>
      <c r="Q1483">
        <v>5.5904345033987697E-3</v>
      </c>
      <c r="R1483">
        <v>1.5911482920559874E-3</v>
      </c>
      <c r="S1483">
        <v>0.25772145630800186</v>
      </c>
      <c r="T1483">
        <v>1.3900581150574363</v>
      </c>
      <c r="U1483">
        <v>0.21484546279124653</v>
      </c>
      <c r="V1483">
        <v>0.24371162367230798</v>
      </c>
      <c r="W1483">
        <v>9.8707390151021562E-2</v>
      </c>
      <c r="X1483">
        <v>1.6947466862742924E-2</v>
      </c>
      <c r="Y1483">
        <v>4.3305811290828876E-3</v>
      </c>
    </row>
    <row r="1484" spans="1:25">
      <c r="A1484" s="1010"/>
      <c r="B1484" s="1351">
        <v>1234</v>
      </c>
      <c r="C1484" s="1014">
        <v>1.011811820894615</v>
      </c>
      <c r="D1484" s="1014">
        <v>1.0181921971879551</v>
      </c>
      <c r="E1484" s="1014">
        <v>0.9812747827585746</v>
      </c>
      <c r="F1484" s="1014">
        <v>0.96929040657822718</v>
      </c>
      <c r="G1484" s="1014">
        <v>0.99518904386918816</v>
      </c>
      <c r="H1484" s="1014">
        <v>1.0199430155436695</v>
      </c>
      <c r="I1484" s="1014">
        <v>0.99697271246300623</v>
      </c>
      <c r="K1484">
        <v>2.3553572856797795</v>
      </c>
      <c r="L1484">
        <v>0</v>
      </c>
      <c r="M1484">
        <v>1.7136622349623761E-3</v>
      </c>
      <c r="N1484">
        <v>0.14741277226065935</v>
      </c>
      <c r="O1484">
        <v>2.0646294737129759E-2</v>
      </c>
      <c r="P1484">
        <v>2.7403640661325657E-2</v>
      </c>
      <c r="Q1484">
        <v>5.3014582305554066E-3</v>
      </c>
      <c r="R1484">
        <v>1.6914845844104808E-3</v>
      </c>
      <c r="S1484">
        <v>0.25405686215345785</v>
      </c>
      <c r="T1484">
        <v>1.3291243300277973</v>
      </c>
      <c r="U1484">
        <v>0.20943565670099981</v>
      </c>
      <c r="V1484">
        <v>0.24404869860578757</v>
      </c>
      <c r="W1484">
        <v>9.7932053805101102E-2</v>
      </c>
      <c r="X1484">
        <v>1.5414032706494097E-2</v>
      </c>
      <c r="Y1484">
        <v>4.6036634410219351E-3</v>
      </c>
    </row>
    <row r="1485" spans="1:25">
      <c r="A1485" s="1010"/>
      <c r="B1485" s="1351">
        <v>1235</v>
      </c>
      <c r="C1485" s="1014">
        <v>0.98063359196132482</v>
      </c>
      <c r="D1485" s="1014">
        <v>0.99890264305624998</v>
      </c>
      <c r="E1485" s="1014">
        <v>0.96518628078150126</v>
      </c>
      <c r="F1485" s="1014">
        <v>0.9602604260226536</v>
      </c>
      <c r="G1485" s="1014">
        <v>1.0213518437821272</v>
      </c>
      <c r="H1485" s="1014">
        <v>0.99378672575697691</v>
      </c>
      <c r="I1485" s="1014">
        <v>1.0270066075558124</v>
      </c>
      <c r="K1485">
        <v>2.3718373573292673</v>
      </c>
      <c r="L1485">
        <v>0</v>
      </c>
      <c r="M1485">
        <v>1.788525554603854E-3</v>
      </c>
      <c r="N1485">
        <v>0.14648861500462051</v>
      </c>
      <c r="O1485">
        <v>2.1381706319621732E-2</v>
      </c>
      <c r="P1485">
        <v>2.7287960717700836E-2</v>
      </c>
      <c r="Q1485">
        <v>5.4009107340646277E-3</v>
      </c>
      <c r="R1485">
        <v>1.7647698357565749E-3</v>
      </c>
      <c r="S1485">
        <v>0.27014857659634467</v>
      </c>
      <c r="T1485">
        <v>1.3164098323029758</v>
      </c>
      <c r="U1485">
        <v>0.21603860963761348</v>
      </c>
      <c r="V1485">
        <v>0.2505395197166736</v>
      </c>
      <c r="W1485">
        <v>9.8273262634346631E-2</v>
      </c>
      <c r="X1485">
        <v>1.5088997647440205E-2</v>
      </c>
      <c r="Y1485">
        <v>4.8031217367093893E-3</v>
      </c>
    </row>
    <row r="1486" spans="1:25">
      <c r="A1486" s="1010"/>
      <c r="B1486" s="1351">
        <v>1236</v>
      </c>
      <c r="C1486" s="1014">
        <v>1.0012570087475487</v>
      </c>
      <c r="D1486" s="1014">
        <v>0.96887435698381874</v>
      </c>
      <c r="E1486" s="1014">
        <v>1.0120837180583873</v>
      </c>
      <c r="F1486" s="1014">
        <v>1.042723321429901</v>
      </c>
      <c r="G1486" s="1014">
        <v>0.97316241084541155</v>
      </c>
      <c r="H1486" s="1014">
        <v>0.99313528347011182</v>
      </c>
      <c r="I1486" s="1014">
        <v>1.0151386046213069</v>
      </c>
      <c r="K1486">
        <v>2.4761885177676084</v>
      </c>
      <c r="L1486">
        <v>0</v>
      </c>
      <c r="M1486">
        <v>1.599247334069706E-3</v>
      </c>
      <c r="N1486">
        <v>0.15094057112346962</v>
      </c>
      <c r="O1486">
        <v>2.1113633527849215E-2</v>
      </c>
      <c r="P1486">
        <v>2.958892498083094E-2</v>
      </c>
      <c r="Q1486">
        <v>5.5923023736283595E-3</v>
      </c>
      <c r="R1486">
        <v>1.5779917304651421E-3</v>
      </c>
      <c r="S1486">
        <v>0.26591369222786032</v>
      </c>
      <c r="T1486">
        <v>1.4305124006508356</v>
      </c>
      <c r="U1486">
        <v>0.21174855882787527</v>
      </c>
      <c r="V1486">
        <v>0.24082820533599503</v>
      </c>
      <c r="W1486">
        <v>9.8451464133985284E-2</v>
      </c>
      <c r="X1486">
        <v>1.7225246883391394E-2</v>
      </c>
      <c r="Y1486">
        <v>4.2947733054919711E-3</v>
      </c>
    </row>
    <row r="1487" spans="1:25">
      <c r="A1487" s="1010"/>
      <c r="B1487" s="1351">
        <v>1237</v>
      </c>
      <c r="C1487" s="1014">
        <v>0.96210246822612711</v>
      </c>
      <c r="D1487" s="1014">
        <v>0.96631309282234901</v>
      </c>
      <c r="E1487" s="1014">
        <v>1.0007828698911181</v>
      </c>
      <c r="F1487" s="1014">
        <v>1.0067994985429372</v>
      </c>
      <c r="G1487" s="1014">
        <v>0.98025920881051765</v>
      </c>
      <c r="H1487" s="1014">
        <v>1.0046990923457673</v>
      </c>
      <c r="I1487" s="1014">
        <v>0.99673938949283813</v>
      </c>
      <c r="K1487">
        <v>2.4578047922662223</v>
      </c>
      <c r="L1487">
        <v>0</v>
      </c>
      <c r="M1487">
        <v>1.7246897324563824E-3</v>
      </c>
      <c r="N1487">
        <v>0.15734315309321786</v>
      </c>
      <c r="O1487">
        <v>2.1977829165682201E-2</v>
      </c>
      <c r="P1487">
        <v>2.8931659145723626E-2</v>
      </c>
      <c r="Q1487">
        <v>5.7556801507853382E-3</v>
      </c>
      <c r="R1487">
        <v>1.7020307091360218E-3</v>
      </c>
      <c r="S1487">
        <v>0.27301321710630339</v>
      </c>
      <c r="T1487">
        <v>1.3809821028037199</v>
      </c>
      <c r="U1487">
        <v>0.22032586771120075</v>
      </c>
      <c r="V1487">
        <v>0.24461497290934919</v>
      </c>
      <c r="W1487">
        <v>0.103315686936721</v>
      </c>
      <c r="X1487">
        <v>1.6934915750842144E-2</v>
      </c>
      <c r="Y1487">
        <v>4.6323665159957771E-3</v>
      </c>
    </row>
    <row r="1488" spans="1:25">
      <c r="A1488" s="1010"/>
      <c r="B1488" s="1351">
        <v>1238</v>
      </c>
      <c r="C1488" s="1014">
        <v>0.98827108619986315</v>
      </c>
      <c r="D1488" s="1014">
        <v>0.99165883851830949</v>
      </c>
      <c r="E1488" s="1014">
        <v>1.0427110154688659</v>
      </c>
      <c r="F1488" s="1014">
        <v>0.99814717696666955</v>
      </c>
      <c r="G1488" s="1014">
        <v>0.96043811315453331</v>
      </c>
      <c r="H1488" s="1014">
        <v>1.0037246421695598</v>
      </c>
      <c r="I1488" s="1014">
        <v>0.99715025758424436</v>
      </c>
      <c r="K1488">
        <v>2.4251765269836971</v>
      </c>
      <c r="L1488">
        <v>0</v>
      </c>
      <c r="M1488">
        <v>1.5284965584775505E-3</v>
      </c>
      <c r="N1488">
        <v>0.15824202606489268</v>
      </c>
      <c r="O1488">
        <v>2.1302649721826088E-2</v>
      </c>
      <c r="P1488">
        <v>2.9379139303691289E-2</v>
      </c>
      <c r="Q1488">
        <v>5.8160914123297353E-3</v>
      </c>
      <c r="R1488">
        <v>1.5083956309808911E-3</v>
      </c>
      <c r="S1488">
        <v>0.26271781459195193</v>
      </c>
      <c r="T1488">
        <v>1.3700230859207192</v>
      </c>
      <c r="U1488">
        <v>0.21463731471095257</v>
      </c>
      <c r="V1488">
        <v>0.23937441005502161</v>
      </c>
      <c r="W1488">
        <v>0.10139135806709376</v>
      </c>
      <c r="X1488">
        <v>1.8207382397666259E-2</v>
      </c>
      <c r="Y1488">
        <v>4.1053556650438696E-3</v>
      </c>
    </row>
    <row r="1489" spans="1:25">
      <c r="A1489" s="1010"/>
      <c r="B1489" s="1351">
        <v>1239</v>
      </c>
      <c r="C1489" s="1014">
        <v>1.0314069494262985</v>
      </c>
      <c r="D1489" s="1014">
        <v>0.99942326995220598</v>
      </c>
      <c r="E1489" s="1014">
        <v>1.0367837983313029</v>
      </c>
      <c r="F1489" s="1014">
        <v>1.0233558399895086</v>
      </c>
      <c r="G1489" s="1014">
        <v>1.0125946965317609</v>
      </c>
      <c r="H1489" s="1014">
        <v>0.96509374216505461</v>
      </c>
      <c r="I1489" s="1014">
        <v>1.0010482610793805</v>
      </c>
      <c r="K1489">
        <v>2.4187856498050722</v>
      </c>
      <c r="L1489">
        <v>0</v>
      </c>
      <c r="M1489">
        <v>1.4232852049509363E-3</v>
      </c>
      <c r="N1489">
        <v>0.14466488839237851</v>
      </c>
      <c r="O1489">
        <v>2.0372892690805978E-2</v>
      </c>
      <c r="P1489">
        <v>2.9499587033557682E-2</v>
      </c>
      <c r="Q1489">
        <v>5.5299193750873036E-3</v>
      </c>
      <c r="R1489">
        <v>1.4038186700068725E-3</v>
      </c>
      <c r="S1489">
        <v>0.24848781779142648</v>
      </c>
      <c r="T1489">
        <v>1.4044914532139716</v>
      </c>
      <c r="U1489">
        <v>0.2056409177696171</v>
      </c>
      <c r="V1489">
        <v>0.24564939245930811</v>
      </c>
      <c r="W1489">
        <v>9.3009028023042714E-2</v>
      </c>
      <c r="X1489">
        <v>1.7638487939759799E-2</v>
      </c>
      <c r="Y1489">
        <v>3.8207316510585113E-3</v>
      </c>
    </row>
    <row r="1490" spans="1:25">
      <c r="A1490" s="1010"/>
      <c r="B1490" s="1351">
        <v>1240</v>
      </c>
      <c r="C1490" s="1014">
        <v>0.99385109589901788</v>
      </c>
      <c r="D1490" s="1014">
        <v>0.96218378529634696</v>
      </c>
      <c r="E1490" s="1014">
        <v>0.97800271879054868</v>
      </c>
      <c r="F1490" s="1014">
        <v>1.0177412038910005</v>
      </c>
      <c r="G1490" s="1014">
        <v>0.98867719005931209</v>
      </c>
      <c r="H1490" s="1014">
        <v>0.98878682495063053</v>
      </c>
      <c r="I1490" s="1014">
        <v>0.97934739236893398</v>
      </c>
      <c r="K1490">
        <v>2.4314572361968287</v>
      </c>
      <c r="L1490">
        <v>0</v>
      </c>
      <c r="M1490">
        <v>1.7241475603670385E-3</v>
      </c>
      <c r="N1490">
        <v>0.14679293881249861</v>
      </c>
      <c r="O1490">
        <v>2.1280484371373368E-2</v>
      </c>
      <c r="P1490">
        <v>2.8339720245619225E-2</v>
      </c>
      <c r="Q1490">
        <v>5.4461562609253349E-3</v>
      </c>
      <c r="R1490">
        <v>1.7011311294795601E-3</v>
      </c>
      <c r="S1490">
        <v>0.25871098425720385</v>
      </c>
      <c r="T1490">
        <v>1.3954900069407949</v>
      </c>
      <c r="U1490">
        <v>0.21320932882122259</v>
      </c>
      <c r="V1490">
        <v>0.24406191814402176</v>
      </c>
      <c r="W1490">
        <v>9.7713195645149103E-2</v>
      </c>
      <c r="X1490">
        <v>1.5805600972189349E-2</v>
      </c>
      <c r="Y1490">
        <v>4.6299181567172427E-3</v>
      </c>
    </row>
    <row r="1491" spans="1:25">
      <c r="A1491" s="1010"/>
      <c r="B1491" s="1351">
        <v>1241</v>
      </c>
      <c r="C1491" s="1014">
        <v>1.0115924823197058</v>
      </c>
      <c r="D1491" s="1014">
        <v>1.0272286674144508</v>
      </c>
      <c r="E1491" s="1014">
        <v>0.9743820362298512</v>
      </c>
      <c r="F1491" s="1014">
        <v>0.96822210246823215</v>
      </c>
      <c r="G1491" s="1014">
        <v>1.0294923857216995</v>
      </c>
      <c r="H1491" s="1014">
        <v>0.99338501630111298</v>
      </c>
      <c r="I1491" s="1014">
        <v>0.99542183051202504</v>
      </c>
      <c r="K1491">
        <v>2.3473382570698442</v>
      </c>
      <c r="L1491">
        <v>0</v>
      </c>
      <c r="M1491">
        <v>1.6900695756607478E-3</v>
      </c>
      <c r="N1491">
        <v>0.14233231261316634</v>
      </c>
      <c r="O1491">
        <v>2.0606188101837852E-2</v>
      </c>
      <c r="P1491">
        <v>2.7268394215032979E-2</v>
      </c>
      <c r="Q1491">
        <v>5.2541761652366275E-3</v>
      </c>
      <c r="R1491">
        <v>1.6676125002636434E-3</v>
      </c>
      <c r="S1491">
        <v>0.2503438803106548</v>
      </c>
      <c r="T1491">
        <v>1.3275157555256167</v>
      </c>
      <c r="U1491">
        <v>0.2094578598129451</v>
      </c>
      <c r="V1491">
        <v>0.24994951798348278</v>
      </c>
      <c r="W1491">
        <v>9.495195398024231E-2</v>
      </c>
      <c r="X1491">
        <v>1.5141983939614988E-2</v>
      </c>
      <c r="Y1491">
        <v>4.5386914974046687E-3</v>
      </c>
    </row>
    <row r="1492" spans="1:25">
      <c r="A1492" s="1010"/>
      <c r="B1492" s="1351">
        <v>1242</v>
      </c>
      <c r="C1492" s="1014">
        <v>0.99414035101740617</v>
      </c>
      <c r="D1492" s="1014">
        <v>0.99844957381473598</v>
      </c>
      <c r="E1492" s="1014">
        <v>0.97854084909698746</v>
      </c>
      <c r="F1492" s="1014">
        <v>1.0236597804448997</v>
      </c>
      <c r="G1492" s="1014">
        <v>1.0163497726381208</v>
      </c>
      <c r="H1492" s="1014">
        <v>0.9741351790911319</v>
      </c>
      <c r="I1492" s="1014">
        <v>0.97704322520728271</v>
      </c>
      <c r="K1492">
        <v>2.4317074004601866</v>
      </c>
      <c r="L1492">
        <v>0</v>
      </c>
      <c r="M1492">
        <v>1.682466798445563E-3</v>
      </c>
      <c r="N1492">
        <v>0.14344851452717872</v>
      </c>
      <c r="O1492">
        <v>2.1102189364859681E-2</v>
      </c>
      <c r="P1492">
        <v>2.8433189316580905E-2</v>
      </c>
      <c r="Q1492">
        <v>5.4034840390133924E-3</v>
      </c>
      <c r="R1492">
        <v>1.659668969346356E-3</v>
      </c>
      <c r="S1492">
        <v>0.25203625106468885</v>
      </c>
      <c r="T1492">
        <v>1.4036172062205297</v>
      </c>
      <c r="U1492">
        <v>0.21314913724800516</v>
      </c>
      <c r="V1492">
        <v>0.24877026290639925</v>
      </c>
      <c r="W1492">
        <v>9.5455904171213787E-2</v>
      </c>
      <c r="X1492">
        <v>1.5796987605982301E-2</v>
      </c>
      <c r="Y1492">
        <v>4.517071824832076E-3</v>
      </c>
    </row>
    <row r="1493" spans="1:25">
      <c r="A1493" s="1010"/>
      <c r="B1493" s="1351">
        <v>1243</v>
      </c>
      <c r="C1493" s="1014">
        <v>1.0071802195683399</v>
      </c>
      <c r="D1493" s="1014">
        <v>1.0133763061246304</v>
      </c>
      <c r="E1493" s="1014">
        <v>1.0196360319115305</v>
      </c>
      <c r="F1493" s="1014">
        <v>1.0361072841563317</v>
      </c>
      <c r="G1493" s="1014">
        <v>0.99666380661515297</v>
      </c>
      <c r="H1493" s="1014">
        <v>0.97453279124135483</v>
      </c>
      <c r="I1493" s="1014">
        <v>1.0237917783350978</v>
      </c>
      <c r="K1493">
        <v>2.4550885251629579</v>
      </c>
      <c r="L1493">
        <v>0</v>
      </c>
      <c r="M1493">
        <v>1.5206567340411699E-3</v>
      </c>
      <c r="N1493">
        <v>0.14679379587887345</v>
      </c>
      <c r="O1493">
        <v>2.0788088998743577E-2</v>
      </c>
      <c r="P1493">
        <v>2.9569266688456913E-2</v>
      </c>
      <c r="Q1493">
        <v>5.5476672189532453E-3</v>
      </c>
      <c r="R1493">
        <v>1.5000598771734198E-3</v>
      </c>
      <c r="S1493">
        <v>0.25911051377374045</v>
      </c>
      <c r="T1493">
        <v>1.4216056293318227</v>
      </c>
      <c r="U1493">
        <v>0.21052896285038586</v>
      </c>
      <c r="V1493">
        <v>0.24444711203285327</v>
      </c>
      <c r="W1493">
        <v>9.5323218164332132E-2</v>
      </c>
      <c r="X1493">
        <v>1.7312198590602613E-2</v>
      </c>
      <c r="Y1493">
        <v>4.0826684910604365E-3</v>
      </c>
    </row>
    <row r="1494" spans="1:25">
      <c r="A1494" s="1010"/>
      <c r="B1494" s="1351">
        <v>1244</v>
      </c>
      <c r="C1494" s="1014">
        <v>1.001221735569511</v>
      </c>
      <c r="D1494" s="1014">
        <v>1.0396329676800795</v>
      </c>
      <c r="E1494" s="1014">
        <v>0.95644642510463029</v>
      </c>
      <c r="F1494" s="1014">
        <v>1.0036879176658242</v>
      </c>
      <c r="G1494" s="1014">
        <v>0.9699040583175681</v>
      </c>
      <c r="H1494" s="1014">
        <v>0.99843493364395774</v>
      </c>
      <c r="I1494" s="1014">
        <v>0.99648703044681253</v>
      </c>
      <c r="K1494">
        <v>2.3899106346387375</v>
      </c>
      <c r="L1494">
        <v>0</v>
      </c>
      <c r="M1494">
        <v>1.776249638341646E-3</v>
      </c>
      <c r="N1494">
        <v>0.14169003295756075</v>
      </c>
      <c r="O1494">
        <v>2.0753002123172961E-2</v>
      </c>
      <c r="P1494">
        <v>2.7456033283856249E-2</v>
      </c>
      <c r="Q1494">
        <v>5.1952463531464432E-3</v>
      </c>
      <c r="R1494">
        <v>1.7527668073185438E-3</v>
      </c>
      <c r="S1494">
        <v>0.251982335951834</v>
      </c>
      <c r="T1494">
        <v>1.3757559171485303</v>
      </c>
      <c r="U1494">
        <v>0.21156655727603513</v>
      </c>
      <c r="V1494">
        <v>0.24046873512030426</v>
      </c>
      <c r="W1494">
        <v>9.5564789299677003E-2</v>
      </c>
      <c r="X1494">
        <v>1.4731014505546192E-2</v>
      </c>
      <c r="Y1494">
        <v>4.770453450098331E-3</v>
      </c>
    </row>
    <row r="1495" spans="1:25">
      <c r="A1495" s="1010"/>
      <c r="B1495" s="1351">
        <v>1245</v>
      </c>
      <c r="C1495" s="1014">
        <v>1.0141465287593352</v>
      </c>
      <c r="D1495" s="1014">
        <v>0.98282294062797604</v>
      </c>
      <c r="E1495" s="1014">
        <v>1.003376676201208</v>
      </c>
      <c r="F1495" s="1014">
        <v>1.0036057224556154</v>
      </c>
      <c r="G1495" s="1014">
        <v>1.0342296266414146</v>
      </c>
      <c r="H1495" s="1014">
        <v>0.97967224038724643</v>
      </c>
      <c r="I1495" s="1014">
        <v>1.0282521460336953</v>
      </c>
      <c r="K1495">
        <v>2.4152403177233039</v>
      </c>
      <c r="L1495">
        <v>0</v>
      </c>
      <c r="M1495">
        <v>1.5809580594833405E-3</v>
      </c>
      <c r="N1495">
        <v>0.14531562025829159</v>
      </c>
      <c r="O1495">
        <v>2.0774109455514049E-2</v>
      </c>
      <c r="P1495">
        <v>2.8714106062855068E-2</v>
      </c>
      <c r="Q1495">
        <v>5.4546298132700033E-3</v>
      </c>
      <c r="R1495">
        <v>1.5596567763462733E-3</v>
      </c>
      <c r="S1495">
        <v>0.26277586945590592</v>
      </c>
      <c r="T1495">
        <v>1.3766576675354316</v>
      </c>
      <c r="U1495">
        <v>0.20902791090334361</v>
      </c>
      <c r="V1495">
        <v>0.25049352682595971</v>
      </c>
      <c r="W1495">
        <v>9.5271346027260215E-2</v>
      </c>
      <c r="X1495">
        <v>1.6531961064111034E-2</v>
      </c>
      <c r="Y1495">
        <v>4.244871604496412E-3</v>
      </c>
    </row>
    <row r="1496" spans="1:25">
      <c r="A1496" s="1010"/>
      <c r="B1496" s="1351">
        <v>1246</v>
      </c>
      <c r="C1496" s="1014">
        <v>1.0244262396688917</v>
      </c>
      <c r="D1496" s="1014">
        <v>1.0227502624705471</v>
      </c>
      <c r="E1496" s="1014">
        <v>0.99776909748112896</v>
      </c>
      <c r="F1496" s="1014">
        <v>0.96682285374194665</v>
      </c>
      <c r="G1496" s="1014">
        <v>0.96901480500123149</v>
      </c>
      <c r="H1496" s="1014">
        <v>0.96132358463056</v>
      </c>
      <c r="I1496" s="1014">
        <v>0.97993247339143641</v>
      </c>
      <c r="K1496">
        <v>2.3169489115197273</v>
      </c>
      <c r="L1496">
        <v>0</v>
      </c>
      <c r="M1496">
        <v>1.5401978020964779E-3</v>
      </c>
      <c r="N1496">
        <v>0.13915468869333875</v>
      </c>
      <c r="O1496">
        <v>2.0382650445991971E-2</v>
      </c>
      <c r="P1496">
        <v>2.7426600386799969E-2</v>
      </c>
      <c r="Q1496">
        <v>5.321772975947197E-3</v>
      </c>
      <c r="R1496">
        <v>1.5190496161405324E-3</v>
      </c>
      <c r="S1496">
        <v>0.24147562310003434</v>
      </c>
      <c r="T1496">
        <v>1.3260849058423259</v>
      </c>
      <c r="U1496">
        <v>0.20691168609603369</v>
      </c>
      <c r="V1496">
        <v>0.23875976008221073</v>
      </c>
      <c r="W1496">
        <v>9.1536567990166448E-2</v>
      </c>
      <c r="X1496">
        <v>1.5781451792269495E-2</v>
      </c>
      <c r="Y1496">
        <v>4.1343523005631499E-3</v>
      </c>
    </row>
    <row r="1497" spans="1:25">
      <c r="A1497" s="1010"/>
      <c r="B1497" s="1351">
        <v>1247</v>
      </c>
      <c r="C1497" s="1014">
        <v>0.9958830272284811</v>
      </c>
      <c r="D1497" s="1014">
        <v>0.9907068935681822</v>
      </c>
      <c r="E1497" s="1014">
        <v>0.98829618919068596</v>
      </c>
      <c r="F1497" s="1014">
        <v>0.97429279396218449</v>
      </c>
      <c r="G1497" s="1014">
        <v>1.0316913393684899</v>
      </c>
      <c r="H1497" s="1014">
        <v>1.0227644428880114</v>
      </c>
      <c r="I1497" s="1014">
        <v>1.0011328178220276</v>
      </c>
      <c r="K1497">
        <v>2.3910285206425734</v>
      </c>
      <c r="L1497">
        <v>0</v>
      </c>
      <c r="M1497">
        <v>1.7310943747277086E-3</v>
      </c>
      <c r="N1497">
        <v>0.15211408002606233</v>
      </c>
      <c r="O1497">
        <v>2.1107869363693528E-2</v>
      </c>
      <c r="P1497">
        <v>2.7908907636267296E-2</v>
      </c>
      <c r="Q1497">
        <v>5.4586939565746022E-3</v>
      </c>
      <c r="R1497">
        <v>1.7087529254341852E-3</v>
      </c>
      <c r="S1497">
        <v>0.26305694700712429</v>
      </c>
      <c r="T1497">
        <v>1.3361312708868411</v>
      </c>
      <c r="U1497">
        <v>0.2128095467352531</v>
      </c>
      <c r="V1497">
        <v>0.25124494493188188</v>
      </c>
      <c r="W1497">
        <v>0.10062939350414717</v>
      </c>
      <c r="X1497">
        <v>1.593854587124062E-2</v>
      </c>
      <c r="Y1497">
        <v>4.6506621727813698E-3</v>
      </c>
    </row>
    <row r="1498" spans="1:25">
      <c r="A1498" s="1010"/>
      <c r="B1498" s="1351">
        <v>1248</v>
      </c>
      <c r="C1498" s="1014">
        <v>0.98895118380560521</v>
      </c>
      <c r="D1498" s="1014">
        <v>1.018352215345917</v>
      </c>
      <c r="E1498" s="1014">
        <v>0.99551474347924618</v>
      </c>
      <c r="F1498" s="1014">
        <v>1.0405339270514389</v>
      </c>
      <c r="G1498" s="1014">
        <v>0.96621111738813747</v>
      </c>
      <c r="H1498" s="1014">
        <v>0.97611835435629635</v>
      </c>
      <c r="I1498" s="1014">
        <v>1.0015064473008517</v>
      </c>
      <c r="K1498">
        <v>2.4585435729987117</v>
      </c>
      <c r="L1498">
        <v>0</v>
      </c>
      <c r="M1498">
        <v>1.6291338438149704E-3</v>
      </c>
      <c r="N1498">
        <v>0.14622144822555616</v>
      </c>
      <c r="O1498">
        <v>2.1132325675552056E-2</v>
      </c>
      <c r="P1498">
        <v>2.9096172172442616E-2</v>
      </c>
      <c r="Q1498">
        <v>5.5049962368301092E-3</v>
      </c>
      <c r="R1498">
        <v>1.6071035390494031E-3</v>
      </c>
      <c r="S1498">
        <v>0.25744906120102296</v>
      </c>
      <c r="T1498">
        <v>1.4271356037180649</v>
      </c>
      <c r="U1498">
        <v>0.21432610847202133</v>
      </c>
      <c r="V1498">
        <v>0.24047336338488018</v>
      </c>
      <c r="W1498">
        <v>9.6314417697589486E-2</v>
      </c>
      <c r="X1498">
        <v>1.6538100467762485E-2</v>
      </c>
      <c r="Y1498">
        <v>4.37400605175321E-3</v>
      </c>
    </row>
    <row r="1499" spans="1:25">
      <c r="A1499" s="1010"/>
      <c r="B1499" s="1351">
        <v>1249</v>
      </c>
      <c r="C1499" s="1014">
        <v>0.97280949421438556</v>
      </c>
      <c r="D1499" s="1014">
        <v>0.9735323012680166</v>
      </c>
      <c r="E1499" s="1014">
        <v>0.98434306797009419</v>
      </c>
      <c r="F1499" s="1014">
        <v>0.98524231976367616</v>
      </c>
      <c r="G1499" s="1014">
        <v>0.98628035636841138</v>
      </c>
      <c r="H1499" s="1014">
        <v>0.99501089508348461</v>
      </c>
      <c r="I1499" s="1014">
        <v>1.0008315494577369</v>
      </c>
      <c r="K1499">
        <v>2.4109474932668613</v>
      </c>
      <c r="L1499">
        <v>0</v>
      </c>
      <c r="M1499">
        <v>1.7449296858581345E-3</v>
      </c>
      <c r="N1499">
        <v>0.15145237691446925</v>
      </c>
      <c r="O1499">
        <v>2.1689102840578799E-2</v>
      </c>
      <c r="P1499">
        <v>2.8092331792863526E-2</v>
      </c>
      <c r="Q1499">
        <v>5.5865936729227765E-3</v>
      </c>
      <c r="R1499">
        <v>1.7217815344987559E-3</v>
      </c>
      <c r="S1499">
        <v>0.26910847716307368</v>
      </c>
      <c r="T1499">
        <v>1.3510632931895834</v>
      </c>
      <c r="U1499">
        <v>0.21784319917574788</v>
      </c>
      <c r="V1499">
        <v>0.24498721950833469</v>
      </c>
      <c r="W1499">
        <v>0.100429895960278</v>
      </c>
      <c r="X1499">
        <v>1.60320294485948E-2</v>
      </c>
      <c r="Y1499">
        <v>4.6861217517753075E-3</v>
      </c>
    </row>
    <row r="1500" spans="1:25">
      <c r="A1500" s="1010"/>
      <c r="B1500" s="1351">
        <v>1250</v>
      </c>
      <c r="C1500" s="1014">
        <v>0.97182036618161927</v>
      </c>
      <c r="D1500" s="1014">
        <v>1.0168641747429883</v>
      </c>
      <c r="E1500" s="1014">
        <v>0.99568883082570647</v>
      </c>
      <c r="F1500" s="1014">
        <v>1.0068509407844319</v>
      </c>
      <c r="G1500" s="1014">
        <v>0.9643376919299872</v>
      </c>
      <c r="H1500" s="1014">
        <v>1.0060737553341284</v>
      </c>
      <c r="I1500" s="1014">
        <v>1.0090120830400804</v>
      </c>
      <c r="K1500">
        <v>2.4385762270204885</v>
      </c>
      <c r="L1500">
        <v>0</v>
      </c>
      <c r="M1500">
        <v>1.7086612043435126E-3</v>
      </c>
      <c r="N1500">
        <v>0.15350268954733146</v>
      </c>
      <c r="O1500">
        <v>2.151187460561545E-2</v>
      </c>
      <c r="P1500">
        <v>2.8660752595596393E-2</v>
      </c>
      <c r="Q1500">
        <v>5.6048522822616641E-3</v>
      </c>
      <c r="R1500">
        <v>1.6862434370275711E-3</v>
      </c>
      <c r="S1500">
        <v>0.26678109993004739</v>
      </c>
      <c r="T1500">
        <v>1.3809417732864835</v>
      </c>
      <c r="U1500">
        <v>0.21810476578667834</v>
      </c>
      <c r="V1500">
        <v>0.24126486165134703</v>
      </c>
      <c r="W1500">
        <v>0.1010999916212304</v>
      </c>
      <c r="X1500">
        <v>1.6536584715622887E-2</v>
      </c>
      <c r="Y1500">
        <v>4.5893987655894258E-3</v>
      </c>
    </row>
    <row r="1501" spans="1:25">
      <c r="A1501" s="1010"/>
      <c r="B1501" s="1351">
        <v>1251</v>
      </c>
      <c r="C1501" s="1014">
        <v>1.0235976387993884</v>
      </c>
      <c r="D1501" s="1014">
        <v>1.0311623772179894</v>
      </c>
      <c r="E1501" s="1014">
        <v>1.016725738287408</v>
      </c>
      <c r="F1501" s="1014">
        <v>0.9848194099433365</v>
      </c>
      <c r="G1501" s="1014">
        <v>1.0424537290310649</v>
      </c>
      <c r="H1501" s="1014">
        <v>1.0216869315360315</v>
      </c>
      <c r="I1501" s="1014">
        <v>1.0175692791224276</v>
      </c>
      <c r="K1501">
        <v>2.3885149517035611</v>
      </c>
      <c r="L1501">
        <v>0</v>
      </c>
      <c r="M1501">
        <v>1.5721615581290121E-3</v>
      </c>
      <c r="N1501">
        <v>0.15053424911945035</v>
      </c>
      <c r="O1501">
        <v>2.037464406993374E-2</v>
      </c>
      <c r="P1501">
        <v>2.8525952872337366E-2</v>
      </c>
      <c r="Q1501">
        <v>5.4216076160192184E-3</v>
      </c>
      <c r="R1501">
        <v>1.5518498918272526E-3</v>
      </c>
      <c r="S1501">
        <v>0.25514830116543974</v>
      </c>
      <c r="T1501">
        <v>1.3511731660003274</v>
      </c>
      <c r="U1501">
        <v>0.20714255606330245</v>
      </c>
      <c r="V1501">
        <v>0.25127940503461205</v>
      </c>
      <c r="W1501">
        <v>9.7918970198076799E-2</v>
      </c>
      <c r="X1501">
        <v>1.6792787391984434E-2</v>
      </c>
      <c r="Y1501">
        <v>4.2236238383744273E-3</v>
      </c>
    </row>
    <row r="1502" spans="1:25">
      <c r="A1502" s="1010"/>
      <c r="B1502" s="1351">
        <v>1252</v>
      </c>
      <c r="C1502" s="1014">
        <v>1.0307462379540757</v>
      </c>
      <c r="D1502" s="1014">
        <v>1.0088607888391019</v>
      </c>
      <c r="E1502" s="1014">
        <v>0.98113494008399771</v>
      </c>
      <c r="F1502" s="1014">
        <v>0.9923929281570677</v>
      </c>
      <c r="G1502" s="1014">
        <v>1.0264226155972231</v>
      </c>
      <c r="H1502" s="1014">
        <v>0.97074342020645843</v>
      </c>
      <c r="I1502" s="1014">
        <v>1.0081864302721482</v>
      </c>
      <c r="K1502">
        <v>2.3664085524411527</v>
      </c>
      <c r="L1502">
        <v>0</v>
      </c>
      <c r="M1502">
        <v>1.6047487473180738E-3</v>
      </c>
      <c r="N1502">
        <v>0.13789372422930304</v>
      </c>
      <c r="O1502">
        <v>2.0308033546165456E-2</v>
      </c>
      <c r="P1502">
        <v>2.77672281437575E-2</v>
      </c>
      <c r="Q1502">
        <v>5.2138604843379299E-3</v>
      </c>
      <c r="R1502">
        <v>1.5829280408003116E-3</v>
      </c>
      <c r="S1502">
        <v>0.24926794758118434</v>
      </c>
      <c r="T1502">
        <v>1.3608003119566394</v>
      </c>
      <c r="U1502">
        <v>0.20558794084393006</v>
      </c>
      <c r="V1502">
        <v>0.24825341473068868</v>
      </c>
      <c r="W1502">
        <v>9.1615907311537528E-2</v>
      </c>
      <c r="X1502">
        <v>1.541379600515674E-2</v>
      </c>
      <c r="Y1502">
        <v>4.3082083149700379E-3</v>
      </c>
    </row>
    <row r="1503" spans="1:25">
      <c r="A1503" s="1010"/>
      <c r="B1503" s="1351">
        <v>1253</v>
      </c>
      <c r="C1503" s="1014">
        <v>1.0043343912343412</v>
      </c>
      <c r="D1503" s="1014">
        <v>0.97211223550515613</v>
      </c>
      <c r="E1503" s="1014">
        <v>0.99585715186190915</v>
      </c>
      <c r="F1503" s="1014">
        <v>1.0087934438013009</v>
      </c>
      <c r="G1503" s="1014">
        <v>1.0210614025604594</v>
      </c>
      <c r="H1503" s="1014">
        <v>1.029697390750397</v>
      </c>
      <c r="I1503" s="1014">
        <v>1.0144000770624371</v>
      </c>
      <c r="K1503">
        <v>2.4419949854875984</v>
      </c>
      <c r="L1503">
        <v>0</v>
      </c>
      <c r="M1503">
        <v>1.7084100481302403E-3</v>
      </c>
      <c r="N1503">
        <v>0.15360505642453079</v>
      </c>
      <c r="O1503">
        <v>2.1022698814963648E-2</v>
      </c>
      <c r="P1503">
        <v>2.8717629089543662E-2</v>
      </c>
      <c r="Q1503">
        <v>5.4783280326939111E-3</v>
      </c>
      <c r="R1503">
        <v>1.6865098157423698E-3</v>
      </c>
      <c r="S1503">
        <v>0.26748463972533237</v>
      </c>
      <c r="T1503">
        <v>1.3836096737224344</v>
      </c>
      <c r="U1503">
        <v>0.21104447899055057</v>
      </c>
      <c r="V1503">
        <v>0.24887383723648093</v>
      </c>
      <c r="W1503">
        <v>0.10115725832175246</v>
      </c>
      <c r="X1503">
        <v>1.643316160106233E-2</v>
      </c>
      <c r="Y1503">
        <v>4.5901237606393872E-3</v>
      </c>
    </row>
    <row r="1504" spans="1:25">
      <c r="A1504" s="1010"/>
      <c r="B1504" s="1351">
        <v>1254</v>
      </c>
      <c r="C1504" s="1014">
        <v>1.0211028795090249</v>
      </c>
      <c r="D1504" s="1014">
        <v>0.9855094488706575</v>
      </c>
      <c r="E1504" s="1014">
        <v>1.0163986956650679</v>
      </c>
      <c r="F1504" s="1014">
        <v>1.0008237468901684</v>
      </c>
      <c r="G1504" s="1014">
        <v>0.98375930096689634</v>
      </c>
      <c r="H1504" s="1014">
        <v>1.0166404947751591</v>
      </c>
      <c r="I1504" s="1014">
        <v>1.0039693585601523</v>
      </c>
      <c r="K1504">
        <v>2.4061123979290571</v>
      </c>
      <c r="L1504">
        <v>0</v>
      </c>
      <c r="M1504">
        <v>1.5849970601927534E-3</v>
      </c>
      <c r="N1504">
        <v>0.15160370023837225</v>
      </c>
      <c r="O1504">
        <v>2.0628701085790159E-2</v>
      </c>
      <c r="P1504">
        <v>2.8727994759677584E-2</v>
      </c>
      <c r="Q1504">
        <v>5.4874233419610254E-3</v>
      </c>
      <c r="R1504">
        <v>1.5644179176698358E-3</v>
      </c>
      <c r="S1504">
        <v>0.25767994234353447</v>
      </c>
      <c r="T1504">
        <v>1.3731240291364983</v>
      </c>
      <c r="U1504">
        <v>0.20764754931944357</v>
      </c>
      <c r="V1504">
        <v>0.24141086481476062</v>
      </c>
      <c r="W1504">
        <v>9.863354442742063E-2</v>
      </c>
      <c r="X1504">
        <v>1.6931397742451622E-2</v>
      </c>
      <c r="Y1504">
        <v>4.2578298616693334E-3</v>
      </c>
    </row>
    <row r="1505" spans="1:25">
      <c r="A1505" s="1010"/>
      <c r="B1505" s="1351">
        <v>1255</v>
      </c>
      <c r="C1505" s="1014">
        <v>0.99797216377211917</v>
      </c>
      <c r="D1505" s="1014">
        <v>1.0125152870490033</v>
      </c>
      <c r="E1505" s="1014">
        <v>0.97623716880364075</v>
      </c>
      <c r="F1505" s="1014">
        <v>0.97939028024103547</v>
      </c>
      <c r="G1505" s="1014">
        <v>0.99390965753153115</v>
      </c>
      <c r="H1505" s="1014">
        <v>1.0107603514849515</v>
      </c>
      <c r="I1505" s="1014">
        <v>0.96687508023475188</v>
      </c>
      <c r="K1505">
        <v>2.3692979957437657</v>
      </c>
      <c r="L1505">
        <v>0</v>
      </c>
      <c r="M1505">
        <v>1.7419514720907619E-3</v>
      </c>
      <c r="N1505">
        <v>0.14756183132765813</v>
      </c>
      <c r="O1505">
        <v>2.0955047157552833E-2</v>
      </c>
      <c r="P1505">
        <v>2.7472306290325696E-2</v>
      </c>
      <c r="Q1505">
        <v>5.3532390723493228E-3</v>
      </c>
      <c r="R1505">
        <v>1.7192029036034132E-3</v>
      </c>
      <c r="S1505">
        <v>0.24970517769888012</v>
      </c>
      <c r="T1505">
        <v>1.342867382795782</v>
      </c>
      <c r="U1505">
        <v>0.21232286831893704</v>
      </c>
      <c r="V1505">
        <v>0.24470329514873584</v>
      </c>
      <c r="W1505">
        <v>9.8330022687550422E-2</v>
      </c>
      <c r="X1505">
        <v>1.5370470245958981E-2</v>
      </c>
      <c r="Y1505">
        <v>4.6791035685236314E-3</v>
      </c>
    </row>
    <row r="1506" spans="1:25">
      <c r="A1506" s="1010"/>
      <c r="B1506" s="1351">
        <v>1256</v>
      </c>
      <c r="C1506" s="1014">
        <v>0.99882044009584781</v>
      </c>
      <c r="D1506" s="1014">
        <v>1.0168368019863347</v>
      </c>
      <c r="E1506" s="1014">
        <v>1.0228178576628313</v>
      </c>
      <c r="F1506" s="1014">
        <v>1.0224793681416982</v>
      </c>
      <c r="G1506" s="1014">
        <v>1.0289692959937751</v>
      </c>
      <c r="H1506" s="1014">
        <v>0.98630827852130576</v>
      </c>
      <c r="I1506" s="1014">
        <v>1.0190762998177236</v>
      </c>
      <c r="K1506">
        <v>2.4515728577093685</v>
      </c>
      <c r="L1506">
        <v>0</v>
      </c>
      <c r="M1506">
        <v>1.5405144320614604E-3</v>
      </c>
      <c r="N1506">
        <v>0.15016953515221118</v>
      </c>
      <c r="O1506">
        <v>2.0948476090121702E-2</v>
      </c>
      <c r="P1506">
        <v>2.9509521176067411E-2</v>
      </c>
      <c r="Q1506">
        <v>5.6081690953932156E-3</v>
      </c>
      <c r="R1506">
        <v>1.5198977244703998E-3</v>
      </c>
      <c r="S1506">
        <v>0.26067690907453572</v>
      </c>
      <c r="T1506">
        <v>1.4029779125587731</v>
      </c>
      <c r="U1506">
        <v>0.21230194131004912</v>
      </c>
      <c r="V1506">
        <v>0.25046801541446817</v>
      </c>
      <c r="W1506">
        <v>9.733413091833408E-2</v>
      </c>
      <c r="X1506">
        <v>1.7462203055146831E-2</v>
      </c>
      <c r="Y1506">
        <v>4.1366605718582113E-3</v>
      </c>
    </row>
    <row r="1507" spans="1:25">
      <c r="A1507" s="1010"/>
      <c r="B1507" s="1351">
        <v>1257</v>
      </c>
      <c r="C1507" s="1014">
        <v>0.98795910525808872</v>
      </c>
      <c r="D1507" s="1014">
        <v>1.0257602838549533</v>
      </c>
      <c r="E1507" s="1014">
        <v>0.97066197524061137</v>
      </c>
      <c r="F1507" s="1014">
        <v>0.98252630173637978</v>
      </c>
      <c r="G1507" s="1014">
        <v>1.0102526353842685</v>
      </c>
      <c r="H1507" s="1014">
        <v>0.97830651873702401</v>
      </c>
      <c r="I1507" s="1014">
        <v>0.99154099987817812</v>
      </c>
      <c r="K1507">
        <v>2.376381618139459</v>
      </c>
      <c r="L1507">
        <v>0</v>
      </c>
      <c r="M1507">
        <v>1.717916045197926E-3</v>
      </c>
      <c r="N1507">
        <v>0.14302756806653399</v>
      </c>
      <c r="O1507">
        <v>2.1103284301049526E-2</v>
      </c>
      <c r="P1507">
        <v>2.7545979344603646E-2</v>
      </c>
      <c r="Q1507">
        <v>5.3605342008062737E-3</v>
      </c>
      <c r="R1507">
        <v>1.6947371246396009E-3</v>
      </c>
      <c r="S1507">
        <v>0.25420618742287743</v>
      </c>
      <c r="T1507">
        <v>1.347049441885023</v>
      </c>
      <c r="U1507">
        <v>0.21445557399367224</v>
      </c>
      <c r="V1507">
        <v>0.24815022857177271</v>
      </c>
      <c r="W1507">
        <v>9.5631616578642539E-2</v>
      </c>
      <c r="X1507">
        <v>1.5261866911706961E-2</v>
      </c>
      <c r="Y1507">
        <v>4.6125157833260032E-3</v>
      </c>
    </row>
    <row r="1508" spans="1:25">
      <c r="A1508" s="1010"/>
      <c r="B1508" s="1351">
        <v>1258</v>
      </c>
      <c r="C1508" s="1014">
        <v>1.0131583309705858</v>
      </c>
      <c r="D1508" s="1014">
        <v>0.96208258432010818</v>
      </c>
      <c r="E1508" s="1014">
        <v>0.99121253420000532</v>
      </c>
      <c r="F1508" s="1014">
        <v>1.0161511657436051</v>
      </c>
      <c r="G1508" s="1014">
        <v>0.99868042024688131</v>
      </c>
      <c r="H1508" s="1014">
        <v>0.96905776569564672</v>
      </c>
      <c r="I1508" s="1014">
        <v>1.0299427354096198</v>
      </c>
      <c r="K1508">
        <v>2.4252679018552157</v>
      </c>
      <c r="L1508">
        <v>0</v>
      </c>
      <c r="M1508">
        <v>1.6128872586631698E-3</v>
      </c>
      <c r="N1508">
        <v>0.14287863030806411</v>
      </c>
      <c r="O1508">
        <v>2.0884141864970774E-2</v>
      </c>
      <c r="P1508">
        <v>2.863953913299799E-2</v>
      </c>
      <c r="Q1508">
        <v>5.4167818487394241E-3</v>
      </c>
      <c r="R1508">
        <v>1.5909177389173566E-3</v>
      </c>
      <c r="S1508">
        <v>0.26529714860496889</v>
      </c>
      <c r="T1508">
        <v>1.3935992065777971</v>
      </c>
      <c r="U1508">
        <v>0.2091907668154987</v>
      </c>
      <c r="V1508">
        <v>0.24452712576496877</v>
      </c>
      <c r="W1508">
        <v>9.4354763095829602E-2</v>
      </c>
      <c r="X1508">
        <v>1.6171813721680202E-2</v>
      </c>
      <c r="Y1508">
        <v>4.3299536394413593E-3</v>
      </c>
    </row>
    <row r="1509" spans="1:25">
      <c r="A1509" s="1010"/>
      <c r="B1509" s="1351">
        <v>1259</v>
      </c>
      <c r="C1509" s="1014">
        <v>1.0144642333441609</v>
      </c>
      <c r="D1509" s="1014">
        <v>1.0188376699409549</v>
      </c>
      <c r="E1509" s="1014">
        <v>0.9997208528616307</v>
      </c>
      <c r="F1509" s="1014">
        <v>0.97607017100177207</v>
      </c>
      <c r="G1509" s="1014">
        <v>1.0052117017838007</v>
      </c>
      <c r="H1509" s="1014">
        <v>1.0421307436206966</v>
      </c>
      <c r="I1509" s="1014">
        <v>1.0042477214171064</v>
      </c>
      <c r="K1509">
        <v>2.3784760989276732</v>
      </c>
      <c r="L1509">
        <v>0</v>
      </c>
      <c r="M1509">
        <v>1.6806657986036375E-3</v>
      </c>
      <c r="N1509">
        <v>0.15290877552637713</v>
      </c>
      <c r="O1509">
        <v>2.0601442317849845E-2</v>
      </c>
      <c r="P1509">
        <v>2.797451738655508E-2</v>
      </c>
      <c r="Q1509">
        <v>5.3894684357418772E-3</v>
      </c>
      <c r="R1509">
        <v>1.6593782637213544E-3</v>
      </c>
      <c r="S1509">
        <v>0.25717075751433904</v>
      </c>
      <c r="T1509">
        <v>1.3388096295758887</v>
      </c>
      <c r="U1509">
        <v>0.20895012737351337</v>
      </c>
      <c r="V1509">
        <v>0.24553252587872185</v>
      </c>
      <c r="W1509">
        <v>0.10046733988483081</v>
      </c>
      <c r="X1509">
        <v>1.6176521948786288E-2</v>
      </c>
      <c r="Y1509">
        <v>4.5162806199519042E-3</v>
      </c>
    </row>
    <row r="1510" spans="1:25">
      <c r="A1510" s="1010"/>
      <c r="B1510" s="1351">
        <v>1260</v>
      </c>
      <c r="C1510" s="1014">
        <v>0.98195213297262263</v>
      </c>
      <c r="D1510" s="1014">
        <v>0.96880474952702711</v>
      </c>
      <c r="E1510" s="1014">
        <v>1.0223423674218433</v>
      </c>
      <c r="F1510" s="1014">
        <v>1.0265353797819576</v>
      </c>
      <c r="G1510" s="1014">
        <v>1.0269078916316188</v>
      </c>
      <c r="H1510" s="1014">
        <v>0.97525051621243686</v>
      </c>
      <c r="I1510" s="1014">
        <v>1.0073436177415314</v>
      </c>
      <c r="K1510">
        <v>2.4736570736160308</v>
      </c>
      <c r="L1510">
        <v>0</v>
      </c>
      <c r="M1510">
        <v>1.5675431844599538E-3</v>
      </c>
      <c r="N1510">
        <v>0.1525618418598253</v>
      </c>
      <c r="O1510">
        <v>2.1536061842907076E-2</v>
      </c>
      <c r="P1510">
        <v>2.9732779600144799E-2</v>
      </c>
      <c r="Q1510">
        <v>5.7627522878066773E-3</v>
      </c>
      <c r="R1510">
        <v>1.5463268895444656E-3</v>
      </c>
      <c r="S1510">
        <v>0.26758396796999168</v>
      </c>
      <c r="T1510">
        <v>1.408532697204856</v>
      </c>
      <c r="U1510">
        <v>0.21594727523816618</v>
      </c>
      <c r="V1510">
        <v>0.25119140862038064</v>
      </c>
      <c r="W1510">
        <v>9.891218886298575E-2</v>
      </c>
      <c r="X1510">
        <v>1.7708724377060274E-2</v>
      </c>
      <c r="Y1510">
        <v>4.2085920468178948E-3</v>
      </c>
    </row>
    <row r="1511" spans="1:25">
      <c r="A1511" s="1010"/>
      <c r="B1511" s="1351">
        <v>1261</v>
      </c>
      <c r="C1511" s="1014">
        <v>0.98190069438917915</v>
      </c>
      <c r="D1511" s="1014">
        <v>1.0001065698890566</v>
      </c>
      <c r="E1511" s="1014">
        <v>1.0231780304051787</v>
      </c>
      <c r="F1511" s="1014">
        <v>0.9825557109951043</v>
      </c>
      <c r="G1511" s="1014">
        <v>0.98376090734338828</v>
      </c>
      <c r="H1511" s="1014">
        <v>1.0113082959098376</v>
      </c>
      <c r="I1511" s="1014">
        <v>0.97213219131558204</v>
      </c>
      <c r="K1511">
        <v>2.4018820637345386</v>
      </c>
      <c r="L1511">
        <v>0</v>
      </c>
      <c r="M1511">
        <v>1.6114469221045007E-3</v>
      </c>
      <c r="N1511">
        <v>0.15730751085156247</v>
      </c>
      <c r="O1511">
        <v>2.1387614363780349E-2</v>
      </c>
      <c r="P1511">
        <v>2.8667022224260472E-2</v>
      </c>
      <c r="Q1511">
        <v>5.7277790673758719E-3</v>
      </c>
      <c r="R1511">
        <v>1.5904140464726249E-3</v>
      </c>
      <c r="S1511">
        <v>0.25717480960433026</v>
      </c>
      <c r="T1511">
        <v>1.3482050246763995</v>
      </c>
      <c r="U1511">
        <v>0.21596150723394678</v>
      </c>
      <c r="V1511">
        <v>0.24382821454900702</v>
      </c>
      <c r="W1511">
        <v>0.10193926054254525</v>
      </c>
      <c r="X1511">
        <v>1.7375770742313078E-2</v>
      </c>
      <c r="Y1511">
        <v>4.3285827546489675E-3</v>
      </c>
    </row>
    <row r="1512" spans="1:25">
      <c r="A1512" s="1010"/>
      <c r="B1512" s="1351">
        <v>1262</v>
      </c>
      <c r="C1512" s="1014">
        <v>1.0009273549503217</v>
      </c>
      <c r="D1512" s="1014">
        <v>0.9932371102930968</v>
      </c>
      <c r="E1512" s="1014">
        <v>0.97455166226952583</v>
      </c>
      <c r="F1512" s="1014">
        <v>0.97648288505218983</v>
      </c>
      <c r="G1512" s="1014">
        <v>1.0229655022232247</v>
      </c>
      <c r="H1512" s="1014">
        <v>1.0094156204569362</v>
      </c>
      <c r="I1512" s="1014">
        <v>0.98075510893224527</v>
      </c>
      <c r="K1512">
        <v>2.374304720878984</v>
      </c>
      <c r="L1512">
        <v>0</v>
      </c>
      <c r="M1512">
        <v>1.7479256807716097E-3</v>
      </c>
      <c r="N1512">
        <v>0.14731186890875805</v>
      </c>
      <c r="O1512">
        <v>2.0980611364532945E-2</v>
      </c>
      <c r="P1512">
        <v>2.7507705254116617E-2</v>
      </c>
      <c r="Q1512">
        <v>5.3505720419464234E-3</v>
      </c>
      <c r="R1512">
        <v>1.7250686843406351E-3</v>
      </c>
      <c r="S1512">
        <v>0.254852723607359</v>
      </c>
      <c r="T1512">
        <v>1.3388455622150304</v>
      </c>
      <c r="U1512">
        <v>0.21169026176290551</v>
      </c>
      <c r="V1512">
        <v>0.24949039505978288</v>
      </c>
      <c r="W1512">
        <v>9.8263778975422073E-2</v>
      </c>
      <c r="X1512">
        <v>1.5339030395522833E-2</v>
      </c>
      <c r="Y1512">
        <v>4.6950682900362478E-3</v>
      </c>
    </row>
    <row r="1513" spans="1:25">
      <c r="A1513" s="1010"/>
      <c r="B1513" s="1351">
        <v>1263</v>
      </c>
      <c r="C1513" s="1014">
        <v>0.9715241970983286</v>
      </c>
      <c r="D1513" s="1014">
        <v>0.99703467527420175</v>
      </c>
      <c r="E1513" s="1014">
        <v>0.97694897726570928</v>
      </c>
      <c r="F1513" s="1014">
        <v>1.0132558478271041</v>
      </c>
      <c r="G1513" s="1014">
        <v>1.0325101770229728</v>
      </c>
      <c r="H1513" s="1014">
        <v>0.99899362256749635</v>
      </c>
      <c r="I1513" s="1014">
        <v>0.99532397907622838</v>
      </c>
      <c r="K1513">
        <v>2.4523583557682671</v>
      </c>
      <c r="L1513">
        <v>0</v>
      </c>
      <c r="M1513">
        <v>1.7719382888123788E-3</v>
      </c>
      <c r="N1513">
        <v>0.15040229222120968</v>
      </c>
      <c r="O1513">
        <v>2.1599081695115135E-2</v>
      </c>
      <c r="P1513">
        <v>2.8504984892394586E-2</v>
      </c>
      <c r="Q1513">
        <v>5.5217670882422845E-3</v>
      </c>
      <c r="R1513">
        <v>1.7485255567359728E-3</v>
      </c>
      <c r="S1513">
        <v>0.26506955548230599</v>
      </c>
      <c r="T1513">
        <v>1.3893168634296436</v>
      </c>
      <c r="U1513">
        <v>0.21810546446806156</v>
      </c>
      <c r="V1513">
        <v>0.25299823185600928</v>
      </c>
      <c r="W1513">
        <v>0.10017962244432591</v>
      </c>
      <c r="X1513">
        <v>1.5924994758893914E-2</v>
      </c>
      <c r="Y1513">
        <v>4.7589101641404502E-3</v>
      </c>
    </row>
    <row r="1514" spans="1:25">
      <c r="A1514" s="1010"/>
      <c r="B1514" s="1351">
        <v>1264</v>
      </c>
      <c r="C1514" s="1014">
        <v>1.0166041516679771</v>
      </c>
      <c r="D1514" s="1014">
        <v>1.0071080421336807</v>
      </c>
      <c r="E1514" s="1014">
        <v>0.97511432072627713</v>
      </c>
      <c r="F1514" s="1014">
        <v>0.96197512577648292</v>
      </c>
      <c r="G1514" s="1014">
        <v>0.9968270052833913</v>
      </c>
      <c r="H1514" s="1014">
        <v>1.0395764757842689</v>
      </c>
      <c r="I1514" s="1014">
        <v>0.98908526182979384</v>
      </c>
      <c r="K1514">
        <v>2.3465235958494652</v>
      </c>
      <c r="L1514">
        <v>0</v>
      </c>
      <c r="M1514">
        <v>1.7649406775159927E-3</v>
      </c>
      <c r="N1514">
        <v>0.14905667723679147</v>
      </c>
      <c r="O1514">
        <v>2.0594508587486689E-2</v>
      </c>
      <c r="P1514">
        <v>2.7122784496209116E-2</v>
      </c>
      <c r="Q1514">
        <v>5.2551194533932812E-3</v>
      </c>
      <c r="R1514">
        <v>1.7425307791148993E-3</v>
      </c>
      <c r="S1514">
        <v>0.25380029670287119</v>
      </c>
      <c r="T1514">
        <v>1.3189657693312584</v>
      </c>
      <c r="U1514">
        <v>0.20842772370715698</v>
      </c>
      <c r="V1514">
        <v>0.24406053675406919</v>
      </c>
      <c r="W1514">
        <v>9.9393733130701267E-2</v>
      </c>
      <c r="X1514">
        <v>1.5126261992293248E-2</v>
      </c>
      <c r="Y1514">
        <v>4.7425943556337995E-3</v>
      </c>
    </row>
    <row r="1515" spans="1:25">
      <c r="A1515" s="1010"/>
      <c r="B1515" s="1351">
        <v>1265</v>
      </c>
      <c r="C1515" s="1014">
        <v>1.013599095007486</v>
      </c>
      <c r="D1515" s="1014">
        <v>1.0348317508446372</v>
      </c>
      <c r="E1515" s="1014">
        <v>0.99939224980788499</v>
      </c>
      <c r="F1515" s="1014">
        <v>0.99991669470496669</v>
      </c>
      <c r="G1515" s="1014">
        <v>0.98164805402853128</v>
      </c>
      <c r="H1515" s="1014">
        <v>1.0053040853944106</v>
      </c>
      <c r="I1515" s="1014">
        <v>0.98426206114532844</v>
      </c>
      <c r="K1515">
        <v>2.3878127802603433</v>
      </c>
      <c r="L1515">
        <v>0</v>
      </c>
      <c r="M1515">
        <v>1.6182100237949286E-3</v>
      </c>
      <c r="N1515">
        <v>0.14701126703561851</v>
      </c>
      <c r="O1515">
        <v>2.0548276169159732E-2</v>
      </c>
      <c r="P1515">
        <v>2.8227530857684154E-2</v>
      </c>
      <c r="Q1515">
        <v>5.3737841162792479E-3</v>
      </c>
      <c r="R1515">
        <v>1.596962728294413E-3</v>
      </c>
      <c r="S1515">
        <v>0.24731415681740984</v>
      </c>
      <c r="T1515">
        <v>1.3715111920914966</v>
      </c>
      <c r="U1515">
        <v>0.20912736470776319</v>
      </c>
      <c r="V1515">
        <v>0.24156215328194813</v>
      </c>
      <c r="W1515">
        <v>9.6611308117037137E-2</v>
      </c>
      <c r="X1515">
        <v>1.6200588253648958E-2</v>
      </c>
      <c r="Y1515">
        <v>4.3464061077954936E-3</v>
      </c>
    </row>
    <row r="1516" spans="1:25">
      <c r="A1516" s="1010"/>
      <c r="B1516" s="1351">
        <v>1266</v>
      </c>
      <c r="C1516" s="1014">
        <v>1.0228191179906903</v>
      </c>
      <c r="D1516" s="1014">
        <v>1.0093393464697162</v>
      </c>
      <c r="E1516" s="1014">
        <v>1.0000768120693682</v>
      </c>
      <c r="F1516" s="1014">
        <v>1.0297030909090381</v>
      </c>
      <c r="G1516" s="1014">
        <v>0.98837735719908626</v>
      </c>
      <c r="H1516" s="1014">
        <v>0.98931707649657896</v>
      </c>
      <c r="I1516" s="1014">
        <v>0.97989444027324379</v>
      </c>
      <c r="K1516">
        <v>2.4216848845772456</v>
      </c>
      <c r="L1516">
        <v>0</v>
      </c>
      <c r="M1516">
        <v>1.5845531534971985E-3</v>
      </c>
      <c r="N1516">
        <v>0.14422063107452293</v>
      </c>
      <c r="O1516">
        <v>2.0475538496427349E-2</v>
      </c>
      <c r="P1516">
        <v>2.8760709569676298E-2</v>
      </c>
      <c r="Q1516">
        <v>5.3584482268012974E-3</v>
      </c>
      <c r="R1516">
        <v>1.563411569399312E-3</v>
      </c>
      <c r="S1516">
        <v>0.2457491116043258</v>
      </c>
      <c r="T1516">
        <v>1.4123822162304516</v>
      </c>
      <c r="U1516">
        <v>0.20724451056618295</v>
      </c>
      <c r="V1516">
        <v>0.24215402623815446</v>
      </c>
      <c r="W1516">
        <v>9.4738825556769185E-2</v>
      </c>
      <c r="X1516">
        <v>1.6366917684612486E-2</v>
      </c>
      <c r="Y1516">
        <v>4.2550909134195861E-3</v>
      </c>
    </row>
    <row r="1517" spans="1:25">
      <c r="A1517" s="1010"/>
      <c r="B1517" s="1351">
        <v>1267</v>
      </c>
      <c r="C1517" s="1014">
        <v>0.98854086567535882</v>
      </c>
      <c r="D1517" s="1014">
        <v>0.95875484631456875</v>
      </c>
      <c r="E1517" s="1014">
        <v>1.0000392491804253</v>
      </c>
      <c r="F1517" s="1014">
        <v>1.010282857235637</v>
      </c>
      <c r="G1517" s="1014">
        <v>0.99628876910613184</v>
      </c>
      <c r="H1517" s="1014">
        <v>0.9965242876620779</v>
      </c>
      <c r="I1517" s="1014">
        <v>0.98988826050080725</v>
      </c>
      <c r="K1517">
        <v>2.4388912039533399</v>
      </c>
      <c r="L1517">
        <v>0</v>
      </c>
      <c r="M1517">
        <v>1.6703587721855753E-3</v>
      </c>
      <c r="N1517">
        <v>0.15202798107747797</v>
      </c>
      <c r="O1517">
        <v>2.1426515273590824E-2</v>
      </c>
      <c r="P1517">
        <v>2.8793923395907729E-2</v>
      </c>
      <c r="Q1517">
        <v>5.6071071330232184E-3</v>
      </c>
      <c r="R1517">
        <v>1.6482335269736128E-3</v>
      </c>
      <c r="S1517">
        <v>0.26422508098173381</v>
      </c>
      <c r="T1517">
        <v>1.3857438210642541</v>
      </c>
      <c r="U1517">
        <v>0.2144307094082408</v>
      </c>
      <c r="V1517">
        <v>0.2456204733829456</v>
      </c>
      <c r="W1517">
        <v>9.9869719132186077E-2</v>
      </c>
      <c r="X1517">
        <v>1.6682050028805975E-2</v>
      </c>
      <c r="Y1517">
        <v>4.4859483203860328E-3</v>
      </c>
    </row>
    <row r="1518" spans="1:25">
      <c r="A1518" s="1010"/>
      <c r="B1518" s="1351">
        <v>1268</v>
      </c>
      <c r="C1518" s="1014">
        <v>0.97830981437139863</v>
      </c>
      <c r="D1518" s="1014">
        <v>1.0241404364329023</v>
      </c>
      <c r="E1518" s="1014">
        <v>0.99998203220279291</v>
      </c>
      <c r="F1518" s="1014">
        <v>0.97329459368899418</v>
      </c>
      <c r="G1518" s="1014">
        <v>1.0118103410601882</v>
      </c>
      <c r="H1518" s="1014">
        <v>0.99851194248014485</v>
      </c>
      <c r="I1518" s="1014">
        <v>1.0011865728290046</v>
      </c>
      <c r="K1518">
        <v>2.3893216302501736</v>
      </c>
      <c r="L1518">
        <v>0</v>
      </c>
      <c r="M1518">
        <v>1.6670225410315785E-3</v>
      </c>
      <c r="N1518">
        <v>0.15170216149928073</v>
      </c>
      <c r="O1518">
        <v>2.1338581643871743E-2</v>
      </c>
      <c r="P1518">
        <v>2.8137650417094356E-2</v>
      </c>
      <c r="Q1518">
        <v>5.5837746230750799E-3</v>
      </c>
      <c r="R1518">
        <v>1.644985441805307E-3</v>
      </c>
      <c r="S1518">
        <v>0.26140548136571679</v>
      </c>
      <c r="T1518">
        <v>1.3350080551951196</v>
      </c>
      <c r="U1518">
        <v>0.21667300113988866</v>
      </c>
      <c r="V1518">
        <v>0.24893138463829034</v>
      </c>
      <c r="W1518">
        <v>9.9659071794998846E-2</v>
      </c>
      <c r="X1518">
        <v>1.6427396928776809E-2</v>
      </c>
      <c r="Y1518">
        <v>4.4771081032888918E-3</v>
      </c>
    </row>
    <row r="1519" spans="1:25">
      <c r="A1519" s="1010"/>
      <c r="B1519" s="1351">
        <v>1269</v>
      </c>
      <c r="C1519" s="1014">
        <v>1.0191928991848449</v>
      </c>
      <c r="D1519" s="1014">
        <v>0.96217482328899384</v>
      </c>
      <c r="E1519" s="1014">
        <v>0.96267262499080164</v>
      </c>
      <c r="F1519" s="1014">
        <v>0.9868394682504591</v>
      </c>
      <c r="G1519" s="1014">
        <v>1.0195784612410301</v>
      </c>
      <c r="H1519" s="1014">
        <v>0.98231239856743657</v>
      </c>
      <c r="I1519" s="1014">
        <v>1.0045463919545079</v>
      </c>
      <c r="K1519">
        <v>2.3737143011942083</v>
      </c>
      <c r="L1519">
        <v>0</v>
      </c>
      <c r="M1519">
        <v>1.7239817331753723E-3</v>
      </c>
      <c r="N1519">
        <v>0.14010904342409053</v>
      </c>
      <c r="O1519">
        <v>2.0741377499217211E-2</v>
      </c>
      <c r="P1519">
        <v>2.7413608051464432E-2</v>
      </c>
      <c r="Q1519">
        <v>5.2256784095247068E-3</v>
      </c>
      <c r="R1519">
        <v>1.7008158291594445E-3</v>
      </c>
      <c r="S1519">
        <v>0.25809893328509415</v>
      </c>
      <c r="T1519">
        <v>1.3527934876503307</v>
      </c>
      <c r="U1519">
        <v>0.20785680169565326</v>
      </c>
      <c r="V1519">
        <v>0.2478401861227735</v>
      </c>
      <c r="W1519">
        <v>9.4138073755692955E-2</v>
      </c>
      <c r="X1519">
        <v>1.4891217191195611E-2</v>
      </c>
      <c r="Y1519">
        <v>4.6290600131846096E-3</v>
      </c>
    </row>
    <row r="1520" spans="1:25">
      <c r="A1520" s="1010"/>
      <c r="B1520" s="1351">
        <v>1270</v>
      </c>
      <c r="C1520" s="1014">
        <v>1.0254375882726288</v>
      </c>
      <c r="D1520" s="1014">
        <v>0.97811669225814291</v>
      </c>
      <c r="E1520" s="1014">
        <v>1.0012150289245749</v>
      </c>
      <c r="F1520" s="1014">
        <v>1.0186339259936563</v>
      </c>
      <c r="G1520" s="1014">
        <v>0.99712092672073327</v>
      </c>
      <c r="H1520" s="1014">
        <v>0.99460098438167366</v>
      </c>
      <c r="I1520" s="1014">
        <v>1.0246192994534722</v>
      </c>
      <c r="K1520">
        <v>2.4252394980888199</v>
      </c>
      <c r="L1520">
        <v>0</v>
      </c>
      <c r="M1520">
        <v>1.5961972425430038E-3</v>
      </c>
      <c r="N1520">
        <v>0.14579133571224714</v>
      </c>
      <c r="O1520">
        <v>2.0565667414310158E-2</v>
      </c>
      <c r="P1520">
        <v>2.8795387302223734E-2</v>
      </c>
      <c r="Q1520">
        <v>5.3881939348110613E-3</v>
      </c>
      <c r="R1520">
        <v>1.5750134414520554E-3</v>
      </c>
      <c r="S1520">
        <v>0.26085045120745176</v>
      </c>
      <c r="T1520">
        <v>1.397224383635602</v>
      </c>
      <c r="U1520">
        <v>0.20671910315644401</v>
      </c>
      <c r="V1520">
        <v>0.24348731443949936</v>
      </c>
      <c r="W1520">
        <v>9.5705891307386062E-2</v>
      </c>
      <c r="X1520">
        <v>1.6446286395342284E-2</v>
      </c>
      <c r="Y1520">
        <v>4.2866673845910579E-3</v>
      </c>
    </row>
    <row r="1521" spans="1:25">
      <c r="A1521" s="1010"/>
      <c r="B1521" s="1351">
        <v>1271</v>
      </c>
      <c r="C1521" s="1014">
        <v>0.95951224455299478</v>
      </c>
      <c r="D1521" s="1014">
        <v>1.0036882912616858</v>
      </c>
      <c r="E1521" s="1014">
        <v>1.0027623139245281</v>
      </c>
      <c r="F1521" s="1014">
        <v>1.017889905660929</v>
      </c>
      <c r="G1521" s="1014">
        <v>0.9730614068824488</v>
      </c>
      <c r="H1521" s="1014">
        <v>1.0207559350340547</v>
      </c>
      <c r="I1521" s="1014">
        <v>1.0129622657371664</v>
      </c>
      <c r="K1521">
        <v>2.4773831088651415</v>
      </c>
      <c r="L1521">
        <v>0</v>
      </c>
      <c r="M1521">
        <v>1.7352345212559006E-3</v>
      </c>
      <c r="N1521">
        <v>0.15928793206959943</v>
      </c>
      <c r="O1521">
        <v>2.1855310222442435E-2</v>
      </c>
      <c r="P1521">
        <v>2.9195756480000477E-2</v>
      </c>
      <c r="Q1521">
        <v>5.7349825496939913E-3</v>
      </c>
      <c r="R1521">
        <v>1.7127955736901755E-3</v>
      </c>
      <c r="S1521">
        <v>0.2744106007165748</v>
      </c>
      <c r="T1521">
        <v>1.3962379144883821</v>
      </c>
      <c r="U1521">
        <v>0.22092769573270954</v>
      </c>
      <c r="V1521">
        <v>0.2435541528858037</v>
      </c>
      <c r="W1521">
        <v>0.104469874097764</v>
      </c>
      <c r="X1521">
        <v>1.7069663641058681E-2</v>
      </c>
      <c r="Y1521">
        <v>4.6616649286755352E-3</v>
      </c>
    </row>
    <row r="1522" spans="1:25">
      <c r="A1522" s="1010"/>
      <c r="B1522" s="1351">
        <v>1272</v>
      </c>
      <c r="C1522" s="1014">
        <v>0.99925497215778569</v>
      </c>
      <c r="D1522" s="1014">
        <v>0.99804569609510263</v>
      </c>
      <c r="E1522" s="1014">
        <v>0.98609902303830221</v>
      </c>
      <c r="F1522" s="1014">
        <v>1.0115264032510178</v>
      </c>
      <c r="G1522" s="1014">
        <v>1.0094015458228445</v>
      </c>
      <c r="H1522" s="1014">
        <v>0.98472188998001031</v>
      </c>
      <c r="I1522" s="1014">
        <v>0.96927248385125964</v>
      </c>
      <c r="K1522">
        <v>2.4129555792859501</v>
      </c>
      <c r="L1522">
        <v>0</v>
      </c>
      <c r="M1522">
        <v>1.665946113858334E-3</v>
      </c>
      <c r="N1522">
        <v>0.14534650322590664</v>
      </c>
      <c r="O1522">
        <v>2.1001055817944519E-2</v>
      </c>
      <c r="P1522">
        <v>2.8307754499305528E-2</v>
      </c>
      <c r="Q1522">
        <v>5.41900418147611E-3</v>
      </c>
      <c r="R1522">
        <v>1.6436148359691529E-3</v>
      </c>
      <c r="S1522">
        <v>0.24973550240224729</v>
      </c>
      <c r="T1522">
        <v>1.3871449698989033</v>
      </c>
      <c r="U1522">
        <v>0.21208392894278116</v>
      </c>
      <c r="V1522">
        <v>0.24723393771304106</v>
      </c>
      <c r="W1522">
        <v>9.6279301557833485E-2</v>
      </c>
      <c r="X1522">
        <v>1.5952574558378112E-2</v>
      </c>
      <c r="Y1522">
        <v>4.4733777660229731E-3</v>
      </c>
    </row>
    <row r="1523" spans="1:25">
      <c r="A1523" s="1010"/>
      <c r="B1523" s="1351">
        <v>1273</v>
      </c>
      <c r="C1523" s="1014">
        <v>0.97036382339662497</v>
      </c>
      <c r="D1523" s="1014">
        <v>1.0359726999845855</v>
      </c>
      <c r="E1523" s="1014">
        <v>0.99958652235460632</v>
      </c>
      <c r="F1523" s="1014">
        <v>0.98899592541830428</v>
      </c>
      <c r="G1523" s="1014">
        <v>0.99888818330282103</v>
      </c>
      <c r="H1523" s="1014">
        <v>1.0052104959031847</v>
      </c>
      <c r="I1523" s="1014">
        <v>1.0106595306136508</v>
      </c>
      <c r="K1523">
        <v>2.4184051392966825</v>
      </c>
      <c r="L1523">
        <v>0</v>
      </c>
      <c r="M1523">
        <v>1.6890627660689557E-3</v>
      </c>
      <c r="N1523">
        <v>0.15353800667286721</v>
      </c>
      <c r="O1523">
        <v>2.1458748746600319E-2</v>
      </c>
      <c r="P1523">
        <v>2.8474823847876019E-2</v>
      </c>
      <c r="Q1523">
        <v>5.6129871571564717E-3</v>
      </c>
      <c r="R1523">
        <v>1.666883100566357E-3</v>
      </c>
      <c r="S1523">
        <v>0.26511031847933908</v>
      </c>
      <c r="T1523">
        <v>1.3565361420582709</v>
      </c>
      <c r="U1523">
        <v>0.21844587206783453</v>
      </c>
      <c r="V1523">
        <v>0.24724830538978379</v>
      </c>
      <c r="W1523">
        <v>0.10088882728086494</v>
      </c>
      <c r="X1523">
        <v>1.6576580949714405E-2</v>
      </c>
      <c r="Y1523">
        <v>4.536706311875199E-3</v>
      </c>
    </row>
    <row r="1524" spans="1:25">
      <c r="A1524" s="1010"/>
      <c r="B1524" s="1351">
        <v>1274</v>
      </c>
      <c r="C1524" s="1014">
        <v>1.011186098032637</v>
      </c>
      <c r="D1524" s="1014">
        <v>0.97056025367536392</v>
      </c>
      <c r="E1524" s="1014">
        <v>0.98055032468714898</v>
      </c>
      <c r="F1524" s="1014">
        <v>1.0112930198735062</v>
      </c>
      <c r="G1524" s="1014">
        <v>0.96624587719036859</v>
      </c>
      <c r="H1524" s="1014">
        <v>1.0279343566056272</v>
      </c>
      <c r="I1524" s="1014">
        <v>0.99159957553211142</v>
      </c>
      <c r="K1524">
        <v>2.4197983012618032</v>
      </c>
      <c r="L1524">
        <v>0</v>
      </c>
      <c r="M1524">
        <v>1.7490878946385916E-3</v>
      </c>
      <c r="N1524">
        <v>0.15014604369062937</v>
      </c>
      <c r="O1524">
        <v>2.087749813253861E-2</v>
      </c>
      <c r="P1524">
        <v>2.8173727927641536E-2</v>
      </c>
      <c r="Q1524">
        <v>5.3568816257318908E-3</v>
      </c>
      <c r="R1524">
        <v>1.7266277540309873E-3</v>
      </c>
      <c r="S1524">
        <v>0.25963547144278137</v>
      </c>
      <c r="T1524">
        <v>1.386703974010528</v>
      </c>
      <c r="U1524">
        <v>0.20956281420371259</v>
      </c>
      <c r="V1524">
        <v>0.23914411260462012</v>
      </c>
      <c r="W1524">
        <v>9.9791484779028564E-2</v>
      </c>
      <c r="X1524">
        <v>1.572944142140964E-2</v>
      </c>
      <c r="Y1524">
        <v>4.6993115637862012E-3</v>
      </c>
    </row>
    <row r="1525" spans="1:25">
      <c r="A1525" s="1010"/>
      <c r="B1525" s="1351">
        <v>1275</v>
      </c>
      <c r="C1525" s="1014">
        <v>1.0278536407685916</v>
      </c>
      <c r="D1525" s="1014">
        <v>1.0374616997612083</v>
      </c>
      <c r="E1525" s="1014">
        <v>0.9962971879467557</v>
      </c>
      <c r="F1525" s="1014">
        <v>0.98220672582410073</v>
      </c>
      <c r="G1525" s="1014">
        <v>1.0222239400248272</v>
      </c>
      <c r="H1525" s="1014">
        <v>1.0047792052260451</v>
      </c>
      <c r="I1525" s="1014">
        <v>1.0073974442327567</v>
      </c>
      <c r="K1525">
        <v>2.3633300033503781</v>
      </c>
      <c r="L1525">
        <v>0</v>
      </c>
      <c r="M1525">
        <v>1.6043081298304784E-3</v>
      </c>
      <c r="N1525">
        <v>0.14439057122741164</v>
      </c>
      <c r="O1525">
        <v>2.0250013595028028E-2</v>
      </c>
      <c r="P1525">
        <v>2.7900237646016811E-2</v>
      </c>
      <c r="Q1525">
        <v>5.2793128271657009E-3</v>
      </c>
      <c r="R1525">
        <v>1.583232364011794E-3</v>
      </c>
      <c r="S1525">
        <v>0.24923523261495303</v>
      </c>
      <c r="T1525">
        <v>1.3471540268143909</v>
      </c>
      <c r="U1525">
        <v>0.2062168417178793</v>
      </c>
      <c r="V1525">
        <v>0.24764931382886046</v>
      </c>
      <c r="W1525">
        <v>9.5064077350478518E-2</v>
      </c>
      <c r="X1525">
        <v>1.5902414911580738E-2</v>
      </c>
      <c r="Y1525">
        <v>4.3090365824315739E-3</v>
      </c>
    </row>
    <row r="1526" spans="1:25">
      <c r="A1526" s="1010"/>
      <c r="B1526" s="1351">
        <v>1276</v>
      </c>
      <c r="C1526" s="1014">
        <v>1.0131412071382218</v>
      </c>
      <c r="D1526" s="1014">
        <v>1.0304387349680564</v>
      </c>
      <c r="E1526" s="1014">
        <v>0.99343461351971729</v>
      </c>
      <c r="F1526" s="1014">
        <v>0.99822550882821082</v>
      </c>
      <c r="G1526" s="1014">
        <v>0.99910465022784967</v>
      </c>
      <c r="H1526" s="1014">
        <v>1.0226665279064127</v>
      </c>
      <c r="I1526" s="1014">
        <v>1.0034977722446194</v>
      </c>
      <c r="K1526">
        <v>2.398861065469815</v>
      </c>
      <c r="L1526">
        <v>0</v>
      </c>
      <c r="M1526">
        <v>1.668930226786371E-3</v>
      </c>
      <c r="N1526">
        <v>0.14894740647721513</v>
      </c>
      <c r="O1526">
        <v>2.0572937372900169E-2</v>
      </c>
      <c r="P1526">
        <v>2.8204481935964452E-2</v>
      </c>
      <c r="Q1526">
        <v>5.3480466174069922E-3</v>
      </c>
      <c r="R1526">
        <v>1.647389003759437E-3</v>
      </c>
      <c r="S1526">
        <v>0.25419984073118185</v>
      </c>
      <c r="T1526">
        <v>1.3690629871205422</v>
      </c>
      <c r="U1526">
        <v>0.2092017904602739</v>
      </c>
      <c r="V1526">
        <v>0.24459258555343391</v>
      </c>
      <c r="W1526">
        <v>9.8231876743824012E-2</v>
      </c>
      <c r="X1526">
        <v>1.60370038735053E-2</v>
      </c>
      <c r="Y1526">
        <v>4.4836498065940486E-3</v>
      </c>
    </row>
    <row r="1527" spans="1:25">
      <c r="A1527" s="1010"/>
      <c r="B1527" s="1351">
        <v>1277</v>
      </c>
      <c r="C1527" s="1014">
        <v>1.0059345942511857</v>
      </c>
      <c r="D1527" s="1014">
        <v>0.95920052306018599</v>
      </c>
      <c r="E1527" s="1014">
        <v>1.0116393081060409</v>
      </c>
      <c r="F1527" s="1014">
        <v>0.99449171804952918</v>
      </c>
      <c r="G1527" s="1014">
        <v>0.99114561361439657</v>
      </c>
      <c r="H1527" s="1014">
        <v>0.95788516038771243</v>
      </c>
      <c r="I1527" s="1014">
        <v>0.98373148822394485</v>
      </c>
      <c r="K1527">
        <v>2.3893668086896502</v>
      </c>
      <c r="L1527">
        <v>0</v>
      </c>
      <c r="M1527">
        <v>1.5401263417659349E-3</v>
      </c>
      <c r="N1527">
        <v>0.14509377137180041</v>
      </c>
      <c r="O1527">
        <v>2.1061605011066374E-2</v>
      </c>
      <c r="P1527">
        <v>2.854045223100973E-2</v>
      </c>
      <c r="Q1527">
        <v>5.5760465809714561E-3</v>
      </c>
      <c r="R1527">
        <v>1.5189032270203596E-3</v>
      </c>
      <c r="S1527">
        <v>0.25483027427541588</v>
      </c>
      <c r="T1527">
        <v>1.3643338698056886</v>
      </c>
      <c r="U1527">
        <v>0.21076241731063822</v>
      </c>
      <c r="V1527">
        <v>0.24360991478195207</v>
      </c>
      <c r="W1527">
        <v>9.4662638038329958E-2</v>
      </c>
      <c r="X1527">
        <v>1.6783088519887725E-2</v>
      </c>
      <c r="Y1527">
        <v>4.1339538776352007E-3</v>
      </c>
    </row>
    <row r="1528" spans="1:25">
      <c r="A1528" s="1010"/>
      <c r="B1528" s="1351">
        <v>1278</v>
      </c>
      <c r="C1528" s="1014">
        <v>0.9689897522924642</v>
      </c>
      <c r="D1528" s="1014">
        <v>1.0044628550789172</v>
      </c>
      <c r="E1528" s="1014">
        <v>0.99063933293870132</v>
      </c>
      <c r="F1528" s="1014">
        <v>0.97666892174359221</v>
      </c>
      <c r="G1528" s="1014">
        <v>0.98624210260175449</v>
      </c>
      <c r="H1528" s="1014">
        <v>0.98662655750139661</v>
      </c>
      <c r="I1528" s="1014">
        <v>0.98378102968713999</v>
      </c>
      <c r="K1528">
        <v>2.3901623888394048</v>
      </c>
      <c r="L1528">
        <v>0</v>
      </c>
      <c r="M1528">
        <v>1.7027943029633643E-3</v>
      </c>
      <c r="N1528">
        <v>0.15061895806982667</v>
      </c>
      <c r="O1528">
        <v>2.1629584188062979E-2</v>
      </c>
      <c r="P1528">
        <v>2.7970185155171232E-2</v>
      </c>
      <c r="Q1528">
        <v>5.6068816939034887E-3</v>
      </c>
      <c r="R1528">
        <v>1.6800131549636699E-3</v>
      </c>
      <c r="S1528">
        <v>0.2607524888943194</v>
      </c>
      <c r="T1528">
        <v>1.3394392481853832</v>
      </c>
      <c r="U1528">
        <v>0.21872410016908123</v>
      </c>
      <c r="V1528">
        <v>0.2452112169373129</v>
      </c>
      <c r="W1528">
        <v>9.9500487643695137E-2</v>
      </c>
      <c r="X1528">
        <v>1.6159577059026251E-2</v>
      </c>
      <c r="Y1528">
        <v>4.5724419916234171E-3</v>
      </c>
    </row>
    <row r="1529" spans="1:25">
      <c r="A1529" s="1010"/>
      <c r="B1529" s="1351">
        <v>1279</v>
      </c>
      <c r="C1529" s="1014">
        <v>0.99925909861961637</v>
      </c>
      <c r="D1529" s="1014">
        <v>0.99166342341283953</v>
      </c>
      <c r="E1529" s="1014">
        <v>0.99527216981469879</v>
      </c>
      <c r="F1529" s="1014">
        <v>0.99045277771771634</v>
      </c>
      <c r="G1529" s="1014">
        <v>1.0102678284570312</v>
      </c>
      <c r="H1529" s="1014">
        <v>0.98670193152546803</v>
      </c>
      <c r="I1529" s="1014">
        <v>1.0283013564988546</v>
      </c>
      <c r="K1529">
        <v>2.4034898640351243</v>
      </c>
      <c r="L1529">
        <v>0</v>
      </c>
      <c r="M1529">
        <v>1.6401848439170864E-3</v>
      </c>
      <c r="N1529">
        <v>0.14712706581243687</v>
      </c>
      <c r="O1529">
        <v>2.1036724843218169E-2</v>
      </c>
      <c r="P1529">
        <v>2.8337138473675635E-2</v>
      </c>
      <c r="Q1529">
        <v>5.478752644728027E-3</v>
      </c>
      <c r="R1529">
        <v>1.6182430043880883E-3</v>
      </c>
      <c r="S1529">
        <v>0.26605014541000377</v>
      </c>
      <c r="T1529">
        <v>1.3584420307572935</v>
      </c>
      <c r="U1529">
        <v>0.21211438596364732</v>
      </c>
      <c r="V1529">
        <v>0.24734803917826567</v>
      </c>
      <c r="W1529">
        <v>9.692496161734003E-2</v>
      </c>
      <c r="X1529">
        <v>1.6248237169764389E-2</v>
      </c>
      <c r="Y1529">
        <v>4.404324004281349E-3</v>
      </c>
    </row>
    <row r="1530" spans="1:25">
      <c r="A1530" s="1010"/>
      <c r="B1530" s="1351">
        <v>1280</v>
      </c>
      <c r="C1530" s="1014">
        <v>1.0330193188570602</v>
      </c>
      <c r="D1530" s="1014">
        <v>1.0343637540565993</v>
      </c>
      <c r="E1530" s="1014">
        <v>0.9798667668949369</v>
      </c>
      <c r="F1530" s="1014">
        <v>0.99925142101132425</v>
      </c>
      <c r="G1530" s="1014">
        <v>1.0351280049392686</v>
      </c>
      <c r="H1530" s="1014">
        <v>1.0150973306007995</v>
      </c>
      <c r="I1530" s="1014">
        <v>1.0050218735825553</v>
      </c>
      <c r="K1530">
        <v>2.3845347674772852</v>
      </c>
      <c r="L1530">
        <v>0</v>
      </c>
      <c r="M1530">
        <v>1.6695801973225142E-3</v>
      </c>
      <c r="N1530">
        <v>0.14300127051490896</v>
      </c>
      <c r="O1530">
        <v>2.0151554878392878E-2</v>
      </c>
      <c r="P1530">
        <v>2.7868229979338452E-2</v>
      </c>
      <c r="Q1530">
        <v>5.1670237689070923E-3</v>
      </c>
      <c r="R1530">
        <v>1.6478698976752106E-3</v>
      </c>
      <c r="S1530">
        <v>0.24848977871009265</v>
      </c>
      <c r="T1530">
        <v>1.3701775947524504</v>
      </c>
      <c r="U1530">
        <v>0.20513137691495889</v>
      </c>
      <c r="V1530">
        <v>0.24961257187027502</v>
      </c>
      <c r="W1530">
        <v>9.5082088377530766E-2</v>
      </c>
      <c r="X1530">
        <v>1.5390029368768137E-2</v>
      </c>
      <c r="Y1530">
        <v>4.4849586413061469E-3</v>
      </c>
    </row>
    <row r="1531" spans="1:25">
      <c r="A1531" s="1010"/>
      <c r="B1531" s="1351">
        <v>1281</v>
      </c>
      <c r="C1531" s="1014">
        <v>1.0123602597210091</v>
      </c>
      <c r="D1531" s="1014">
        <v>1.0323277366107579</v>
      </c>
      <c r="E1531" s="1014">
        <v>0.99066062127784027</v>
      </c>
      <c r="F1531" s="1014">
        <v>0.9753431222826775</v>
      </c>
      <c r="G1531" s="1014">
        <v>0.97711047681448515</v>
      </c>
      <c r="H1531" s="1014">
        <v>0.98028538747265626</v>
      </c>
      <c r="I1531" s="1014">
        <v>0.99034696856584092</v>
      </c>
      <c r="K1531">
        <v>2.3450977856133051</v>
      </c>
      <c r="L1531">
        <v>0</v>
      </c>
      <c r="M1531">
        <v>1.6095795457760904E-3</v>
      </c>
      <c r="N1531">
        <v>0.14237041474565112</v>
      </c>
      <c r="O1531">
        <v>2.0578709708161745E-2</v>
      </c>
      <c r="P1531">
        <v>2.7578345327907507E-2</v>
      </c>
      <c r="Q1531">
        <v>5.3345857977547895E-3</v>
      </c>
      <c r="R1531">
        <v>1.587906191306989E-3</v>
      </c>
      <c r="S1531">
        <v>0.24731157030299683</v>
      </c>
      <c r="T1531">
        <v>1.3376214468518246</v>
      </c>
      <c r="U1531">
        <v>0.20935381675519632</v>
      </c>
      <c r="V1531">
        <v>0.24089317525072343</v>
      </c>
      <c r="W1531">
        <v>9.4050213270479591E-2</v>
      </c>
      <c r="X1531">
        <v>1.5705423757473806E-2</v>
      </c>
      <c r="Y1531">
        <v>4.3217571996023423E-3</v>
      </c>
    </row>
    <row r="1532" spans="1:25">
      <c r="A1532" s="1010"/>
      <c r="B1532" s="1351">
        <v>1282</v>
      </c>
      <c r="C1532" s="1014">
        <v>0.99681625311832578</v>
      </c>
      <c r="D1532" s="1014">
        <v>0.99015762752740333</v>
      </c>
      <c r="E1532" s="1014">
        <v>1.0297202386620448</v>
      </c>
      <c r="F1532" s="1014">
        <v>0.99554907530028358</v>
      </c>
      <c r="G1532" s="1014">
        <v>0.97715401297311555</v>
      </c>
      <c r="H1532" s="1014">
        <v>0.98423523645988853</v>
      </c>
      <c r="I1532" s="1014">
        <v>1.0283816902926413</v>
      </c>
      <c r="K1532">
        <v>2.4153988976923468</v>
      </c>
      <c r="L1532">
        <v>0</v>
      </c>
      <c r="M1532">
        <v>1.5272904380479438E-3</v>
      </c>
      <c r="N1532">
        <v>0.15200729969051471</v>
      </c>
      <c r="O1532">
        <v>2.1118359024322599E-2</v>
      </c>
      <c r="P1532">
        <v>2.911754294347095E-2</v>
      </c>
      <c r="Q1532">
        <v>5.6924430024447624E-3</v>
      </c>
      <c r="R1532">
        <v>1.5068076560816707E-3</v>
      </c>
      <c r="S1532">
        <v>0.26700126389897411</v>
      </c>
      <c r="T1532">
        <v>1.3661753475061553</v>
      </c>
      <c r="U1532">
        <v>0.21275255656096606</v>
      </c>
      <c r="V1532">
        <v>0.24172742328897753</v>
      </c>
      <c r="W1532">
        <v>9.8130177599895632E-2</v>
      </c>
      <c r="X1532">
        <v>1.7595933237746615E-2</v>
      </c>
      <c r="Y1532">
        <v>4.101033720843977E-3</v>
      </c>
    </row>
    <row r="1533" spans="1:25">
      <c r="A1533" s="1010"/>
      <c r="B1533" s="1351">
        <v>1283</v>
      </c>
      <c r="C1533" s="1014">
        <v>1.0367789438502668</v>
      </c>
      <c r="D1533" s="1014">
        <v>0.975110558195322</v>
      </c>
      <c r="E1533" s="1014">
        <v>1.0091727127558323</v>
      </c>
      <c r="F1533" s="1014">
        <v>1.0002909347713547</v>
      </c>
      <c r="G1533" s="1014">
        <v>0.99799877471908327</v>
      </c>
      <c r="H1533" s="1014">
        <v>0.99610627695122511</v>
      </c>
      <c r="I1533" s="1014">
        <v>0.99368237701535256</v>
      </c>
      <c r="K1533">
        <v>2.3860247099394125</v>
      </c>
      <c r="L1533">
        <v>0</v>
      </c>
      <c r="M1533">
        <v>1.5562737703715705E-3</v>
      </c>
      <c r="N1533">
        <v>0.14560532452561101</v>
      </c>
      <c r="O1533">
        <v>2.0359604548845261E-2</v>
      </c>
      <c r="P1533">
        <v>2.8446031967160772E-2</v>
      </c>
      <c r="Q1533">
        <v>5.3769211234755586E-3</v>
      </c>
      <c r="R1533">
        <v>1.535651022157244E-3</v>
      </c>
      <c r="S1533">
        <v>0.25078243081677853</v>
      </c>
      <c r="T1533">
        <v>1.3722362866575015</v>
      </c>
      <c r="U1533">
        <v>0.20448405422804203</v>
      </c>
      <c r="V1533">
        <v>0.24294304259538327</v>
      </c>
      <c r="W1533">
        <v>9.5134615345759704E-2</v>
      </c>
      <c r="X1533">
        <v>1.6497485023979117E-2</v>
      </c>
      <c r="Y1533">
        <v>4.1795358550886152E-3</v>
      </c>
    </row>
    <row r="1534" spans="1:25">
      <c r="A1534" s="1010"/>
      <c r="B1534" s="1351">
        <v>1284</v>
      </c>
      <c r="C1534" s="1014">
        <v>1.0174724421180619</v>
      </c>
      <c r="D1534" s="1014">
        <v>1.0269496702930807</v>
      </c>
      <c r="E1534" s="1014">
        <v>1.0219127689700902</v>
      </c>
      <c r="F1534" s="1014">
        <v>1.0011375029905545</v>
      </c>
      <c r="G1534" s="1014">
        <v>0.99398846911940153</v>
      </c>
      <c r="H1534" s="1014">
        <v>1.0056829155404856</v>
      </c>
      <c r="I1534" s="1014">
        <v>0.99684562549941147</v>
      </c>
      <c r="K1534">
        <v>2.3992149515045522</v>
      </c>
      <c r="L1534">
        <v>0</v>
      </c>
      <c r="M1534">
        <v>1.5415284357930283E-3</v>
      </c>
      <c r="N1534">
        <v>0.14989787115173553</v>
      </c>
      <c r="O1534">
        <v>2.0519142042476287E-2</v>
      </c>
      <c r="P1534">
        <v>2.8792352237997608E-2</v>
      </c>
      <c r="Q1534">
        <v>5.4882969004330694E-3</v>
      </c>
      <c r="R1534">
        <v>1.5212956032868378E-3</v>
      </c>
      <c r="S1534">
        <v>0.25068142079235406</v>
      </c>
      <c r="T1534">
        <v>1.3736743465322452</v>
      </c>
      <c r="U1534">
        <v>0.2084070342699465</v>
      </c>
      <c r="V1534">
        <v>0.2433556920155738</v>
      </c>
      <c r="W1534">
        <v>9.7209414348456147E-2</v>
      </c>
      <c r="X1534">
        <v>1.7069148908652122E-2</v>
      </c>
      <c r="Y1534">
        <v>4.1404651371859287E-3</v>
      </c>
    </row>
    <row r="1535" spans="1:25">
      <c r="A1535" s="1010"/>
      <c r="B1535" s="1351">
        <v>1285</v>
      </c>
      <c r="C1535" s="1014">
        <v>1.0209463878746365</v>
      </c>
      <c r="D1535" s="1014">
        <v>0.95964706767649521</v>
      </c>
      <c r="E1535" s="1014">
        <v>1.0040800523421409</v>
      </c>
      <c r="F1535" s="1014">
        <v>0.99102415887375817</v>
      </c>
      <c r="G1535" s="1014">
        <v>0.98738790467489712</v>
      </c>
      <c r="H1535" s="1014">
        <v>0.98744077241253936</v>
      </c>
      <c r="I1535" s="1014">
        <v>1.0040165385882336</v>
      </c>
      <c r="K1535">
        <v>2.3852168177269895</v>
      </c>
      <c r="L1535">
        <v>0</v>
      </c>
      <c r="M1535">
        <v>1.5888920373745327E-3</v>
      </c>
      <c r="N1535">
        <v>0.14637120464285308</v>
      </c>
      <c r="O1535">
        <v>2.0744829799988495E-2</v>
      </c>
      <c r="P1535">
        <v>2.8302295407896725E-2</v>
      </c>
      <c r="Q1535">
        <v>5.4507864070691041E-3</v>
      </c>
      <c r="R1535">
        <v>1.5676522800055544E-3</v>
      </c>
      <c r="S1535">
        <v>0.25863393268925083</v>
      </c>
      <c r="T1535">
        <v>1.3594144776613588</v>
      </c>
      <c r="U1535">
        <v>0.20763806843941793</v>
      </c>
      <c r="V1535">
        <v>0.24208279816068135</v>
      </c>
      <c r="W1535">
        <v>9.5923413636414864E-2</v>
      </c>
      <c r="X1535">
        <v>1.6409617909686897E-2</v>
      </c>
      <c r="Y1535">
        <v>4.2666327297399024E-3</v>
      </c>
    </row>
    <row r="1536" spans="1:25">
      <c r="A1536" s="1010"/>
      <c r="B1536" s="1351">
        <v>1286</v>
      </c>
      <c r="C1536" s="1014">
        <v>1.0072135074308133</v>
      </c>
      <c r="D1536" s="1014">
        <v>1.0385859979016623</v>
      </c>
      <c r="E1536" s="1014">
        <v>0.96420005896953787</v>
      </c>
      <c r="F1536" s="1014">
        <v>1.0195299773287103</v>
      </c>
      <c r="G1536" s="1014">
        <v>0.96189264690835985</v>
      </c>
      <c r="H1536" s="1014">
        <v>1.0106500348453791</v>
      </c>
      <c r="I1536" s="1014">
        <v>1.026712168433987</v>
      </c>
      <c r="K1536">
        <v>2.4197809595633313</v>
      </c>
      <c r="L1536">
        <v>0</v>
      </c>
      <c r="M1536">
        <v>1.7593376671502382E-3</v>
      </c>
      <c r="N1536">
        <v>0.14370043246459749</v>
      </c>
      <c r="O1536">
        <v>2.0639152334844358E-2</v>
      </c>
      <c r="P1536">
        <v>2.7969325419574125E-2</v>
      </c>
      <c r="Q1536">
        <v>5.2080774068709139E-3</v>
      </c>
      <c r="R1536">
        <v>1.7363595402235567E-3</v>
      </c>
      <c r="S1536">
        <v>0.2593221294131966</v>
      </c>
      <c r="T1536">
        <v>1.3976401840685511</v>
      </c>
      <c r="U1536">
        <v>0.21033411940195904</v>
      </c>
      <c r="V1536">
        <v>0.2387009316484284</v>
      </c>
      <c r="W1536">
        <v>9.6460911762420123E-2</v>
      </c>
      <c r="X1536">
        <v>1.5102875492093024E-2</v>
      </c>
      <c r="Y1536">
        <v>4.7257982777199198E-3</v>
      </c>
    </row>
    <row r="1537" spans="1:25">
      <c r="A1537" s="1010"/>
      <c r="B1537" s="1351">
        <v>1287</v>
      </c>
      <c r="C1537" s="1014">
        <v>0.98471086848993827</v>
      </c>
      <c r="D1537" s="1014">
        <v>0.99026963055996453</v>
      </c>
      <c r="E1537" s="1014">
        <v>1.0035721644960196</v>
      </c>
      <c r="F1537" s="1014">
        <v>1.0258143936972199</v>
      </c>
      <c r="G1537" s="1014">
        <v>0.9879128558811533</v>
      </c>
      <c r="H1537" s="1014">
        <v>1.0154746356348829</v>
      </c>
      <c r="I1537" s="1014">
        <v>1.0228828371932039</v>
      </c>
      <c r="K1537">
        <v>2.4724391697800603</v>
      </c>
      <c r="L1537">
        <v>0</v>
      </c>
      <c r="M1537">
        <v>1.6842369967657604E-3</v>
      </c>
      <c r="N1537">
        <v>0.15497464924042537</v>
      </c>
      <c r="O1537">
        <v>2.1359735979245637E-2</v>
      </c>
      <c r="P1537">
        <v>2.9255213824587557E-2</v>
      </c>
      <c r="Q1537">
        <v>5.6094970232796687E-3</v>
      </c>
      <c r="R1537">
        <v>1.6623442455781362E-3</v>
      </c>
      <c r="S1537">
        <v>0.27136705688736851</v>
      </c>
      <c r="T1537">
        <v>1.4071259009862576</v>
      </c>
      <c r="U1537">
        <v>0.21527699716406273</v>
      </c>
      <c r="V1537">
        <v>0.24442322664492125</v>
      </c>
      <c r="W1537">
        <v>0.10159219453520268</v>
      </c>
      <c r="X1537">
        <v>1.695223720106628E-2</v>
      </c>
      <c r="Y1537">
        <v>4.5243530448304077E-3</v>
      </c>
    </row>
    <row r="1538" spans="1:25">
      <c r="A1538" s="1010"/>
      <c r="B1538" s="1351">
        <v>1288</v>
      </c>
      <c r="C1538" s="1014">
        <v>1.002777146556876</v>
      </c>
      <c r="D1538" s="1014">
        <v>0.97297053687844204</v>
      </c>
      <c r="E1538" s="1014">
        <v>1.0328395130459176</v>
      </c>
      <c r="F1538" s="1014">
        <v>1.0123114785691913</v>
      </c>
      <c r="G1538" s="1014">
        <v>0.9770540558825811</v>
      </c>
      <c r="H1538" s="1014">
        <v>0.98702660608303328</v>
      </c>
      <c r="I1538" s="1014">
        <v>1.012910781821128</v>
      </c>
      <c r="K1538">
        <v>2.4350278304946888</v>
      </c>
      <c r="L1538">
        <v>0</v>
      </c>
      <c r="M1538">
        <v>1.5184898370313306E-3</v>
      </c>
      <c r="N1538">
        <v>0.15256496225313765</v>
      </c>
      <c r="O1538">
        <v>2.1075936226038986E-2</v>
      </c>
      <c r="P1538">
        <v>2.9441027140775376E-2</v>
      </c>
      <c r="Q1538">
        <v>5.6985429488504583E-3</v>
      </c>
      <c r="R1538">
        <v>1.4981826743286882E-3</v>
      </c>
      <c r="S1538">
        <v>0.26400927194984419</v>
      </c>
      <c r="T1538">
        <v>1.3892468230450268</v>
      </c>
      <c r="U1538">
        <v>0.21149855638680606</v>
      </c>
      <c r="V1538">
        <v>0.24132762328348395</v>
      </c>
      <c r="W1538">
        <v>9.8312190947948533E-2</v>
      </c>
      <c r="X1538">
        <v>1.7795644111740092E-2</v>
      </c>
      <c r="Y1538">
        <v>4.0775593637368285E-3</v>
      </c>
    </row>
    <row r="1539" spans="1:25">
      <c r="A1539" s="1010"/>
      <c r="B1539" s="1351">
        <v>1289</v>
      </c>
      <c r="C1539" s="1014">
        <v>0.98632063686021609</v>
      </c>
      <c r="D1539" s="1014">
        <v>0.95379461670874877</v>
      </c>
      <c r="E1539" s="1014">
        <v>0.97328992525061409</v>
      </c>
      <c r="F1539" s="1014">
        <v>0.97766256695946263</v>
      </c>
      <c r="G1539" s="1014">
        <v>0.99936447379184412</v>
      </c>
      <c r="H1539" s="1014">
        <v>0.98775570328357698</v>
      </c>
      <c r="I1539" s="1014">
        <v>0.98941626146286454</v>
      </c>
      <c r="K1539">
        <v>2.3865559970432235</v>
      </c>
      <c r="L1539">
        <v>0</v>
      </c>
      <c r="M1539">
        <v>1.7558623752208253E-3</v>
      </c>
      <c r="N1539">
        <v>0.14737382239224317</v>
      </c>
      <c r="O1539">
        <v>2.1481118088660451E-2</v>
      </c>
      <c r="P1539">
        <v>2.7630713738702392E-2</v>
      </c>
      <c r="Q1539">
        <v>5.471168870671156E-3</v>
      </c>
      <c r="R1539">
        <v>1.7323980999315988E-3</v>
      </c>
      <c r="S1539">
        <v>0.26441087967930316</v>
      </c>
      <c r="T1539">
        <v>1.3404364767028594</v>
      </c>
      <c r="U1539">
        <v>0.21482089207112801</v>
      </c>
      <c r="V1539">
        <v>0.24638451451385304</v>
      </c>
      <c r="W1539">
        <v>9.8380390935021378E-2</v>
      </c>
      <c r="X1539">
        <v>1.5474467782935925E-2</v>
      </c>
      <c r="Y1539">
        <v>4.7150165431336525E-3</v>
      </c>
    </row>
    <row r="1540" spans="1:25">
      <c r="A1540" s="1010"/>
      <c r="B1540" s="1351">
        <v>1290</v>
      </c>
      <c r="C1540" s="1014">
        <v>0.98285093186718409</v>
      </c>
      <c r="D1540" s="1014">
        <v>0.95902137500594042</v>
      </c>
      <c r="E1540" s="1014">
        <v>0.98048171206357693</v>
      </c>
      <c r="F1540" s="1014">
        <v>0.96925394633014295</v>
      </c>
      <c r="G1540" s="1014">
        <v>1.0013870715498996</v>
      </c>
      <c r="H1540" s="1014">
        <v>1.0055269158469262</v>
      </c>
      <c r="I1540" s="1014">
        <v>0.98147375630662237</v>
      </c>
      <c r="K1540">
        <v>2.3829126800473452</v>
      </c>
      <c r="L1540">
        <v>0</v>
      </c>
      <c r="M1540">
        <v>1.7651748762496633E-3</v>
      </c>
      <c r="N1540">
        <v>0.15145162285849567</v>
      </c>
      <c r="O1540">
        <v>2.1535932299295606E-2</v>
      </c>
      <c r="P1540">
        <v>2.7642558059102672E-2</v>
      </c>
      <c r="Q1540">
        <v>5.5254416291209557E-3</v>
      </c>
      <c r="R1540">
        <v>1.7420030504102222E-3</v>
      </c>
      <c r="S1540">
        <v>0.26406724145715421</v>
      </c>
      <c r="T1540">
        <v>1.3290577745901884</v>
      </c>
      <c r="U1540">
        <v>0.21560418138357312</v>
      </c>
      <c r="V1540">
        <v>0.2469270895336256</v>
      </c>
      <c r="W1540">
        <v>0.10066337984624789</v>
      </c>
      <c r="X1540">
        <v>1.5719472164310796E-2</v>
      </c>
      <c r="Y1540">
        <v>4.7411580520653907E-3</v>
      </c>
    </row>
    <row r="1541" spans="1:25">
      <c r="A1541" s="1010"/>
      <c r="B1541" s="1351">
        <v>1291</v>
      </c>
      <c r="C1541" s="1014">
        <v>1.0070565075295959</v>
      </c>
      <c r="D1541" s="1014">
        <v>0.97463650642902133</v>
      </c>
      <c r="E1541" s="1014">
        <v>1.0014643624817967</v>
      </c>
      <c r="F1541" s="1014">
        <v>1.0074799481746495</v>
      </c>
      <c r="G1541" s="1014">
        <v>1.0236719797148393</v>
      </c>
      <c r="H1541" s="1014">
        <v>0.99641310413820228</v>
      </c>
      <c r="I1541" s="1014">
        <v>0.98721225445227845</v>
      </c>
      <c r="K1541">
        <v>2.420675906475946</v>
      </c>
      <c r="L1541">
        <v>0</v>
      </c>
      <c r="M1541">
        <v>1.6287273621287384E-3</v>
      </c>
      <c r="N1541">
        <v>0.14887826253421729</v>
      </c>
      <c r="O1541">
        <v>2.0957630785366527E-2</v>
      </c>
      <c r="P1541">
        <v>2.8661391112957881E-2</v>
      </c>
      <c r="Q1541">
        <v>5.4922634354685794E-3</v>
      </c>
      <c r="R1541">
        <v>1.6071511511360527E-3</v>
      </c>
      <c r="S1541">
        <v>0.25652903982757153</v>
      </c>
      <c r="T1541">
        <v>1.3819302984263837</v>
      </c>
      <c r="U1541">
        <v>0.21049304529063925</v>
      </c>
      <c r="V1541">
        <v>0.24913099076036241</v>
      </c>
      <c r="W1541">
        <v>9.7717862575703335E-2</v>
      </c>
      <c r="X1541">
        <v>1.653256230210948E-2</v>
      </c>
      <c r="Y1541">
        <v>4.3741356361577501E-3</v>
      </c>
    </row>
    <row r="1542" spans="1:25">
      <c r="A1542" s="1010"/>
      <c r="B1542" s="1351">
        <v>1292</v>
      </c>
      <c r="C1542" s="1014">
        <v>0.97365030158443966</v>
      </c>
      <c r="D1542" s="1014">
        <v>0.96970314838018945</v>
      </c>
      <c r="E1542" s="1014">
        <v>1.0001907187798535</v>
      </c>
      <c r="F1542" s="1014">
        <v>0.97988251780143165</v>
      </c>
      <c r="G1542" s="1014">
        <v>1.0060050060954815</v>
      </c>
      <c r="H1542" s="1014">
        <v>0.96716565777285401</v>
      </c>
      <c r="I1542" s="1014">
        <v>1.0248867792122009</v>
      </c>
      <c r="K1542">
        <v>2.4078561168901058</v>
      </c>
      <c r="L1542">
        <v>0</v>
      </c>
      <c r="M1542">
        <v>1.6413191608493007E-3</v>
      </c>
      <c r="N1542">
        <v>0.14939241402001635</v>
      </c>
      <c r="O1542">
        <v>2.1700032218302363E-2</v>
      </c>
      <c r="P1542">
        <v>2.8435499302586383E-2</v>
      </c>
      <c r="Q1542">
        <v>5.6795484259354956E-3</v>
      </c>
      <c r="R1542">
        <v>1.6189186258551507E-3</v>
      </c>
      <c r="S1542">
        <v>0.27351497195499719</v>
      </c>
      <c r="T1542">
        <v>1.344048726446369</v>
      </c>
      <c r="U1542">
        <v>0.21771064675758592</v>
      </c>
      <c r="V1542">
        <v>0.24824446513424314</v>
      </c>
      <c r="W1542">
        <v>9.8129537396732261E-2</v>
      </c>
      <c r="X1542">
        <v>1.6616512945134082E-2</v>
      </c>
      <c r="Y1542">
        <v>4.4061628231961371E-3</v>
      </c>
    </row>
    <row r="1543" spans="1:25">
      <c r="A1543" s="1010"/>
      <c r="B1543" s="1351">
        <v>1293</v>
      </c>
      <c r="C1543" s="1014">
        <v>1.0008470700496972</v>
      </c>
      <c r="D1543" s="1014">
        <v>0.99975666950349951</v>
      </c>
      <c r="E1543" s="1014">
        <v>0.9945640954499424</v>
      </c>
      <c r="F1543" s="1014">
        <v>1.0057064455339018</v>
      </c>
      <c r="G1543" s="1014">
        <v>1.0290211925320447</v>
      </c>
      <c r="H1543" s="1014">
        <v>1.0067762911240077</v>
      </c>
      <c r="I1543" s="1014">
        <v>1.0179332566549757</v>
      </c>
      <c r="K1543">
        <v>2.4291207447810899</v>
      </c>
      <c r="L1543">
        <v>0</v>
      </c>
      <c r="M1543">
        <v>1.6703633512585008E-3</v>
      </c>
      <c r="N1543">
        <v>0.14955423704027818</v>
      </c>
      <c r="O1543">
        <v>2.0965353688027343E-2</v>
      </c>
      <c r="P1543">
        <v>2.8610645915199195E-2</v>
      </c>
      <c r="Q1543">
        <v>5.4562691277094339E-3</v>
      </c>
      <c r="R1543">
        <v>1.6484633473934193E-3</v>
      </c>
      <c r="S1543">
        <v>0.26360846319693726</v>
      </c>
      <c r="T1543">
        <v>1.3793476053413674</v>
      </c>
      <c r="U1543">
        <v>0.21177542307996244</v>
      </c>
      <c r="V1543">
        <v>0.25045458558887984</v>
      </c>
      <c r="W1543">
        <v>9.8565581710700165E-2</v>
      </c>
      <c r="X1543">
        <v>1.6317906280083967E-2</v>
      </c>
      <c r="Y1543">
        <v>4.4865738158084648E-3</v>
      </c>
    </row>
    <row r="1544" spans="1:25">
      <c r="A1544" s="1010"/>
      <c r="B1544" s="1351">
        <v>1294</v>
      </c>
      <c r="C1544" s="1014">
        <v>1.0169570031217963</v>
      </c>
      <c r="D1544" s="1014">
        <v>1.0171960116711798</v>
      </c>
      <c r="E1544" s="1014">
        <v>1.0431258776888952</v>
      </c>
      <c r="F1544" s="1014">
        <v>1.0115124623535083</v>
      </c>
      <c r="G1544" s="1014">
        <v>1.0198238790380427</v>
      </c>
      <c r="H1544" s="1014">
        <v>1.0128420516881269</v>
      </c>
      <c r="I1544" s="1014">
        <v>1.0184214869658381</v>
      </c>
      <c r="K1544">
        <v>2.4340635536176425</v>
      </c>
      <c r="L1544">
        <v>0</v>
      </c>
      <c r="M1544">
        <v>1.4892226303091622E-3</v>
      </c>
      <c r="N1544">
        <v>0.15438735253627306</v>
      </c>
      <c r="O1544">
        <v>2.0586548099984767E-2</v>
      </c>
      <c r="P1544">
        <v>2.9615501533594112E-2</v>
      </c>
      <c r="Q1544">
        <v>5.6228695472736838E-3</v>
      </c>
      <c r="R1544">
        <v>1.4698144811501267E-3</v>
      </c>
      <c r="S1544">
        <v>0.25823823616947644</v>
      </c>
      <c r="T1544">
        <v>1.3883769756433546</v>
      </c>
      <c r="U1544">
        <v>0.20858431439624475</v>
      </c>
      <c r="V1544">
        <v>0.24772026533832342</v>
      </c>
      <c r="W1544">
        <v>9.8897950799147843E-2</v>
      </c>
      <c r="X1544">
        <v>1.8052597209652119E-2</v>
      </c>
      <c r="Y1544">
        <v>4.0003504934771538E-3</v>
      </c>
    </row>
    <row r="1545" spans="1:25">
      <c r="A1545" s="1010"/>
      <c r="B1545" s="1351">
        <v>1295</v>
      </c>
      <c r="C1545" s="1014">
        <v>1.0063004396321977</v>
      </c>
      <c r="D1545" s="1014">
        <v>1.0223209417899319</v>
      </c>
      <c r="E1545" s="1014">
        <v>1.0036228475634406</v>
      </c>
      <c r="F1545" s="1014">
        <v>1.009180399194938</v>
      </c>
      <c r="G1545" s="1014">
        <v>1.0065304849160466</v>
      </c>
      <c r="H1545" s="1014">
        <v>1.0256077200749985</v>
      </c>
      <c r="I1545" s="1014">
        <v>0.98597570614555852</v>
      </c>
      <c r="K1545">
        <v>2.421661568659558</v>
      </c>
      <c r="L1545">
        <v>0</v>
      </c>
      <c r="M1545">
        <v>1.6527507161800692E-3</v>
      </c>
      <c r="N1545">
        <v>0.15212052050602171</v>
      </c>
      <c r="O1545">
        <v>2.0755548282795161E-2</v>
      </c>
      <c r="P1545">
        <v>2.8651331848663458E-2</v>
      </c>
      <c r="Q1545">
        <v>5.4511023113583811E-3</v>
      </c>
      <c r="R1545">
        <v>1.6314795014791448E-3</v>
      </c>
      <c r="S1545">
        <v>0.25277160676274196</v>
      </c>
      <c r="T1545">
        <v>1.3843098935119298</v>
      </c>
      <c r="U1545">
        <v>0.21065853083061309</v>
      </c>
      <c r="V1545">
        <v>0.24624259527903003</v>
      </c>
      <c r="W1545">
        <v>9.9718201540123702E-2</v>
      </c>
      <c r="X1545">
        <v>1.6563159615027398E-2</v>
      </c>
      <c r="Y1545">
        <v>4.4403493859531112E-3</v>
      </c>
    </row>
    <row r="1546" spans="1:25">
      <c r="A1546" s="1010"/>
      <c r="B1546" s="1351">
        <v>1296</v>
      </c>
      <c r="C1546" s="1014">
        <v>1.0084940376775897</v>
      </c>
      <c r="D1546" s="1014">
        <v>1.003744869187599</v>
      </c>
      <c r="E1546" s="1014">
        <v>0.9896526111332431</v>
      </c>
      <c r="F1546" s="1014">
        <v>1.0141769991795693</v>
      </c>
      <c r="G1546" s="1014">
        <v>0.95714401675494098</v>
      </c>
      <c r="H1546" s="1014">
        <v>0.99687006331804773</v>
      </c>
      <c r="I1546" s="1014">
        <v>0.99693484085869777</v>
      </c>
      <c r="K1546">
        <v>2.4112423225550117</v>
      </c>
      <c r="L1546">
        <v>0</v>
      </c>
      <c r="M1546">
        <v>1.6567220015740348E-3</v>
      </c>
      <c r="N1546">
        <v>0.14612751121965936</v>
      </c>
      <c r="O1546">
        <v>2.0784941366879969E-2</v>
      </c>
      <c r="P1546">
        <v>2.8348050968044436E-2</v>
      </c>
      <c r="Q1546">
        <v>5.3825604953317528E-3</v>
      </c>
      <c r="R1546">
        <v>1.6347849980932637E-3</v>
      </c>
      <c r="S1546">
        <v>0.25483181215473194</v>
      </c>
      <c r="T1546">
        <v>1.390857588311732</v>
      </c>
      <c r="U1546">
        <v>0.21015299659927292</v>
      </c>
      <c r="V1546">
        <v>0.2377222742685621</v>
      </c>
      <c r="W1546">
        <v>9.659046180555958E-2</v>
      </c>
      <c r="X1546">
        <v>1.6016716510634809E-2</v>
      </c>
      <c r="Y1546">
        <v>4.4493458580800753E-3</v>
      </c>
    </row>
    <row r="1547" spans="1:25">
      <c r="A1547" s="1010"/>
      <c r="B1547" s="1351">
        <v>1297</v>
      </c>
      <c r="C1547" s="1014">
        <v>1.0157608678534615</v>
      </c>
      <c r="D1547" s="1014">
        <v>1.0118882198635286</v>
      </c>
      <c r="E1547" s="1014">
        <v>1.015653227917805</v>
      </c>
      <c r="F1547" s="1014">
        <v>1.0241672772767141</v>
      </c>
      <c r="G1547" s="1014">
        <v>1.0118169812906006</v>
      </c>
      <c r="H1547" s="1014">
        <v>0.99549461968584196</v>
      </c>
      <c r="I1547" s="1014">
        <v>1.011806809020213</v>
      </c>
      <c r="K1547">
        <v>2.4374390293607813</v>
      </c>
      <c r="L1547">
        <v>0</v>
      </c>
      <c r="M1547">
        <v>1.5535578426103178E-3</v>
      </c>
      <c r="N1547">
        <v>0.14822123356549818</v>
      </c>
      <c r="O1547">
        <v>2.0616543889804405E-2</v>
      </c>
      <c r="P1547">
        <v>2.9214394080209961E-2</v>
      </c>
      <c r="Q1547">
        <v>5.4801176784113987E-3</v>
      </c>
      <c r="R1547">
        <v>1.5329584351107864E-3</v>
      </c>
      <c r="S1547">
        <v>0.25584162811812722</v>
      </c>
      <c r="T1547">
        <v>1.4051346441940116</v>
      </c>
      <c r="U1547">
        <v>0.20873707857020113</v>
      </c>
      <c r="V1547">
        <v>0.24652423605214321</v>
      </c>
      <c r="W1547">
        <v>9.6475106643525266E-2</v>
      </c>
      <c r="X1547">
        <v>1.7042438455586312E-2</v>
      </c>
      <c r="Y1547">
        <v>4.1722075207592402E-3</v>
      </c>
    </row>
    <row r="1548" spans="1:25">
      <c r="A1548" s="1010"/>
      <c r="B1548" s="1351">
        <v>1298</v>
      </c>
      <c r="C1548" s="1014">
        <v>0.9728428842826774</v>
      </c>
      <c r="D1548" s="1014">
        <v>0.98268989147435271</v>
      </c>
      <c r="E1548" s="1014">
        <v>0.96684657394419715</v>
      </c>
      <c r="F1548" s="1014">
        <v>0.99698558128262327</v>
      </c>
      <c r="G1548" s="1014">
        <v>0.97134508357500049</v>
      </c>
      <c r="H1548" s="1014">
        <v>0.98266470569877606</v>
      </c>
      <c r="I1548" s="1014">
        <v>0.97990729229162254</v>
      </c>
      <c r="K1548">
        <v>2.4082171963793852</v>
      </c>
      <c r="L1548">
        <v>0</v>
      </c>
      <c r="M1548">
        <v>1.7829830442150523E-3</v>
      </c>
      <c r="N1548">
        <v>0.14674850357096547</v>
      </c>
      <c r="O1548">
        <v>2.1631796520249959E-2</v>
      </c>
      <c r="P1548">
        <v>2.778797274984509E-2</v>
      </c>
      <c r="Q1548">
        <v>5.4733830572411589E-3</v>
      </c>
      <c r="R1548">
        <v>1.7590329032596396E-3</v>
      </c>
      <c r="S1548">
        <v>0.26102720881005481</v>
      </c>
      <c r="T1548">
        <v>1.3667914659246061</v>
      </c>
      <c r="U1548">
        <v>0.21777448847883704</v>
      </c>
      <c r="V1548">
        <v>0.24249473027382759</v>
      </c>
      <c r="W1548">
        <v>9.8347864263828355E-2</v>
      </c>
      <c r="X1548">
        <v>1.5376225173252251E-2</v>
      </c>
      <c r="Y1548">
        <v>4.7875076976320241E-3</v>
      </c>
    </row>
    <row r="1549" spans="1:25">
      <c r="A1549" s="1010"/>
      <c r="B1549" s="1351">
        <v>1299</v>
      </c>
      <c r="C1549" s="1014">
        <v>1.0177827505463957</v>
      </c>
      <c r="D1549" s="1014">
        <v>1.0024166729497055</v>
      </c>
      <c r="E1549" s="1014">
        <v>1.0144224904730752</v>
      </c>
      <c r="F1549" s="1014">
        <v>1.009460086737572</v>
      </c>
      <c r="G1549" s="1014">
        <v>0.97179852884013362</v>
      </c>
      <c r="H1549" s="1014">
        <v>1.0365841250951149</v>
      </c>
      <c r="I1549" s="1014">
        <v>1.0265981289516883</v>
      </c>
      <c r="K1549">
        <v>2.4276635431185438</v>
      </c>
      <c r="L1549">
        <v>0</v>
      </c>
      <c r="M1549">
        <v>1.621956778511328E-3</v>
      </c>
      <c r="N1549">
        <v>0.15425543588375348</v>
      </c>
      <c r="O1549">
        <v>2.0617398080857493E-2</v>
      </c>
      <c r="P1549">
        <v>2.891753055432237E-2</v>
      </c>
      <c r="Q1549">
        <v>5.4736251355195567E-3</v>
      </c>
      <c r="R1549">
        <v>1.6013029321559043E-3</v>
      </c>
      <c r="S1549">
        <v>0.26380299488386616</v>
      </c>
      <c r="T1549">
        <v>1.3849297565313123</v>
      </c>
      <c r="U1549">
        <v>0.20831826762288838</v>
      </c>
      <c r="V1549">
        <v>0.23957536532431989</v>
      </c>
      <c r="W1549">
        <v>0.10047528729936492</v>
      </c>
      <c r="X1549">
        <v>1.69603169367347E-2</v>
      </c>
      <c r="Y1549">
        <v>4.358218711958654E-3</v>
      </c>
    </row>
    <row r="1550" spans="1:25">
      <c r="A1550" s="1010"/>
      <c r="B1550" s="1351">
        <v>1300</v>
      </c>
      <c r="C1550" s="1014">
        <v>0.98729889034478369</v>
      </c>
      <c r="D1550" s="1014">
        <v>1.0225676768201806</v>
      </c>
      <c r="E1550" s="1014">
        <v>1.0314902961850088</v>
      </c>
      <c r="F1550" s="1014">
        <v>0.97638876362953086</v>
      </c>
      <c r="G1550" s="1014">
        <v>1.0291816083177976</v>
      </c>
      <c r="H1550" s="1014">
        <v>1.0468389882018307</v>
      </c>
      <c r="I1550" s="1014">
        <v>1.0229348709620794</v>
      </c>
      <c r="K1550">
        <v>2.420514301389336</v>
      </c>
      <c r="L1550">
        <v>0</v>
      </c>
      <c r="M1550">
        <v>1.6225189392374826E-3</v>
      </c>
      <c r="N1550">
        <v>0.16248107022346511</v>
      </c>
      <c r="O1550">
        <v>2.1172577495047362E-2</v>
      </c>
      <c r="P1550">
        <v>2.8982251910785132E-2</v>
      </c>
      <c r="Q1550">
        <v>5.7170506000702604E-3</v>
      </c>
      <c r="R1550">
        <v>1.6020603301434742E-3</v>
      </c>
      <c r="S1550">
        <v>0.26936202016612248</v>
      </c>
      <c r="T1550">
        <v>1.3399195738745597</v>
      </c>
      <c r="U1550">
        <v>0.21480960498389604</v>
      </c>
      <c r="V1550">
        <v>0.25120222406340303</v>
      </c>
      <c r="W1550">
        <v>0.10478398156795689</v>
      </c>
      <c r="X1550">
        <v>1.774412501351651E-2</v>
      </c>
      <c r="Y1550">
        <v>4.3602800996046399E-3</v>
      </c>
    </row>
    <row r="1551" spans="1:25">
      <c r="A1551" s="1010"/>
      <c r="B1551" s="1351">
        <v>1301</v>
      </c>
      <c r="C1551" s="1014">
        <v>0.98694657792383833</v>
      </c>
      <c r="D1551" s="1014">
        <v>1.0017865403498909</v>
      </c>
      <c r="E1551" s="1014">
        <v>1.0322022324740914</v>
      </c>
      <c r="F1551" s="1014">
        <v>0.96331749372019648</v>
      </c>
      <c r="G1551" s="1014">
        <v>1.0020669278031071</v>
      </c>
      <c r="H1551" s="1014">
        <v>0.96572528834605087</v>
      </c>
      <c r="I1551" s="1014">
        <v>0.99057963533726612</v>
      </c>
      <c r="K1551">
        <v>2.3648024711166329</v>
      </c>
      <c r="L1551">
        <v>0</v>
      </c>
      <c r="M1551">
        <v>1.5018817626277765E-3</v>
      </c>
      <c r="N1551">
        <v>0.15056173653846658</v>
      </c>
      <c r="O1551">
        <v>2.1276503575188267E-2</v>
      </c>
      <c r="P1551">
        <v>2.8506275673786805E-2</v>
      </c>
      <c r="Q1551">
        <v>5.7491541124600459E-3</v>
      </c>
      <c r="R1551">
        <v>1.4813536813690919E-3</v>
      </c>
      <c r="S1551">
        <v>0.25667704923907741</v>
      </c>
      <c r="T1551">
        <v>1.3219965101490883</v>
      </c>
      <c r="U1551">
        <v>0.21488876358635006</v>
      </c>
      <c r="V1551">
        <v>0.24659596825920799</v>
      </c>
      <c r="W1551">
        <v>9.7057147509202107E-2</v>
      </c>
      <c r="X1551">
        <v>1.7482134162487433E-2</v>
      </c>
      <c r="Y1551">
        <v>4.0317563925768452E-3</v>
      </c>
    </row>
    <row r="1552" spans="1:25">
      <c r="A1552" s="1010"/>
      <c r="B1552" s="1351">
        <v>1302</v>
      </c>
      <c r="C1552" s="1014">
        <v>0.99233349537835536</v>
      </c>
      <c r="D1552" s="1014">
        <v>1.0234773033633866</v>
      </c>
      <c r="E1552" s="1014">
        <v>1.0228053391618468</v>
      </c>
      <c r="F1552" s="1014">
        <v>0.99910362707041156</v>
      </c>
      <c r="G1552" s="1014">
        <v>0.99903644654404322</v>
      </c>
      <c r="H1552" s="1014">
        <v>0.9964744772493116</v>
      </c>
      <c r="I1552" s="1014">
        <v>0.97827408299510288</v>
      </c>
      <c r="K1552">
        <v>2.4107014934989408</v>
      </c>
      <c r="L1552">
        <v>0</v>
      </c>
      <c r="M1552">
        <v>1.5643662163295081E-3</v>
      </c>
      <c r="N1552">
        <v>0.15250995481750307</v>
      </c>
      <c r="O1552">
        <v>2.1055235447415385E-2</v>
      </c>
      <c r="P1552">
        <v>2.8896472990811217E-2</v>
      </c>
      <c r="Q1552">
        <v>5.6366798692382668E-3</v>
      </c>
      <c r="R1552">
        <v>1.5436438919696567E-3</v>
      </c>
      <c r="S1552">
        <v>0.25190672830136707</v>
      </c>
      <c r="T1552">
        <v>1.3709030098627268</v>
      </c>
      <c r="U1552">
        <v>0.21368972880630663</v>
      </c>
      <c r="V1552">
        <v>0.24576814069717837</v>
      </c>
      <c r="W1552">
        <v>9.8851823535749311E-2</v>
      </c>
      <c r="X1552">
        <v>1.7303151683132859E-2</v>
      </c>
      <c r="Y1552">
        <v>4.2012898118691782E-3</v>
      </c>
    </row>
    <row r="1553" spans="1:25">
      <c r="A1553" s="1010"/>
      <c r="B1553" s="1351">
        <v>1303</v>
      </c>
      <c r="C1553" s="1014">
        <v>0.9679467637088941</v>
      </c>
      <c r="D1553" s="1014">
        <v>1.0076658640625247</v>
      </c>
      <c r="E1553" s="1014">
        <v>0.96399342958842604</v>
      </c>
      <c r="F1553" s="1014">
        <v>0.96407676278931798</v>
      </c>
      <c r="G1553" s="1014">
        <v>1.0206514522656751</v>
      </c>
      <c r="H1553" s="1014">
        <v>0.97222044914613348</v>
      </c>
      <c r="I1553" s="1014">
        <v>1.005879623529303</v>
      </c>
      <c r="K1553">
        <v>2.3728048854560768</v>
      </c>
      <c r="L1553">
        <v>0</v>
      </c>
      <c r="M1553">
        <v>1.7736013514702232E-3</v>
      </c>
      <c r="N1553">
        <v>0.14469909544862816</v>
      </c>
      <c r="O1553">
        <v>2.1619557607049603E-2</v>
      </c>
      <c r="P1553">
        <v>2.7310475603453396E-2</v>
      </c>
      <c r="Q1553">
        <v>5.4543167460740314E-3</v>
      </c>
      <c r="R1553">
        <v>1.7495212962841816E-3</v>
      </c>
      <c r="S1553">
        <v>0.26497772794791719</v>
      </c>
      <c r="T1553">
        <v>1.3216169162719174</v>
      </c>
      <c r="U1553">
        <v>0.21886602851354908</v>
      </c>
      <c r="V1553">
        <v>0.25125778367690355</v>
      </c>
      <c r="W1553">
        <v>9.7143551753740773E-2</v>
      </c>
      <c r="X1553">
        <v>1.5121891703086034E-2</v>
      </c>
      <c r="Y1553">
        <v>4.7616202389452224E-3</v>
      </c>
    </row>
    <row r="1554" spans="1:25">
      <c r="A1554" s="1010"/>
      <c r="B1554" s="1351">
        <v>1304</v>
      </c>
      <c r="C1554" s="1014">
        <v>1.0033663263125634</v>
      </c>
      <c r="D1554" s="1014">
        <v>0.97299812088427828</v>
      </c>
      <c r="E1554" s="1014">
        <v>0.98654221004968479</v>
      </c>
      <c r="F1554" s="1014">
        <v>0.99383174781277572</v>
      </c>
      <c r="G1554" s="1014">
        <v>0.99353626852113597</v>
      </c>
      <c r="H1554" s="1014">
        <v>0.97646505143261375</v>
      </c>
      <c r="I1554" s="1014">
        <v>1.0026162796028004</v>
      </c>
      <c r="K1554">
        <v>2.393100880811208</v>
      </c>
      <c r="L1554">
        <v>0</v>
      </c>
      <c r="M1554">
        <v>1.6529165074661083E-3</v>
      </c>
      <c r="N1554">
        <v>0.14438655243448062</v>
      </c>
      <c r="O1554">
        <v>2.103257543838442E-2</v>
      </c>
      <c r="P1554">
        <v>2.8074863807353169E-2</v>
      </c>
      <c r="Q1554">
        <v>5.4295739906798758E-3</v>
      </c>
      <c r="R1554">
        <v>1.6305725327516616E-3</v>
      </c>
      <c r="S1554">
        <v>0.2598835294034848</v>
      </c>
      <c r="T1554">
        <v>1.3628891095125995</v>
      </c>
      <c r="U1554">
        <v>0.21121640876935177</v>
      </c>
      <c r="V1554">
        <v>0.24426615140220626</v>
      </c>
      <c r="W1554">
        <v>9.5617954814035538E-2</v>
      </c>
      <c r="X1554">
        <v>1.5888624297288167E-2</v>
      </c>
      <c r="Y1554">
        <v>4.4378809160590619E-3</v>
      </c>
    </row>
    <row r="1555" spans="1:25">
      <c r="A1555" s="1010"/>
      <c r="B1555" s="1351">
        <v>1305</v>
      </c>
      <c r="C1555" s="1014">
        <v>1.012345508826894</v>
      </c>
      <c r="D1555" s="1014">
        <v>0.98049183017469876</v>
      </c>
      <c r="E1555" s="1014">
        <v>1.0231073695994348</v>
      </c>
      <c r="F1555" s="1014">
        <v>1.0260735804840753</v>
      </c>
      <c r="G1555" s="1014">
        <v>1.0132778740598187</v>
      </c>
      <c r="H1555" s="1014">
        <v>1.0107810386314164</v>
      </c>
      <c r="I1555" s="1014">
        <v>1.0045881799073175</v>
      </c>
      <c r="K1555">
        <v>2.4545992315256573</v>
      </c>
      <c r="L1555">
        <v>0</v>
      </c>
      <c r="M1555">
        <v>1.5692231823225091E-3</v>
      </c>
      <c r="N1555">
        <v>0.15315198028261168</v>
      </c>
      <c r="O1555">
        <v>2.0834960645402963E-2</v>
      </c>
      <c r="P1555">
        <v>2.9490871608256985E-2</v>
      </c>
      <c r="Q1555">
        <v>5.579382583721636E-3</v>
      </c>
      <c r="R1555">
        <v>1.5487307340525576E-3</v>
      </c>
      <c r="S1555">
        <v>0.26029410800782449</v>
      </c>
      <c r="T1555">
        <v>1.4079161045648654</v>
      </c>
      <c r="U1555">
        <v>0.2094665405042852</v>
      </c>
      <c r="V1555">
        <v>0.24695415866250905</v>
      </c>
      <c r="W1555">
        <v>9.9250464077498282E-2</v>
      </c>
      <c r="X1555">
        <v>1.7466018517811769E-2</v>
      </c>
      <c r="Y1555">
        <v>4.2151345191417918E-3</v>
      </c>
    </row>
    <row r="1556" spans="1:25">
      <c r="A1556" s="1010"/>
      <c r="B1556" s="1351">
        <v>1306</v>
      </c>
      <c r="C1556" s="1014">
        <v>1.0127732722398879</v>
      </c>
      <c r="D1556" s="1014">
        <v>0.98800398222195063</v>
      </c>
      <c r="E1556" s="1014">
        <v>1.0137725340484742</v>
      </c>
      <c r="F1556" s="1014">
        <v>0.97528175633883929</v>
      </c>
      <c r="G1556" s="1014">
        <v>0.95846092203184552</v>
      </c>
      <c r="H1556" s="1014">
        <v>1.0376972862604439</v>
      </c>
      <c r="I1556" s="1014">
        <v>1.0129953213379963</v>
      </c>
      <c r="K1556">
        <v>2.3812103121819623</v>
      </c>
      <c r="L1556">
        <v>0</v>
      </c>
      <c r="M1556">
        <v>1.6391502240351982E-3</v>
      </c>
      <c r="N1556">
        <v>0.15558726360052844</v>
      </c>
      <c r="O1556">
        <v>2.0785069339850686E-2</v>
      </c>
      <c r="P1556">
        <v>2.8240993919418686E-2</v>
      </c>
      <c r="Q1556">
        <v>5.5145634627628949E-3</v>
      </c>
      <c r="R1556">
        <v>1.6182998286539477E-3</v>
      </c>
      <c r="S1556">
        <v>0.26357848428510211</v>
      </c>
      <c r="T1556">
        <v>1.3380250143453953</v>
      </c>
      <c r="U1556">
        <v>0.20934647339062962</v>
      </c>
      <c r="V1556">
        <v>0.23760407557105154</v>
      </c>
      <c r="W1556">
        <v>0.10138150527004991</v>
      </c>
      <c r="X1556">
        <v>1.676324073135076E-2</v>
      </c>
      <c r="Y1556">
        <v>4.4044786612009038E-3</v>
      </c>
    </row>
    <row r="1557" spans="1:25">
      <c r="A1557" s="1010"/>
      <c r="B1557" s="1351">
        <v>1307</v>
      </c>
      <c r="C1557" s="1014">
        <v>1.0053650602755475</v>
      </c>
      <c r="D1557" s="1014">
        <v>0.96193371469649525</v>
      </c>
      <c r="E1557" s="1014">
        <v>0.98696451492626558</v>
      </c>
      <c r="F1557" s="1014">
        <v>1.0426541426489191</v>
      </c>
      <c r="G1557" s="1014">
        <v>1.0228102019783734</v>
      </c>
      <c r="H1557" s="1014">
        <v>0.9782252266283934</v>
      </c>
      <c r="I1557" s="1014">
        <v>0.98451932808288534</v>
      </c>
      <c r="K1557">
        <v>2.4628796246364955</v>
      </c>
      <c r="L1557">
        <v>0</v>
      </c>
      <c r="M1557">
        <v>1.6553196257820958E-3</v>
      </c>
      <c r="N1557">
        <v>0.14478482543370033</v>
      </c>
      <c r="O1557">
        <v>2.1043922200302254E-2</v>
      </c>
      <c r="P1557">
        <v>2.9000702786736606E-2</v>
      </c>
      <c r="Q1557">
        <v>5.4348267160204992E-3</v>
      </c>
      <c r="R1557">
        <v>1.6329834291451645E-3</v>
      </c>
      <c r="S1557">
        <v>0.25631831456456733</v>
      </c>
      <c r="T1557">
        <v>1.4298510970898373</v>
      </c>
      <c r="U1557">
        <v>0.21079792901861455</v>
      </c>
      <c r="V1557">
        <v>0.2491420062887264</v>
      </c>
      <c r="W1557">
        <v>9.5857389407381893E-2</v>
      </c>
      <c r="X1557">
        <v>1.6226504745954305E-2</v>
      </c>
      <c r="Y1557">
        <v>4.444442581290395E-3</v>
      </c>
    </row>
    <row r="1558" spans="1:25">
      <c r="A1558" s="1010"/>
      <c r="B1558" s="1351">
        <v>1308</v>
      </c>
      <c r="C1558" s="1014">
        <v>1.0357059374693822</v>
      </c>
      <c r="D1558" s="1014">
        <v>1.0092469138219979</v>
      </c>
      <c r="E1558" s="1014">
        <v>0.99114444873244811</v>
      </c>
      <c r="F1558" s="1014">
        <v>0.97092257908997304</v>
      </c>
      <c r="G1558" s="1014">
        <v>1.0081689539075058</v>
      </c>
      <c r="H1558" s="1014">
        <v>0.97780762710424185</v>
      </c>
      <c r="I1558" s="1014">
        <v>0.9996795764531009</v>
      </c>
      <c r="K1558">
        <v>2.3320620780880637</v>
      </c>
      <c r="L1558">
        <v>0</v>
      </c>
      <c r="M1558">
        <v>1.5755680066149296E-3</v>
      </c>
      <c r="N1558">
        <v>0.13956119880525458</v>
      </c>
      <c r="O1558">
        <v>2.0215469751438158E-2</v>
      </c>
      <c r="P1558">
        <v>2.7485628556422111E-2</v>
      </c>
      <c r="Q1558">
        <v>5.2429857877349731E-3</v>
      </c>
      <c r="R1558">
        <v>1.5542988655659006E-3</v>
      </c>
      <c r="S1558">
        <v>0.24659020214696839</v>
      </c>
      <c r="T1558">
        <v>1.331569092519183</v>
      </c>
      <c r="U1558">
        <v>0.20463640120896642</v>
      </c>
      <c r="V1558">
        <v>0.24480764604744693</v>
      </c>
      <c r="W1558">
        <v>9.2167740068361662E-2</v>
      </c>
      <c r="X1558">
        <v>1.5576693199747967E-2</v>
      </c>
      <c r="Y1558">
        <v>4.2302891375870511E-3</v>
      </c>
    </row>
    <row r="1559" spans="1:25">
      <c r="A1559" s="1010"/>
      <c r="B1559" s="1351">
        <v>1309</v>
      </c>
      <c r="C1559" s="1014">
        <v>0.98887811108986201</v>
      </c>
      <c r="D1559" s="1014">
        <v>0.98474966750321302</v>
      </c>
      <c r="E1559" s="1014">
        <v>0.99588309598231162</v>
      </c>
      <c r="F1559" s="1014">
        <v>0.99152134043831497</v>
      </c>
      <c r="G1559" s="1014">
        <v>0.97974062527701056</v>
      </c>
      <c r="H1559" s="1014">
        <v>1.0378480541296484</v>
      </c>
      <c r="I1559" s="1014">
        <v>0.98028339045654267</v>
      </c>
      <c r="K1559">
        <v>2.4148116166165283</v>
      </c>
      <c r="L1559">
        <v>0</v>
      </c>
      <c r="M1559">
        <v>1.7437909461838221E-3</v>
      </c>
      <c r="N1559">
        <v>0.1568144765092129</v>
      </c>
      <c r="O1559">
        <v>2.1290718591113145E-2</v>
      </c>
      <c r="P1559">
        <v>2.8276960751488969E-2</v>
      </c>
      <c r="Q1559">
        <v>5.5483166198500829E-3</v>
      </c>
      <c r="R1559">
        <v>1.7216127172848231E-3</v>
      </c>
      <c r="S1559">
        <v>0.26152555004110972</v>
      </c>
      <c r="T1559">
        <v>1.359920692937449</v>
      </c>
      <c r="U1559">
        <v>0.21434321841963563</v>
      </c>
      <c r="V1559">
        <v>0.24278747942034368</v>
      </c>
      <c r="W1559">
        <v>0.10326923786420859</v>
      </c>
      <c r="X1559">
        <v>1.6371481404043278E-2</v>
      </c>
      <c r="Y1559">
        <v>4.6856622869695629E-3</v>
      </c>
    </row>
    <row r="1560" spans="1:25">
      <c r="A1560" s="1010"/>
      <c r="B1560" s="1351">
        <v>1310</v>
      </c>
      <c r="C1560" s="1014">
        <v>0.99527480819825664</v>
      </c>
      <c r="D1560" s="1014">
        <v>1.0117635734500814</v>
      </c>
      <c r="E1560" s="1014">
        <v>0.9751964966283001</v>
      </c>
      <c r="F1560" s="1014">
        <v>0.96604426624150008</v>
      </c>
      <c r="G1560" s="1014">
        <v>0.9809607786224307</v>
      </c>
      <c r="H1560" s="1014">
        <v>0.9826458432465156</v>
      </c>
      <c r="I1560" s="1014">
        <v>0.98043349156545145</v>
      </c>
      <c r="K1560">
        <v>2.3445961310122221</v>
      </c>
      <c r="L1560">
        <v>0</v>
      </c>
      <c r="M1560">
        <v>1.702021980187491E-3</v>
      </c>
      <c r="N1560">
        <v>0.1436715570455791</v>
      </c>
      <c r="O1560">
        <v>2.1014582747514891E-2</v>
      </c>
      <c r="P1560">
        <v>2.7211306289976131E-2</v>
      </c>
      <c r="Q1560">
        <v>5.362759265180715E-3</v>
      </c>
      <c r="R1560">
        <v>1.6791589199082651E-3</v>
      </c>
      <c r="S1560">
        <v>0.2516306352916467</v>
      </c>
      <c r="T1560">
        <v>1.3245466830332033</v>
      </c>
      <c r="U1560">
        <v>0.21289473747958818</v>
      </c>
      <c r="V1560">
        <v>0.24266361196734149</v>
      </c>
      <c r="W1560">
        <v>9.5798064079346865E-2</v>
      </c>
      <c r="X1560">
        <v>1.5254939827722734E-2</v>
      </c>
      <c r="Y1560">
        <v>4.5701170454011154E-3</v>
      </c>
    </row>
    <row r="1561" spans="1:25">
      <c r="A1561" s="1010"/>
      <c r="B1561" s="1351">
        <v>1311</v>
      </c>
      <c r="C1561" s="1014">
        <v>0.98830890666099136</v>
      </c>
      <c r="D1561" s="1014">
        <v>0.98031730621411051</v>
      </c>
      <c r="E1561" s="1014">
        <v>1.0172882870756046</v>
      </c>
      <c r="F1561" s="1014">
        <v>1.0161363007108242</v>
      </c>
      <c r="G1561" s="1014">
        <v>0.99804488013855552</v>
      </c>
      <c r="H1561" s="1014">
        <v>0.98582016347192536</v>
      </c>
      <c r="I1561" s="1014">
        <v>1.0098955989782921</v>
      </c>
      <c r="K1561">
        <v>2.4493635991132701</v>
      </c>
      <c r="L1561">
        <v>0</v>
      </c>
      <c r="M1561">
        <v>1.5868533111986984E-3</v>
      </c>
      <c r="N1561">
        <v>0.15212663789886408</v>
      </c>
      <c r="O1561">
        <v>2.1338585381050348E-2</v>
      </c>
      <c r="P1561">
        <v>2.9306997346383548E-2</v>
      </c>
      <c r="Q1561">
        <v>5.6812900059854182E-3</v>
      </c>
      <c r="R1561">
        <v>1.5656059351652129E-3</v>
      </c>
      <c r="S1561">
        <v>0.26582747198775764</v>
      </c>
      <c r="T1561">
        <v>1.3941523746924613</v>
      </c>
      <c r="U1561">
        <v>0.21454077544884256</v>
      </c>
      <c r="V1561">
        <v>0.24587429495999985</v>
      </c>
      <c r="W1561">
        <v>9.8922141993083676E-2</v>
      </c>
      <c r="X1561">
        <v>1.735321352121192E-2</v>
      </c>
      <c r="Y1561">
        <v>4.2610632536618873E-3</v>
      </c>
    </row>
    <row r="1562" spans="1:25">
      <c r="A1562" s="1010"/>
      <c r="B1562" s="1351">
        <v>1312</v>
      </c>
      <c r="C1562" s="1014">
        <v>0.98096049942003716</v>
      </c>
      <c r="D1562" s="1014">
        <v>0.99918176471235243</v>
      </c>
      <c r="E1562" s="1014">
        <v>0.98203961551305985</v>
      </c>
      <c r="F1562" s="1014">
        <v>1.0181040183848802</v>
      </c>
      <c r="G1562" s="1014">
        <v>0.987835810613512</v>
      </c>
      <c r="H1562" s="1014">
        <v>1.0038819953672402</v>
      </c>
      <c r="I1562" s="1014">
        <v>1.0287502762955381</v>
      </c>
      <c r="K1562">
        <v>2.4548172654879101</v>
      </c>
      <c r="L1562">
        <v>0</v>
      </c>
      <c r="M1562">
        <v>1.7441906243405327E-3</v>
      </c>
      <c r="N1562">
        <v>0.15035490954340272</v>
      </c>
      <c r="O1562">
        <v>2.1384622600473403E-2</v>
      </c>
      <c r="P1562">
        <v>2.8653964563803327E-2</v>
      </c>
      <c r="Q1562">
        <v>5.4953088977381607E-3</v>
      </c>
      <c r="R1562">
        <v>1.7212567461844443E-3</v>
      </c>
      <c r="S1562">
        <v>0.27152310604851226</v>
      </c>
      <c r="T1562">
        <v>1.3960760106843395</v>
      </c>
      <c r="U1562">
        <v>0.21602508967353168</v>
      </c>
      <c r="V1562">
        <v>0.24472838141711872</v>
      </c>
      <c r="W1562">
        <v>9.9840571482008561E-2</v>
      </c>
      <c r="X1562">
        <v>1.6073541004156179E-2</v>
      </c>
      <c r="Y1562">
        <v>4.6846934509801744E-3</v>
      </c>
    </row>
    <row r="1563" spans="1:25">
      <c r="A1563" s="1010"/>
      <c r="B1563" s="1351">
        <v>1313</v>
      </c>
      <c r="C1563" s="1014">
        <v>0.99352136182111683</v>
      </c>
      <c r="D1563" s="1014">
        <v>1.0343793412654421</v>
      </c>
      <c r="E1563" s="1014">
        <v>1.0014584765502237</v>
      </c>
      <c r="F1563" s="1014">
        <v>1.0140697913056653</v>
      </c>
      <c r="G1563" s="1014">
        <v>0.99651129610247324</v>
      </c>
      <c r="H1563" s="1014">
        <v>0.97253216327448044</v>
      </c>
      <c r="I1563" s="1014">
        <v>0.98708709374294623</v>
      </c>
      <c r="K1563">
        <v>2.4166540100272438</v>
      </c>
      <c r="L1563">
        <v>0</v>
      </c>
      <c r="M1563">
        <v>1.5904158436719662E-3</v>
      </c>
      <c r="N1563">
        <v>0.14532578506002433</v>
      </c>
      <c r="O1563">
        <v>2.0966916179224433E-2</v>
      </c>
      <c r="P1563">
        <v>2.8687811101114197E-2</v>
      </c>
      <c r="Q1563">
        <v>5.4946643305248998E-3</v>
      </c>
      <c r="R1563">
        <v>1.5688298055943066E-3</v>
      </c>
      <c r="S1563">
        <v>0.25035834545593744</v>
      </c>
      <c r="T1563">
        <v>1.3909692612400766</v>
      </c>
      <c r="U1563">
        <v>0.21336065742664659</v>
      </c>
      <c r="V1563">
        <v>0.24533702182254813</v>
      </c>
      <c r="W1563">
        <v>9.5386488752808279E-2</v>
      </c>
      <c r="X1563">
        <v>1.6518807130195112E-2</v>
      </c>
      <c r="Y1563">
        <v>4.2698375662212793E-3</v>
      </c>
    </row>
    <row r="1564" spans="1:25">
      <c r="A1564" s="1010"/>
      <c r="B1564" s="1351">
        <v>1314</v>
      </c>
      <c r="C1564" s="1014">
        <v>0.98246231297616859</v>
      </c>
      <c r="D1564" s="1014">
        <v>1.0408999682964306</v>
      </c>
      <c r="E1564" s="1014">
        <v>0.97635215006446763</v>
      </c>
      <c r="F1564" s="1014">
        <v>1.0042331547890389</v>
      </c>
      <c r="G1564" s="1014">
        <v>1.0243820053336554</v>
      </c>
      <c r="H1564" s="1014">
        <v>1.0107947655270395</v>
      </c>
      <c r="I1564" s="1014">
        <v>0.99367744953619841</v>
      </c>
      <c r="K1564">
        <v>2.4240109820476494</v>
      </c>
      <c r="L1564">
        <v>0</v>
      </c>
      <c r="M1564">
        <v>1.758363021333129E-3</v>
      </c>
      <c r="N1564">
        <v>0.14900397407163871</v>
      </c>
      <c r="O1564">
        <v>2.1156855279166227E-2</v>
      </c>
      <c r="P1564">
        <v>2.8158821032198987E-2</v>
      </c>
      <c r="Q1564">
        <v>5.4054265609754263E-3</v>
      </c>
      <c r="R1564">
        <v>1.7354009122340346E-3</v>
      </c>
      <c r="S1564">
        <v>0.25712884766828092</v>
      </c>
      <c r="T1564">
        <v>1.3769325767185103</v>
      </c>
      <c r="U1564">
        <v>0.21567514707119087</v>
      </c>
      <c r="V1564">
        <v>0.2508967725159793</v>
      </c>
      <c r="W1564">
        <v>9.9284102314066799E-2</v>
      </c>
      <c r="X1564">
        <v>1.5668231716393515E-2</v>
      </c>
      <c r="Y1564">
        <v>4.7231892083440729E-3</v>
      </c>
    </row>
    <row r="1565" spans="1:25">
      <c r="A1565" s="1010"/>
      <c r="B1565" s="1351">
        <v>1315</v>
      </c>
      <c r="C1565" s="1014">
        <v>1.0280911402111574</v>
      </c>
      <c r="D1565" s="1014">
        <v>1.0065783692544603</v>
      </c>
      <c r="E1565" s="1014">
        <v>1.0002077535377787</v>
      </c>
      <c r="F1565" s="1014">
        <v>0.99126207809605671</v>
      </c>
      <c r="G1565" s="1014">
        <v>1.0022287564150085</v>
      </c>
      <c r="H1565" s="1014">
        <v>1.036536319920538</v>
      </c>
      <c r="I1565" s="1014">
        <v>1.0362740501554515</v>
      </c>
      <c r="K1565">
        <v>2.3970645321288253</v>
      </c>
      <c r="L1565">
        <v>0</v>
      </c>
      <c r="M1565">
        <v>1.6522159220453071E-3</v>
      </c>
      <c r="N1565">
        <v>0.15053124126939407</v>
      </c>
      <c r="O1565">
        <v>2.0382904302664231E-2</v>
      </c>
      <c r="P1565">
        <v>2.8292281206924029E-2</v>
      </c>
      <c r="Q1565">
        <v>5.3349079363619809E-3</v>
      </c>
      <c r="R1565">
        <v>1.6311757882494162E-3</v>
      </c>
      <c r="S1565">
        <v>0.26295479420108014</v>
      </c>
      <c r="T1565">
        <v>1.3596577827608027</v>
      </c>
      <c r="U1565">
        <v>0.20618220195997045</v>
      </c>
      <c r="V1565">
        <v>0.24420614999270387</v>
      </c>
      <c r="W1565">
        <v>9.8876583765166698E-2</v>
      </c>
      <c r="X1565">
        <v>1.6227202088890086E-2</v>
      </c>
      <c r="Y1565">
        <v>4.4395227786608281E-3</v>
      </c>
    </row>
    <row r="1566" spans="1:25">
      <c r="A1566" s="1010"/>
      <c r="B1566" s="1351">
        <v>1316</v>
      </c>
      <c r="C1566" s="1014">
        <v>1.0278549508431345</v>
      </c>
      <c r="D1566" s="1014">
        <v>0.96711872133684262</v>
      </c>
      <c r="E1566" s="1014">
        <v>1.0046416020165225</v>
      </c>
      <c r="F1566" s="1014">
        <v>1.0067611001970778</v>
      </c>
      <c r="G1566" s="1014">
        <v>0.97405123905218638</v>
      </c>
      <c r="H1566" s="1014">
        <v>1.0121990286903704</v>
      </c>
      <c r="I1566" s="1014">
        <v>0.95911709290897362</v>
      </c>
      <c r="K1566">
        <v>2.3946452928177737</v>
      </c>
      <c r="L1566">
        <v>0</v>
      </c>
      <c r="M1566">
        <v>1.6131439365612418E-3</v>
      </c>
      <c r="N1566">
        <v>0.14890691021655544</v>
      </c>
      <c r="O1566">
        <v>2.0570634271474889E-2</v>
      </c>
      <c r="P1566">
        <v>2.83868008093058E-2</v>
      </c>
      <c r="Q1566">
        <v>5.4080602517071084E-3</v>
      </c>
      <c r="R1566">
        <v>1.5921074395850319E-3</v>
      </c>
      <c r="S1566">
        <v>0.24642904048683548</v>
      </c>
      <c r="T1566">
        <v>1.3810135012429203</v>
      </c>
      <c r="U1566">
        <v>0.2062443310673415</v>
      </c>
      <c r="V1566">
        <v>0.23939279962917423</v>
      </c>
      <c r="W1566">
        <v>9.7552719542819966E-2</v>
      </c>
      <c r="X1566">
        <v>1.6428340184138742E-2</v>
      </c>
      <c r="Y1566">
        <v>4.3331916124740508E-3</v>
      </c>
    </row>
    <row r="1567" spans="1:25">
      <c r="A1567" s="1010"/>
      <c r="B1567" s="1351">
        <v>1317</v>
      </c>
      <c r="C1567" s="1014">
        <v>1.034796728563588</v>
      </c>
      <c r="D1567" s="1014">
        <v>1.0268376896296183</v>
      </c>
      <c r="E1567" s="1014">
        <v>1.0136188790468343</v>
      </c>
      <c r="F1567" s="1014">
        <v>0.97094612259833546</v>
      </c>
      <c r="G1567" s="1014">
        <v>1.0047131956237589</v>
      </c>
      <c r="H1567" s="1014">
        <v>0.98531433915402744</v>
      </c>
      <c r="I1567" s="1014">
        <v>1.0095992113996051</v>
      </c>
      <c r="K1567">
        <v>2.3395711804295392</v>
      </c>
      <c r="L1567">
        <v>0</v>
      </c>
      <c r="M1567">
        <v>1.5108985134965427E-3</v>
      </c>
      <c r="N1567">
        <v>0.14324899761103141</v>
      </c>
      <c r="O1567">
        <v>2.0170797289953576E-2</v>
      </c>
      <c r="P1567">
        <v>2.7968970988196045E-2</v>
      </c>
      <c r="Q1567">
        <v>5.3507684137206867E-3</v>
      </c>
      <c r="R1567">
        <v>1.4906577584420677E-3</v>
      </c>
      <c r="S1567">
        <v>0.24790462974407956</v>
      </c>
      <c r="T1567">
        <v>1.3320735630001057</v>
      </c>
      <c r="U1567">
        <v>0.20489046853270504</v>
      </c>
      <c r="V1567">
        <v>0.24418868073207092</v>
      </c>
      <c r="W1567">
        <v>9.3350257389439181E-2</v>
      </c>
      <c r="X1567">
        <v>1.6387208460009042E-2</v>
      </c>
      <c r="Y1567">
        <v>4.057079023281303E-3</v>
      </c>
    </row>
    <row r="1568" spans="1:25">
      <c r="A1568" s="1010"/>
      <c r="B1568" s="1351">
        <v>1318</v>
      </c>
      <c r="C1568" s="1014">
        <v>0.99879187109352841</v>
      </c>
      <c r="D1568" s="1014">
        <v>0.99758242019882504</v>
      </c>
      <c r="E1568" s="1014">
        <v>0.99997063295593958</v>
      </c>
      <c r="F1568" s="1014">
        <v>1.0088836127884833</v>
      </c>
      <c r="G1568" s="1014">
        <v>0.99840814596788041</v>
      </c>
      <c r="H1568" s="1014">
        <v>0.98867578088231378</v>
      </c>
      <c r="I1568" s="1014">
        <v>1.0139443765360991</v>
      </c>
      <c r="K1568">
        <v>2.4245125114770714</v>
      </c>
      <c r="L1568">
        <v>0</v>
      </c>
      <c r="M1568">
        <v>1.6261632591725395E-3</v>
      </c>
      <c r="N1568">
        <v>0.14795907161750568</v>
      </c>
      <c r="O1568">
        <v>2.1022151591300334E-2</v>
      </c>
      <c r="P1568">
        <v>2.870034979600989E-2</v>
      </c>
      <c r="Q1568">
        <v>5.5009097380314996E-3</v>
      </c>
      <c r="R1568">
        <v>1.6044524271405596E-3</v>
      </c>
      <c r="S1568">
        <v>0.26188367843928501</v>
      </c>
      <c r="T1568">
        <v>1.3838230649463406</v>
      </c>
      <c r="U1568">
        <v>0.21222968537702508</v>
      </c>
      <c r="V1568">
        <v>0.24533485033837962</v>
      </c>
      <c r="W1568">
        <v>9.7200748488604216E-2</v>
      </c>
      <c r="X1568">
        <v>1.6512921377544423E-2</v>
      </c>
      <c r="Y1568">
        <v>4.3667905990761435E-3</v>
      </c>
    </row>
    <row r="1569" spans="1:25">
      <c r="A1569" s="1010"/>
      <c r="B1569" s="1351">
        <v>1319</v>
      </c>
      <c r="C1569" s="1014">
        <v>1.0294012526989993</v>
      </c>
      <c r="D1569" s="1014">
        <v>0.99096212501325176</v>
      </c>
      <c r="E1569" s="1014">
        <v>1.0276711399514986</v>
      </c>
      <c r="F1569" s="1014">
        <v>1.0185218014169151</v>
      </c>
      <c r="G1569" s="1014">
        <v>1.0073970437384476</v>
      </c>
      <c r="H1569" s="1014">
        <v>0.99045271531153112</v>
      </c>
      <c r="I1569" s="1014">
        <v>1.0249760318858641</v>
      </c>
      <c r="K1569">
        <v>2.4267135566893425</v>
      </c>
      <c r="L1569">
        <v>0</v>
      </c>
      <c r="M1569">
        <v>1.4943877961410966E-3</v>
      </c>
      <c r="N1569">
        <v>0.14782919752629467</v>
      </c>
      <c r="O1569">
        <v>2.044488861179497E-2</v>
      </c>
      <c r="P1569">
        <v>2.9339083781844379E-2</v>
      </c>
      <c r="Q1569">
        <v>5.4997479814458787E-3</v>
      </c>
      <c r="R1569">
        <v>1.4744720866004795E-3</v>
      </c>
      <c r="S1569">
        <v>0.25809931912381595</v>
      </c>
      <c r="T1569">
        <v>1.3976550438055719</v>
      </c>
      <c r="U1569">
        <v>0.20601118472262478</v>
      </c>
      <c r="V1569">
        <v>0.2449127632095193</v>
      </c>
      <c r="W1569">
        <v>9.5546649323811655E-2</v>
      </c>
      <c r="X1569">
        <v>1.7382567352022225E-2</v>
      </c>
      <c r="Y1569">
        <v>4.0130269601337887E-3</v>
      </c>
    </row>
    <row r="1570" spans="1:25">
      <c r="A1570" s="1010"/>
      <c r="B1570" s="1351">
        <v>1320</v>
      </c>
      <c r="C1570" s="1014">
        <v>1.0248553669675051</v>
      </c>
      <c r="D1570" s="1014">
        <v>0.98797992056578965</v>
      </c>
      <c r="E1570" s="1014">
        <v>1.0155795796575757</v>
      </c>
      <c r="F1570" s="1014">
        <v>1.025485499157772</v>
      </c>
      <c r="G1570" s="1014">
        <v>1.0102739499247508</v>
      </c>
      <c r="H1570" s="1014">
        <v>0.99465981694871042</v>
      </c>
      <c r="I1570" s="1014">
        <v>1.0293643887726875</v>
      </c>
      <c r="K1570">
        <v>2.4405767964661247</v>
      </c>
      <c r="L1570">
        <v>0</v>
      </c>
      <c r="M1570">
        <v>1.5468316885304712E-3</v>
      </c>
      <c r="N1570">
        <v>0.14754504702883031</v>
      </c>
      <c r="O1570">
        <v>2.0541318669884553E-2</v>
      </c>
      <c r="P1570">
        <v>2.9272375555223329E-2</v>
      </c>
      <c r="Q1570">
        <v>5.459721212853908E-3</v>
      </c>
      <c r="R1570">
        <v>1.5263042525875585E-3</v>
      </c>
      <c r="S1570">
        <v>0.26100976726605379</v>
      </c>
      <c r="T1570">
        <v>1.4069415766653426</v>
      </c>
      <c r="U1570">
        <v>0.20688451323457629</v>
      </c>
      <c r="V1570">
        <v>0.24571588586514806</v>
      </c>
      <c r="W1570">
        <v>9.6039138733243934E-2</v>
      </c>
      <c r="X1570">
        <v>1.7033882641431207E-2</v>
      </c>
      <c r="Y1570">
        <v>4.154097029481693E-3</v>
      </c>
    </row>
    <row r="1571" spans="1:25">
      <c r="A1571" s="1010"/>
      <c r="B1571" s="1351">
        <v>1321</v>
      </c>
      <c r="C1571" s="1014">
        <v>0.99152818545152055</v>
      </c>
      <c r="D1571" s="1014">
        <v>1.0031626862182945</v>
      </c>
      <c r="E1571" s="1014">
        <v>0.98434534540493979</v>
      </c>
      <c r="F1571" s="1014">
        <v>0.97839692274397738</v>
      </c>
      <c r="G1571" s="1014">
        <v>1.0008601010962501</v>
      </c>
      <c r="H1571" s="1014">
        <v>1.011698653378903</v>
      </c>
      <c r="I1571" s="1014">
        <v>1.0352501711153772</v>
      </c>
      <c r="K1571">
        <v>2.3968384296485383</v>
      </c>
      <c r="L1571">
        <v>0</v>
      </c>
      <c r="M1571">
        <v>1.7292482142452199E-3</v>
      </c>
      <c r="N1571">
        <v>0.15012561129068611</v>
      </c>
      <c r="O1571">
        <v>2.113974453515978E-2</v>
      </c>
      <c r="P1571">
        <v>2.794636581263369E-2</v>
      </c>
      <c r="Q1571">
        <v>5.4451046984125492E-3</v>
      </c>
      <c r="R1571">
        <v>1.706686485040403E-3</v>
      </c>
      <c r="S1571">
        <v>0.27050229636571854</v>
      </c>
      <c r="T1571">
        <v>1.3416762448199333</v>
      </c>
      <c r="U1571">
        <v>0.21373062640375151</v>
      </c>
      <c r="V1571">
        <v>0.24626758302641599</v>
      </c>
      <c r="W1571">
        <v>9.9549965261460122E-2</v>
      </c>
      <c r="X1571">
        <v>1.5832411160340412E-2</v>
      </c>
      <c r="Y1571">
        <v>4.6450380032313889E-3</v>
      </c>
    </row>
    <row r="1572" spans="1:25">
      <c r="A1572" s="1010"/>
      <c r="B1572" s="1351">
        <v>1322</v>
      </c>
      <c r="C1572" s="1014">
        <v>0.99474122282173105</v>
      </c>
      <c r="D1572" s="1014">
        <v>1.009622298880565</v>
      </c>
      <c r="E1572" s="1014">
        <v>1.0266572419941788</v>
      </c>
      <c r="F1572" s="1014">
        <v>1.0099709171862001</v>
      </c>
      <c r="G1572" s="1014">
        <v>0.96511599697056716</v>
      </c>
      <c r="H1572" s="1014">
        <v>1.0040740871750198</v>
      </c>
      <c r="I1572" s="1014">
        <v>1.0241661016417583</v>
      </c>
      <c r="K1572">
        <v>2.4363944481647652</v>
      </c>
      <c r="L1572">
        <v>0</v>
      </c>
      <c r="M1572">
        <v>1.564604776917253E-3</v>
      </c>
      <c r="N1572">
        <v>0.15433109837355902</v>
      </c>
      <c r="O1572">
        <v>2.1069922653280858E-2</v>
      </c>
      <c r="P1572">
        <v>2.9286878056729099E-2</v>
      </c>
      <c r="Q1572">
        <v>5.6621966822858081E-3</v>
      </c>
      <c r="R1572">
        <v>1.5440361589820826E-3</v>
      </c>
      <c r="S1572">
        <v>0.26557824365475607</v>
      </c>
      <c r="T1572">
        <v>1.3858989245619076</v>
      </c>
      <c r="U1572">
        <v>0.21318578819651476</v>
      </c>
      <c r="V1572">
        <v>0.23981414140669177</v>
      </c>
      <c r="W1572">
        <v>9.9807886649119743E-2</v>
      </c>
      <c r="X1572">
        <v>1.7577579114487818E-2</v>
      </c>
      <c r="Y1572">
        <v>4.2023574333662139E-3</v>
      </c>
    </row>
    <row r="1573" spans="1:25">
      <c r="A1573" s="1010"/>
      <c r="B1573" s="1351">
        <v>1323</v>
      </c>
      <c r="C1573" s="1014">
        <v>0.98894952763350519</v>
      </c>
      <c r="D1573" s="1014">
        <v>1.013170409933299</v>
      </c>
      <c r="E1573" s="1014">
        <v>1.0021375733955113</v>
      </c>
      <c r="F1573" s="1014">
        <v>1.011916536753809</v>
      </c>
      <c r="G1573" s="1014">
        <v>0.97800138285817928</v>
      </c>
      <c r="H1573" s="1014">
        <v>0.9829240027257875</v>
      </c>
      <c r="I1573" s="1014">
        <v>0.97295246569509541</v>
      </c>
      <c r="K1573">
        <v>2.4181800601153536</v>
      </c>
      <c r="L1573">
        <v>0</v>
      </c>
      <c r="M1573">
        <v>1.6199336106331173E-3</v>
      </c>
      <c r="N1573">
        <v>0.14834854652788787</v>
      </c>
      <c r="O1573">
        <v>2.1160522406216953E-2</v>
      </c>
      <c r="P1573">
        <v>2.8650240681827092E-2</v>
      </c>
      <c r="Q1573">
        <v>5.5491843585862887E-3</v>
      </c>
      <c r="R1573">
        <v>1.5981793917380946E-3</v>
      </c>
      <c r="S1573">
        <v>0.25136988907509</v>
      </c>
      <c r="T1573">
        <v>1.3880305743445274</v>
      </c>
      <c r="U1573">
        <v>0.21434935450870865</v>
      </c>
      <c r="V1573">
        <v>0.24246417216818636</v>
      </c>
      <c r="W1573">
        <v>9.7331281119011251E-2</v>
      </c>
      <c r="X1573">
        <v>1.659833167958762E-2</v>
      </c>
      <c r="Y1573">
        <v>4.3497174646161992E-3</v>
      </c>
    </row>
    <row r="1574" spans="1:25">
      <c r="A1574" s="1010"/>
      <c r="B1574" s="1351">
        <v>1324</v>
      </c>
      <c r="C1574" s="1014">
        <v>1.012820455800741</v>
      </c>
      <c r="D1574" s="1014">
        <v>1.0064697006257262</v>
      </c>
      <c r="E1574" s="1014">
        <v>1.0291102399416638</v>
      </c>
      <c r="F1574" s="1014">
        <v>1.0231142177500239</v>
      </c>
      <c r="G1574" s="1014">
        <v>1.0195338182167242</v>
      </c>
      <c r="H1574" s="1014">
        <v>0.98555038975682452</v>
      </c>
      <c r="I1574" s="1014">
        <v>1.0151381142545601</v>
      </c>
      <c r="K1574">
        <v>2.4416801430908639</v>
      </c>
      <c r="L1574">
        <v>0</v>
      </c>
      <c r="M1574">
        <v>1.5016716723595428E-3</v>
      </c>
      <c r="N1574">
        <v>0.14918564126527106</v>
      </c>
      <c r="O1574">
        <v>2.0709671343481575E-2</v>
      </c>
      <c r="P1574">
        <v>2.9537834961076287E-2</v>
      </c>
      <c r="Q1574">
        <v>5.5789146920973637E-3</v>
      </c>
      <c r="R1574">
        <v>1.4815593429886068E-3</v>
      </c>
      <c r="S1574">
        <v>0.25738402603438626</v>
      </c>
      <c r="T1574">
        <v>1.4039889560904715</v>
      </c>
      <c r="U1574">
        <v>0.20938865391833308</v>
      </c>
      <c r="V1574">
        <v>0.24797133979533476</v>
      </c>
      <c r="W1574">
        <v>9.6342744937165423E-2</v>
      </c>
      <c r="X1574">
        <v>1.758015624690773E-2</v>
      </c>
      <c r="Y1574">
        <v>4.0323161357088315E-3</v>
      </c>
    </row>
    <row r="1575" spans="1:25">
      <c r="A1575" s="1010"/>
      <c r="B1575" s="1351">
        <v>1325</v>
      </c>
      <c r="C1575" s="1014">
        <v>0.987989975576685</v>
      </c>
      <c r="D1575" s="1014">
        <v>1.0314470731174521</v>
      </c>
      <c r="E1575" s="1014">
        <v>1.0057837452535556</v>
      </c>
      <c r="F1575" s="1014">
        <v>0.98391701304185131</v>
      </c>
      <c r="G1575" s="1014">
        <v>1.0237898679103854</v>
      </c>
      <c r="H1575" s="1014">
        <v>1.0414253696793738</v>
      </c>
      <c r="I1575" s="1014">
        <v>0.9747243337520104</v>
      </c>
      <c r="K1575">
        <v>2.4059589016775385</v>
      </c>
      <c r="L1575">
        <v>0</v>
      </c>
      <c r="M1575">
        <v>1.6983693189333245E-3</v>
      </c>
      <c r="N1575">
        <v>0.15737397212815149</v>
      </c>
      <c r="O1575">
        <v>2.1100361670281245E-2</v>
      </c>
      <c r="P1575">
        <v>2.8359586719385321E-2</v>
      </c>
      <c r="Q1575">
        <v>5.5536805860227131E-3</v>
      </c>
      <c r="R1575">
        <v>1.6768429786619267E-3</v>
      </c>
      <c r="S1575">
        <v>0.25473698420323321</v>
      </c>
      <c r="T1575">
        <v>1.3497017058144318</v>
      </c>
      <c r="U1575">
        <v>0.21457015687565262</v>
      </c>
      <c r="V1575">
        <v>0.25033095023481927</v>
      </c>
      <c r="W1575">
        <v>0.10303003195044066</v>
      </c>
      <c r="X1575">
        <v>1.6659184018614423E-2</v>
      </c>
      <c r="Y1575">
        <v>4.5638138167784096E-3</v>
      </c>
    </row>
    <row r="1576" spans="1:25">
      <c r="A1576" s="1010"/>
      <c r="B1576" s="1351">
        <v>1326</v>
      </c>
      <c r="C1576" s="1014">
        <v>1.029125425557611</v>
      </c>
      <c r="D1576" s="1014">
        <v>1.0057371331536977</v>
      </c>
      <c r="E1576" s="1014">
        <v>1.0090742009097389</v>
      </c>
      <c r="F1576" s="1014">
        <v>1.0031024017067143</v>
      </c>
      <c r="G1576" s="1014">
        <v>0.99063115971680327</v>
      </c>
      <c r="H1576" s="1014">
        <v>1.0275561533944957</v>
      </c>
      <c r="I1576" s="1014">
        <v>1.0351908829726859</v>
      </c>
      <c r="K1576">
        <v>2.4099531665853751</v>
      </c>
      <c r="L1576">
        <v>0</v>
      </c>
      <c r="M1576">
        <v>1.6067114118105943E-3</v>
      </c>
      <c r="N1576">
        <v>0.15034134643164609</v>
      </c>
      <c r="O1576">
        <v>2.0371879863466971E-2</v>
      </c>
      <c r="P1576">
        <v>2.8658495534482291E-2</v>
      </c>
      <c r="Q1576">
        <v>5.3796329550033096E-3</v>
      </c>
      <c r="R1576">
        <v>1.5860719422132168E-3</v>
      </c>
      <c r="S1576">
        <v>0.26183095194992401</v>
      </c>
      <c r="T1576">
        <v>1.3760910203679646</v>
      </c>
      <c r="U1576">
        <v>0.20600445708509513</v>
      </c>
      <c r="V1576">
        <v>0.24213316028626933</v>
      </c>
      <c r="W1576">
        <v>9.8234715325223446E-2</v>
      </c>
      <c r="X1576">
        <v>1.661138127766993E-2</v>
      </c>
      <c r="Y1576">
        <v>4.3167649782291442E-3</v>
      </c>
    </row>
    <row r="1577" spans="1:25">
      <c r="A1577" s="1010"/>
      <c r="B1577" s="1351">
        <v>1327</v>
      </c>
      <c r="C1577" s="1014">
        <v>1.010754118130907</v>
      </c>
      <c r="D1577" s="1014">
        <v>1.0090474821591604</v>
      </c>
      <c r="E1577" s="1014">
        <v>1.0222114372136986</v>
      </c>
      <c r="F1577" s="1014">
        <v>1.015321725803751</v>
      </c>
      <c r="G1577" s="1014">
        <v>1.0078242077702984</v>
      </c>
      <c r="H1577" s="1014">
        <v>1.043438501745054</v>
      </c>
      <c r="I1577" s="1014">
        <v>0.99030406599448828</v>
      </c>
      <c r="K1577">
        <v>2.4415311137482258</v>
      </c>
      <c r="L1577">
        <v>0</v>
      </c>
      <c r="M1577">
        <v>1.6152686250485433E-3</v>
      </c>
      <c r="N1577">
        <v>0.15728556886774775</v>
      </c>
      <c r="O1577">
        <v>2.073579588926357E-2</v>
      </c>
      <c r="P1577">
        <v>2.9200683440332938E-2</v>
      </c>
      <c r="Q1577">
        <v>5.5478909114722421E-3</v>
      </c>
      <c r="R1577">
        <v>1.5948350612489815E-3</v>
      </c>
      <c r="S1577">
        <v>0.25604192607393234</v>
      </c>
      <c r="T1577">
        <v>1.39314329809255</v>
      </c>
      <c r="U1577">
        <v>0.20979329656724396</v>
      </c>
      <c r="V1577">
        <v>0.24612368052123787</v>
      </c>
      <c r="W1577">
        <v>0.10198257530729767</v>
      </c>
      <c r="X1577">
        <v>1.7356216341465443E-2</v>
      </c>
      <c r="Y1577">
        <v>4.3406152994830806E-3</v>
      </c>
    </row>
    <row r="1578" spans="1:25">
      <c r="A1578" s="1010"/>
      <c r="B1578" s="1351">
        <v>1328</v>
      </c>
      <c r="C1578" s="1014">
        <v>0.9611481813591819</v>
      </c>
      <c r="D1578" s="1014">
        <v>1.0135507171056424</v>
      </c>
      <c r="E1578" s="1014">
        <v>0.99279908413086637</v>
      </c>
      <c r="F1578" s="1014">
        <v>1.0456122437141466</v>
      </c>
      <c r="G1578" s="1014">
        <v>0.99106752288566979</v>
      </c>
      <c r="H1578" s="1014">
        <v>1.0178560414281115</v>
      </c>
      <c r="I1578" s="1014">
        <v>1.0294165049253023</v>
      </c>
      <c r="K1578">
        <v>2.5164604693948487</v>
      </c>
      <c r="L1578">
        <v>0</v>
      </c>
      <c r="M1578">
        <v>1.7596281827487721E-3</v>
      </c>
      <c r="N1578">
        <v>0.1567308672195801</v>
      </c>
      <c r="O1578">
        <v>2.17643692671304E-2</v>
      </c>
      <c r="P1578">
        <v>2.955845396786301E-2</v>
      </c>
      <c r="Q1578">
        <v>5.6541388540294561E-3</v>
      </c>
      <c r="R1578">
        <v>1.7368089641445954E-3</v>
      </c>
      <c r="S1578">
        <v>0.27669093109571768</v>
      </c>
      <c r="T1578">
        <v>1.4340393851681088</v>
      </c>
      <c r="U1578">
        <v>0.22051624152061219</v>
      </c>
      <c r="V1578">
        <v>0.2465531055403036</v>
      </c>
      <c r="W1578">
        <v>0.10340438843221531</v>
      </c>
      <c r="X1578">
        <v>1.6844386086409785E-2</v>
      </c>
      <c r="Y1578">
        <v>4.7270214614804316E-3</v>
      </c>
    </row>
    <row r="1579" spans="1:25">
      <c r="A1579" s="1010"/>
      <c r="B1579" s="1351">
        <v>1329</v>
      </c>
      <c r="C1579" s="1014">
        <v>0.96958458097453137</v>
      </c>
      <c r="D1579" s="1014">
        <v>1.0290945622391952</v>
      </c>
      <c r="E1579" s="1014">
        <v>1.0309516833173133</v>
      </c>
      <c r="F1579" s="1014">
        <v>1.0102701851307607</v>
      </c>
      <c r="G1579" s="1014">
        <v>0.96603979917347504</v>
      </c>
      <c r="H1579" s="1014">
        <v>0.9675975716986942</v>
      </c>
      <c r="I1579" s="1014">
        <v>1.0100550709251697</v>
      </c>
      <c r="K1579">
        <v>2.4392842725374773</v>
      </c>
      <c r="L1579">
        <v>0</v>
      </c>
      <c r="M1579">
        <v>1.5266771807791702E-3</v>
      </c>
      <c r="N1579">
        <v>0.15247571748384162</v>
      </c>
      <c r="O1579">
        <v>2.152887546033793E-2</v>
      </c>
      <c r="P1579">
        <v>2.9451497299920332E-2</v>
      </c>
      <c r="Q1579">
        <v>5.8101659013664944E-3</v>
      </c>
      <c r="R1579">
        <v>1.5058505670203467E-3</v>
      </c>
      <c r="S1579">
        <v>0.26299174333558767</v>
      </c>
      <c r="T1579">
        <v>1.3864039465593703</v>
      </c>
      <c r="U1579">
        <v>0.21873226847994731</v>
      </c>
      <c r="V1579">
        <v>0.24158579032153915</v>
      </c>
      <c r="W1579">
        <v>9.8362252197020217E-2</v>
      </c>
      <c r="X1579">
        <v>1.7864413272381162E-2</v>
      </c>
      <c r="Y1579">
        <v>4.0984288399233777E-3</v>
      </c>
    </row>
    <row r="1580" spans="1:25">
      <c r="A1580" s="1010"/>
      <c r="B1580" s="1351">
        <v>1330</v>
      </c>
      <c r="C1580" s="1014">
        <v>0.98980587777821305</v>
      </c>
      <c r="D1580" s="1014">
        <v>0.9669919253018403</v>
      </c>
      <c r="E1580" s="1014">
        <v>0.98778342528684704</v>
      </c>
      <c r="F1580" s="1014">
        <v>0.98988734849077231</v>
      </c>
      <c r="G1580" s="1014">
        <v>0.9908467420732141</v>
      </c>
      <c r="H1580" s="1014">
        <v>1.0388642159207033</v>
      </c>
      <c r="I1580" s="1014">
        <v>0.98864904618896421</v>
      </c>
      <c r="K1580">
        <v>2.4177278940289768</v>
      </c>
      <c r="L1580">
        <v>0</v>
      </c>
      <c r="M1580">
        <v>1.7804844787107836E-3</v>
      </c>
      <c r="N1580">
        <v>0.15624332211946795</v>
      </c>
      <c r="O1580">
        <v>2.1350624485761839E-2</v>
      </c>
      <c r="P1580">
        <v>2.8154706886368015E-2</v>
      </c>
      <c r="Q1580">
        <v>5.5186086553008721E-3</v>
      </c>
      <c r="R1580">
        <v>1.7578617168769598E-3</v>
      </c>
      <c r="S1580">
        <v>0.26593985691834199</v>
      </c>
      <c r="T1580">
        <v>1.357506469786649</v>
      </c>
      <c r="U1580">
        <v>0.21411437431492208</v>
      </c>
      <c r="V1580">
        <v>0.24465399373605776</v>
      </c>
      <c r="W1580">
        <v>0.10339285239765118</v>
      </c>
      <c r="X1580">
        <v>1.6091387375910135E-2</v>
      </c>
      <c r="Y1580">
        <v>4.7843201143798544E-3</v>
      </c>
    </row>
    <row r="1581" spans="1:25">
      <c r="A1581" s="1010"/>
      <c r="B1581" s="1351">
        <v>1331</v>
      </c>
      <c r="C1581" s="1014">
        <v>0.96625424714062935</v>
      </c>
      <c r="D1581" s="1014">
        <v>1.0137377068310021</v>
      </c>
      <c r="E1581" s="1014">
        <v>1.0005307728924655</v>
      </c>
      <c r="F1581" s="1014">
        <v>1.0087495582828641</v>
      </c>
      <c r="G1581" s="1014">
        <v>0.99049459150755936</v>
      </c>
      <c r="H1581" s="1014">
        <v>1.002220814427268</v>
      </c>
      <c r="I1581" s="1014">
        <v>0.96852437575053352</v>
      </c>
      <c r="K1581">
        <v>2.4402822803152726</v>
      </c>
      <c r="L1581">
        <v>0</v>
      </c>
      <c r="M1581">
        <v>1.6959682752997014E-3</v>
      </c>
      <c r="N1581">
        <v>0.15460001729984771</v>
      </c>
      <c r="O1581">
        <v>2.1653771088777522E-2</v>
      </c>
      <c r="P1581">
        <v>2.8760150089850608E-2</v>
      </c>
      <c r="Q1581">
        <v>5.6693776649189833E-3</v>
      </c>
      <c r="R1581">
        <v>1.6736314974762723E-3</v>
      </c>
      <c r="S1581">
        <v>0.25765879890968141</v>
      </c>
      <c r="T1581">
        <v>1.383651412177564</v>
      </c>
      <c r="U1581">
        <v>0.21937828470213955</v>
      </c>
      <c r="V1581">
        <v>0.24608506860073323</v>
      </c>
      <c r="W1581">
        <v>0.10152967466468905</v>
      </c>
      <c r="X1581">
        <v>1.6762988671235095E-2</v>
      </c>
      <c r="Y1581">
        <v>4.5550732236555461E-3</v>
      </c>
    </row>
    <row r="1582" spans="1:25">
      <c r="A1582" s="1010"/>
      <c r="B1582" s="1351">
        <v>1332</v>
      </c>
      <c r="C1582" s="1014">
        <v>0.98035401856154902</v>
      </c>
      <c r="D1582" s="1014">
        <v>1.0225808037377981</v>
      </c>
      <c r="E1582" s="1014">
        <v>1.0331856900237153</v>
      </c>
      <c r="F1582" s="1014">
        <v>1.0330650969836577</v>
      </c>
      <c r="G1582" s="1014">
        <v>0.97938415557229763</v>
      </c>
      <c r="H1582" s="1014">
        <v>1.0214826016179435</v>
      </c>
      <c r="I1582" s="1014">
        <v>1.0027722078190662</v>
      </c>
      <c r="K1582">
        <v>2.4832378072349215</v>
      </c>
      <c r="L1582">
        <v>0</v>
      </c>
      <c r="M1582">
        <v>1.588804747648062E-3</v>
      </c>
      <c r="N1582">
        <v>0.15986930388736731</v>
      </c>
      <c r="O1582">
        <v>2.1323652436790418E-2</v>
      </c>
      <c r="P1582">
        <v>2.9936079057403538E-2</v>
      </c>
      <c r="Q1582">
        <v>5.7674912296564046E-3</v>
      </c>
      <c r="R1582">
        <v>1.568273952326502E-3</v>
      </c>
      <c r="S1582">
        <v>0.26373815274164641</v>
      </c>
      <c r="T1582">
        <v>1.4177358594176743</v>
      </c>
      <c r="U1582">
        <v>0.21633726596587591</v>
      </c>
      <c r="V1582">
        <v>0.24314792115199832</v>
      </c>
      <c r="W1582">
        <v>0.10299842611069869</v>
      </c>
      <c r="X1582">
        <v>1.8135861314266977E-2</v>
      </c>
      <c r="Y1582">
        <v>4.2683247168632966E-3</v>
      </c>
    </row>
    <row r="1583" spans="1:25">
      <c r="A1583" s="1010"/>
      <c r="B1583" s="1351">
        <v>1333</v>
      </c>
      <c r="C1583" s="1014">
        <v>1.0382458787857616</v>
      </c>
      <c r="D1583" s="1014">
        <v>0.98933643480528011</v>
      </c>
      <c r="E1583" s="1014">
        <v>1.0018595546583453</v>
      </c>
      <c r="F1583" s="1014">
        <v>1.000392697001538</v>
      </c>
      <c r="G1583" s="1014">
        <v>1.0142296572777445</v>
      </c>
      <c r="H1583" s="1014">
        <v>1.0253875878883685</v>
      </c>
      <c r="I1583" s="1014">
        <v>0.99589131242185869</v>
      </c>
      <c r="K1583">
        <v>2.3935182077304544</v>
      </c>
      <c r="L1583">
        <v>0</v>
      </c>
      <c r="M1583">
        <v>1.6190648545431458E-3</v>
      </c>
      <c r="N1583">
        <v>0.14822802864695772</v>
      </c>
      <c r="O1583">
        <v>2.0261469770943653E-2</v>
      </c>
      <c r="P1583">
        <v>2.8334472510834614E-2</v>
      </c>
      <c r="Q1583">
        <v>5.3119316836269838E-3</v>
      </c>
      <c r="R1583">
        <v>1.5982227097891342E-3</v>
      </c>
      <c r="S1583">
        <v>0.25149859311341771</v>
      </c>
      <c r="T1583">
        <v>1.3722174801956093</v>
      </c>
      <c r="U1583">
        <v>0.20417104136056916</v>
      </c>
      <c r="V1583">
        <v>0.24565587847405743</v>
      </c>
      <c r="W1583">
        <v>9.7268255361462067E-2</v>
      </c>
      <c r="X1583">
        <v>1.624206339565646E-2</v>
      </c>
      <c r="Y1583">
        <v>4.3498353620713363E-3</v>
      </c>
    </row>
    <row r="1584" spans="1:25">
      <c r="A1584" s="1010"/>
      <c r="B1584" s="1351">
        <v>1334</v>
      </c>
      <c r="C1584" s="1014">
        <v>1.0325761021791444</v>
      </c>
      <c r="D1584" s="1014">
        <v>1.0073924301264665</v>
      </c>
      <c r="E1584" s="1014">
        <v>0.98389834985027536</v>
      </c>
      <c r="F1584" s="1014">
        <v>0.99213921139819805</v>
      </c>
      <c r="G1584" s="1014">
        <v>1.0084383699737647</v>
      </c>
      <c r="H1584" s="1014">
        <v>0.98589241669615824</v>
      </c>
      <c r="I1584" s="1014">
        <v>1.0144842218554531</v>
      </c>
      <c r="K1584">
        <v>2.3690598657026452</v>
      </c>
      <c r="L1584">
        <v>0</v>
      </c>
      <c r="M1584">
        <v>1.6181484202356787E-3</v>
      </c>
      <c r="N1584">
        <v>0.14024207056915117</v>
      </c>
      <c r="O1584">
        <v>2.0280310196752589E-2</v>
      </c>
      <c r="P1584">
        <v>2.7808514929215301E-2</v>
      </c>
      <c r="Q1584">
        <v>5.2213671713375953E-3</v>
      </c>
      <c r="R1584">
        <v>1.5964836021926648E-3</v>
      </c>
      <c r="S1584">
        <v>0.25184909366063357</v>
      </c>
      <c r="T1584">
        <v>1.3605114924056287</v>
      </c>
      <c r="U1584">
        <v>0.20523273361605665</v>
      </c>
      <c r="V1584">
        <v>0.2450630674514869</v>
      </c>
      <c r="W1584">
        <v>9.3021101065411366E-2</v>
      </c>
      <c r="X1584">
        <v>1.5506677370522344E-2</v>
      </c>
      <c r="Y1584">
        <v>4.3451020844904121E-3</v>
      </c>
    </row>
    <row r="1585" spans="1:25">
      <c r="A1585" s="1010"/>
      <c r="B1585" s="1351">
        <v>1335</v>
      </c>
      <c r="C1585" s="1014">
        <v>0.99589703173980326</v>
      </c>
      <c r="D1585" s="1014">
        <v>0.95580938089435485</v>
      </c>
      <c r="E1585" s="1014">
        <v>1.0180387680533833</v>
      </c>
      <c r="F1585" s="1014">
        <v>0.9790403527474193</v>
      </c>
      <c r="G1585" s="1014">
        <v>1.0001766880649627</v>
      </c>
      <c r="H1585" s="1014">
        <v>1.0044899583596525</v>
      </c>
      <c r="I1585" s="1014">
        <v>1.0247061762942709</v>
      </c>
      <c r="K1585">
        <v>2.4073321948787285</v>
      </c>
      <c r="L1585">
        <v>0</v>
      </c>
      <c r="M1585">
        <v>1.6110314908933641E-3</v>
      </c>
      <c r="N1585">
        <v>0.15483369422426449</v>
      </c>
      <c r="O1585">
        <v>2.1294782558613699E-2</v>
      </c>
      <c r="P1585">
        <v>2.8691458492524875E-2</v>
      </c>
      <c r="Q1585">
        <v>5.6738647854584906E-3</v>
      </c>
      <c r="R1585">
        <v>1.5898613061226955E-3</v>
      </c>
      <c r="S1585">
        <v>0.27278165987237157</v>
      </c>
      <c r="T1585">
        <v>1.3432721927701923</v>
      </c>
      <c r="U1585">
        <v>0.21290868907174582</v>
      </c>
      <c r="V1585">
        <v>0.24575437307042716</v>
      </c>
      <c r="W1585">
        <v>0.1006381589954523</v>
      </c>
      <c r="X1585">
        <v>1.717741284481954E-2</v>
      </c>
      <c r="Y1585">
        <v>4.3270783776272678E-3</v>
      </c>
    </row>
    <row r="1586" spans="1:25">
      <c r="A1586" s="1010"/>
      <c r="B1586" s="1351">
        <v>1336</v>
      </c>
      <c r="C1586" s="1014">
        <v>0.96706174336820472</v>
      </c>
      <c r="D1586" s="1014">
        <v>0.99179456771555985</v>
      </c>
      <c r="E1586" s="1014">
        <v>1.0355904653019339</v>
      </c>
      <c r="F1586" s="1014">
        <v>0.95637876230861218</v>
      </c>
      <c r="G1586" s="1014">
        <v>0.9930435479309272</v>
      </c>
      <c r="H1586" s="1014">
        <v>1.0274214877363266</v>
      </c>
      <c r="I1586" s="1014">
        <v>0.98772868103841593</v>
      </c>
      <c r="K1586">
        <v>2.3950648534523982</v>
      </c>
      <c r="L1586">
        <v>0</v>
      </c>
      <c r="M1586">
        <v>1.6227811541236167E-3</v>
      </c>
      <c r="N1586">
        <v>0.16448819045994983</v>
      </c>
      <c r="O1586">
        <v>2.176427420520766E-2</v>
      </c>
      <c r="P1586">
        <v>2.8660026231252127E-2</v>
      </c>
      <c r="Q1586">
        <v>5.9006469093407015E-3</v>
      </c>
      <c r="R1586">
        <v>1.6019325237662638E-3</v>
      </c>
      <c r="S1586">
        <v>0.267929455734564</v>
      </c>
      <c r="T1586">
        <v>1.3125447751192212</v>
      </c>
      <c r="U1586">
        <v>0.21931936814069164</v>
      </c>
      <c r="V1586">
        <v>0.24634551654471309</v>
      </c>
      <c r="W1586">
        <v>0.10582689954647485</v>
      </c>
      <c r="X1586">
        <v>1.7946616938560974E-2</v>
      </c>
      <c r="Y1586">
        <v>4.3599322527772362E-3</v>
      </c>
    </row>
    <row r="1587" spans="1:25">
      <c r="A1587" s="1010"/>
      <c r="B1587" s="1351">
        <v>1337</v>
      </c>
      <c r="C1587" s="1014">
        <v>1.0019101927477594</v>
      </c>
      <c r="D1587" s="1014">
        <v>0.99471208019722002</v>
      </c>
      <c r="E1587" s="1014">
        <v>0.99941124401724568</v>
      </c>
      <c r="F1587" s="1014">
        <v>1.0105627629750775</v>
      </c>
      <c r="G1587" s="1014">
        <v>1.0076003430702372</v>
      </c>
      <c r="H1587" s="1014">
        <v>1.0087997967421469</v>
      </c>
      <c r="I1587" s="1014">
        <v>1.0116919554835926</v>
      </c>
      <c r="K1587">
        <v>2.4326186192001611</v>
      </c>
      <c r="L1587">
        <v>0</v>
      </c>
      <c r="M1587">
        <v>1.6570692301733649E-3</v>
      </c>
      <c r="N1587">
        <v>0.15055713168940033</v>
      </c>
      <c r="O1587">
        <v>2.0969640827176089E-2</v>
      </c>
      <c r="P1587">
        <v>2.8739035470038334E-2</v>
      </c>
      <c r="Q1587">
        <v>5.4840841187694658E-3</v>
      </c>
      <c r="R1587">
        <v>1.6353871030995544E-3</v>
      </c>
      <c r="S1587">
        <v>0.26259192178989477</v>
      </c>
      <c r="T1587">
        <v>1.3861140254358204</v>
      </c>
      <c r="U1587">
        <v>0.21156723832533841</v>
      </c>
      <c r="V1587">
        <v>0.24671221202315566</v>
      </c>
      <c r="W1587">
        <v>9.894042442735268E-2</v>
      </c>
      <c r="X1587">
        <v>1.6513602630866139E-2</v>
      </c>
      <c r="Y1587">
        <v>4.4509845894233364E-3</v>
      </c>
    </row>
    <row r="1588" spans="1:25">
      <c r="A1588" s="1010"/>
      <c r="B1588" s="1351">
        <v>1338</v>
      </c>
      <c r="C1588" s="1014">
        <v>0.99040650464488411</v>
      </c>
      <c r="D1588" s="1014">
        <v>1.0082312968491365</v>
      </c>
      <c r="E1588" s="1014">
        <v>0.99623550811948802</v>
      </c>
      <c r="F1588" s="1014">
        <v>0.97202635201623622</v>
      </c>
      <c r="G1588" s="1014">
        <v>0.98560020782952851</v>
      </c>
      <c r="H1588" s="1014">
        <v>1.0054222430306703</v>
      </c>
      <c r="I1588" s="1014">
        <v>1.0093137514131993</v>
      </c>
      <c r="K1588">
        <v>2.3793209531204673</v>
      </c>
      <c r="L1588">
        <v>0</v>
      </c>
      <c r="M1588">
        <v>1.6767548825155072E-3</v>
      </c>
      <c r="N1588">
        <v>0.15088406474665653</v>
      </c>
      <c r="O1588">
        <v>2.1148174466165549E-2</v>
      </c>
      <c r="P1588">
        <v>2.7947388190319739E-2</v>
      </c>
      <c r="Q1588">
        <v>5.5131267942523108E-3</v>
      </c>
      <c r="R1588">
        <v>1.6547414731896395E-3</v>
      </c>
      <c r="S1588">
        <v>0.26291670698874026</v>
      </c>
      <c r="T1588">
        <v>1.3331897524052831</v>
      </c>
      <c r="U1588">
        <v>0.21401365988742613</v>
      </c>
      <c r="V1588">
        <v>0.24368963992680878</v>
      </c>
      <c r="W1588">
        <v>9.9342925706589841E-2</v>
      </c>
      <c r="X1588">
        <v>1.6193866612907885E-2</v>
      </c>
      <c r="Y1588">
        <v>4.503660804642165E-3</v>
      </c>
    </row>
    <row r="1589" spans="1:25">
      <c r="A1589" s="1010"/>
      <c r="B1589" s="1351">
        <v>1339</v>
      </c>
      <c r="C1589" s="1014">
        <v>1.0177377505923393</v>
      </c>
      <c r="D1589" s="1014">
        <v>1.0045655579586514</v>
      </c>
      <c r="E1589" s="1014">
        <v>0.97250952566213011</v>
      </c>
      <c r="F1589" s="1014">
        <v>0.99447807688926193</v>
      </c>
      <c r="G1589" s="1014">
        <v>0.98511527121561804</v>
      </c>
      <c r="H1589" s="1014">
        <v>1.0338151786061025</v>
      </c>
      <c r="I1589" s="1014">
        <v>1.0069163124785441</v>
      </c>
      <c r="K1589">
        <v>2.391487097110502</v>
      </c>
      <c r="L1589">
        <v>0</v>
      </c>
      <c r="M1589">
        <v>1.7636440507284225E-3</v>
      </c>
      <c r="N1589">
        <v>0.14776677767039717</v>
      </c>
      <c r="O1589">
        <v>2.0581322893085039E-2</v>
      </c>
      <c r="P1589">
        <v>2.7687967946758645E-2</v>
      </c>
      <c r="Q1589">
        <v>5.2378213015211597E-3</v>
      </c>
      <c r="R1589">
        <v>1.7411258206669888E-3</v>
      </c>
      <c r="S1589">
        <v>0.25790687326514361</v>
      </c>
      <c r="T1589">
        <v>1.3634749007483522</v>
      </c>
      <c r="U1589">
        <v>0.2081868566726188</v>
      </c>
      <c r="V1589">
        <v>0.24200021205257141</v>
      </c>
      <c r="W1589">
        <v>9.8689467252062846E-2</v>
      </c>
      <c r="X1589">
        <v>1.5238645016168926E-2</v>
      </c>
      <c r="Y1589">
        <v>4.7387705218830166E-3</v>
      </c>
    </row>
    <row r="1590" spans="1:25">
      <c r="A1590" s="1010"/>
      <c r="B1590" s="1351">
        <v>1340</v>
      </c>
      <c r="C1590" s="1014">
        <v>0.98640777729994833</v>
      </c>
      <c r="D1590" s="1014">
        <v>1.0110748869833519</v>
      </c>
      <c r="E1590" s="1014">
        <v>0.99341887320473077</v>
      </c>
      <c r="F1590" s="1014">
        <v>1.0397478098919124</v>
      </c>
      <c r="G1590" s="1014">
        <v>1.0060076071459956</v>
      </c>
      <c r="H1590" s="1014">
        <v>1.0419349100460973</v>
      </c>
      <c r="I1590" s="1014">
        <v>1.0111531498032293</v>
      </c>
      <c r="K1590">
        <v>2.4926847241659806</v>
      </c>
      <c r="L1590">
        <v>0</v>
      </c>
      <c r="M1590">
        <v>1.7538196544492563E-3</v>
      </c>
      <c r="N1590">
        <v>0.15655395377487683</v>
      </c>
      <c r="O1590">
        <v>2.1218863907459161E-2</v>
      </c>
      <c r="P1590">
        <v>2.9270252696849727E-2</v>
      </c>
      <c r="Q1590">
        <v>5.51587113203499E-3</v>
      </c>
      <c r="R1590">
        <v>1.73160136798835E-3</v>
      </c>
      <c r="S1590">
        <v>0.26724414415744546</v>
      </c>
      <c r="T1590">
        <v>1.4260103323403317</v>
      </c>
      <c r="U1590">
        <v>0.21487148180680676</v>
      </c>
      <c r="V1590">
        <v>0.24744055974315274</v>
      </c>
      <c r="W1590">
        <v>0.10324941987180442</v>
      </c>
      <c r="X1590">
        <v>1.6619214920249037E-2</v>
      </c>
      <c r="Y1590">
        <v>4.7128481014267433E-3</v>
      </c>
    </row>
    <row r="1591" spans="1:25">
      <c r="A1591" s="1010"/>
      <c r="B1591" s="1351">
        <v>1341</v>
      </c>
      <c r="C1591" s="1014">
        <v>0.976285203245011</v>
      </c>
      <c r="D1591" s="1014">
        <v>0.96562079615887253</v>
      </c>
      <c r="E1591" s="1014">
        <v>1.0201813043151609</v>
      </c>
      <c r="F1591" s="1014">
        <v>1.0012097412152634</v>
      </c>
      <c r="G1591" s="1014">
        <v>1.0220048784282889</v>
      </c>
      <c r="H1591" s="1014">
        <v>1.0373606813937235</v>
      </c>
      <c r="I1591" s="1014">
        <v>1.0028724894754244</v>
      </c>
      <c r="K1591">
        <v>2.4634668105625215</v>
      </c>
      <c r="L1591">
        <v>0</v>
      </c>
      <c r="M1591">
        <v>1.6858323902196183E-3</v>
      </c>
      <c r="N1591">
        <v>0.16314220224398523</v>
      </c>
      <c r="O1591">
        <v>2.1675277448936929E-2</v>
      </c>
      <c r="P1591">
        <v>2.9301477388107299E-2</v>
      </c>
      <c r="Q1591">
        <v>5.787565689706513E-3</v>
      </c>
      <c r="R1591">
        <v>1.6643812279054681E-3</v>
      </c>
      <c r="S1591">
        <v>0.27384484218353455</v>
      </c>
      <c r="T1591">
        <v>1.3737358166043792</v>
      </c>
      <c r="U1591">
        <v>0.21719316841052438</v>
      </c>
      <c r="V1591">
        <v>0.2507313393607431</v>
      </c>
      <c r="W1591">
        <v>0.10590555974170079</v>
      </c>
      <c r="X1591">
        <v>1.7641115613980112E-2</v>
      </c>
      <c r="Y1591">
        <v>4.529897039234362E-3</v>
      </c>
    </row>
    <row r="1592" spans="1:25">
      <c r="A1592" s="1010"/>
      <c r="B1592" s="1351">
        <v>1342</v>
      </c>
      <c r="C1592" s="1014">
        <v>0.99626471540557648</v>
      </c>
      <c r="D1592" s="1014">
        <v>0.99431894679358301</v>
      </c>
      <c r="E1592" s="1014">
        <v>0.96928208683669714</v>
      </c>
      <c r="F1592" s="1014">
        <v>0.97163766280652841</v>
      </c>
      <c r="G1592" s="1014">
        <v>1.0292203993251705</v>
      </c>
      <c r="H1592" s="1014">
        <v>0.99360423236388551</v>
      </c>
      <c r="I1592" s="1014">
        <v>0.95379309822977243</v>
      </c>
      <c r="K1592">
        <v>2.3584358119988549</v>
      </c>
      <c r="L1592">
        <v>0</v>
      </c>
      <c r="M1592">
        <v>1.7470939415896731E-3</v>
      </c>
      <c r="N1592">
        <v>0.14488084409333155</v>
      </c>
      <c r="O1592">
        <v>2.107025672513425E-2</v>
      </c>
      <c r="P1592">
        <v>2.7240943915138604E-2</v>
      </c>
      <c r="Q1592">
        <v>5.3446015228154403E-3</v>
      </c>
      <c r="R1592">
        <v>1.7238842674349392E-3</v>
      </c>
      <c r="S1592">
        <v>0.24754145439660249</v>
      </c>
      <c r="T1592">
        <v>1.3320922362203014</v>
      </c>
      <c r="U1592">
        <v>0.21266300009925737</v>
      </c>
      <c r="V1592">
        <v>0.25087110679638924</v>
      </c>
      <c r="W1592">
        <v>9.6952153289446757E-2</v>
      </c>
      <c r="X1592">
        <v>1.5110579916928907E-2</v>
      </c>
      <c r="Y1592">
        <v>4.6918446976618733E-3</v>
      </c>
    </row>
    <row r="1593" spans="1:25">
      <c r="A1593" s="1010"/>
      <c r="B1593" s="1351">
        <v>1343</v>
      </c>
      <c r="C1593" s="1014">
        <v>0.99596424829961916</v>
      </c>
      <c r="D1593" s="1014">
        <v>0.97723739946638255</v>
      </c>
      <c r="E1593" s="1014">
        <v>0.97690402203508664</v>
      </c>
      <c r="F1593" s="1014">
        <v>0.98497486801053458</v>
      </c>
      <c r="G1593" s="1014">
        <v>1.0169486752408048</v>
      </c>
      <c r="H1593" s="1014">
        <v>0.97961860117546762</v>
      </c>
      <c r="I1593" s="1014">
        <v>0.98908326287299564</v>
      </c>
      <c r="K1593">
        <v>2.3850533972564678</v>
      </c>
      <c r="L1593">
        <v>0</v>
      </c>
      <c r="M1593">
        <v>1.702587200369018E-3</v>
      </c>
      <c r="N1593">
        <v>0.14445783840091148</v>
      </c>
      <c r="O1593">
        <v>2.116219854130812E-2</v>
      </c>
      <c r="P1593">
        <v>2.7759285147295674E-2</v>
      </c>
      <c r="Q1593">
        <v>5.4098310644534516E-3</v>
      </c>
      <c r="R1593">
        <v>1.6796458720865566E-3</v>
      </c>
      <c r="S1593">
        <v>0.25790250464308451</v>
      </c>
      <c r="T1593">
        <v>1.3505386930249461</v>
      </c>
      <c r="U1593">
        <v>0.21275320225238867</v>
      </c>
      <c r="V1593">
        <v>0.24876383476247108</v>
      </c>
      <c r="W1593">
        <v>9.6222772244028656E-2</v>
      </c>
      <c r="X1593">
        <v>1.5534736135153947E-2</v>
      </c>
      <c r="Y1593">
        <v>4.5714423687066826E-3</v>
      </c>
    </row>
    <row r="1594" spans="1:25">
      <c r="A1594" s="1010"/>
      <c r="B1594" s="1351">
        <v>1344</v>
      </c>
      <c r="C1594" s="1014">
        <v>0.96123780036554229</v>
      </c>
      <c r="D1594" s="1014">
        <v>1.0127901575055482</v>
      </c>
      <c r="E1594" s="1014">
        <v>0.97654793605831214</v>
      </c>
      <c r="F1594" s="1014">
        <v>0.99377712887147418</v>
      </c>
      <c r="G1594" s="1014">
        <v>1.0312225207599726</v>
      </c>
      <c r="H1594" s="1014">
        <v>0.98948277957204367</v>
      </c>
      <c r="I1594" s="1014">
        <v>0.99534064489016827</v>
      </c>
      <c r="K1594">
        <v>2.4274220984898265</v>
      </c>
      <c r="L1594">
        <v>0</v>
      </c>
      <c r="M1594">
        <v>1.7692077403180964E-3</v>
      </c>
      <c r="N1594">
        <v>0.14996906684767364</v>
      </c>
      <c r="O1594">
        <v>2.1754772711308802E-2</v>
      </c>
      <c r="P1594">
        <v>2.817444076587822E-2</v>
      </c>
      <c r="Q1594">
        <v>5.5592985855101957E-3</v>
      </c>
      <c r="R1594">
        <v>1.745606392307484E-3</v>
      </c>
      <c r="S1594">
        <v>0.26497924023716696</v>
      </c>
      <c r="T1594">
        <v>1.3626002105060042</v>
      </c>
      <c r="U1594">
        <v>0.2204380336067728</v>
      </c>
      <c r="V1594">
        <v>0.25346671405385168</v>
      </c>
      <c r="W1594">
        <v>9.9915315468915328E-2</v>
      </c>
      <c r="X1594">
        <v>1.583764189388466E-2</v>
      </c>
      <c r="Y1594">
        <v>4.7509651608684004E-3</v>
      </c>
    </row>
    <row r="1595" spans="1:25">
      <c r="A1595" s="1010"/>
      <c r="B1595" s="1351">
        <v>1345</v>
      </c>
      <c r="C1595" s="1014">
        <v>1.0085236563239501</v>
      </c>
      <c r="D1595" s="1014">
        <v>0.97924708536946226</v>
      </c>
      <c r="E1595" s="1014">
        <v>1.0180861970992621</v>
      </c>
      <c r="F1595" s="1014">
        <v>0.98707606864371011</v>
      </c>
      <c r="G1595" s="1014">
        <v>1.0030696781957529</v>
      </c>
      <c r="H1595" s="1014">
        <v>1.0202933430514398</v>
      </c>
      <c r="I1595" s="1014">
        <v>1.0302300475611141</v>
      </c>
      <c r="K1595">
        <v>2.4104873185023847</v>
      </c>
      <c r="L1595">
        <v>0</v>
      </c>
      <c r="M1595">
        <v>1.6071424278175088E-3</v>
      </c>
      <c r="N1595">
        <v>0.1545138895105333</v>
      </c>
      <c r="O1595">
        <v>2.0916431433654192E-2</v>
      </c>
      <c r="P1595">
        <v>2.8750487412094843E-2</v>
      </c>
      <c r="Q1595">
        <v>5.5733185019350472E-3</v>
      </c>
      <c r="R1595">
        <v>1.5863504629945395E-3</v>
      </c>
      <c r="S1595">
        <v>0.26890889484793751</v>
      </c>
      <c r="T1595">
        <v>1.3542984477573172</v>
      </c>
      <c r="U1595">
        <v>0.21024325281859277</v>
      </c>
      <c r="V1595">
        <v>0.24546338483374919</v>
      </c>
      <c r="W1595">
        <v>0.10042750265937603</v>
      </c>
      <c r="X1595">
        <v>1.7094977672036576E-2</v>
      </c>
      <c r="Y1595">
        <v>4.3175230199815522E-3</v>
      </c>
    </row>
    <row r="1596" spans="1:25">
      <c r="A1596" s="1010"/>
      <c r="B1596" s="1351">
        <v>1346</v>
      </c>
      <c r="C1596" s="1014">
        <v>0.98214022708253634</v>
      </c>
      <c r="D1596" s="1014">
        <v>1.0058670175005424</v>
      </c>
      <c r="E1596" s="1014">
        <v>1.0324348494825306</v>
      </c>
      <c r="F1596" s="1014">
        <v>1.0006526451398934</v>
      </c>
      <c r="G1596" s="1014">
        <v>0.98595705701938652</v>
      </c>
      <c r="H1596" s="1014">
        <v>0.98275526302439475</v>
      </c>
      <c r="I1596" s="1014">
        <v>0.99022794535341996</v>
      </c>
      <c r="K1596">
        <v>2.4234827591509278</v>
      </c>
      <c r="L1596">
        <v>0</v>
      </c>
      <c r="M1596">
        <v>1.5337292377650914E-3</v>
      </c>
      <c r="N1596">
        <v>0.1538991917238331</v>
      </c>
      <c r="O1596">
        <v>2.1361671457062689E-2</v>
      </c>
      <c r="P1596">
        <v>2.9237150349014588E-2</v>
      </c>
      <c r="Q1596">
        <v>5.7734934351108269E-3</v>
      </c>
      <c r="R1596">
        <v>1.5131291278898216E-3</v>
      </c>
      <c r="S1596">
        <v>0.25877649088665056</v>
      </c>
      <c r="T1596">
        <v>1.3732379962748913</v>
      </c>
      <c r="U1596">
        <v>0.21594118946481997</v>
      </c>
      <c r="V1596">
        <v>0.24415607577984436</v>
      </c>
      <c r="W1596">
        <v>9.9195212367545971E-2</v>
      </c>
      <c r="X1596">
        <v>1.7806648838795153E-2</v>
      </c>
      <c r="Y1596">
        <v>4.1182386832331426E-3</v>
      </c>
    </row>
    <row r="1597" spans="1:25">
      <c r="A1597" s="1010"/>
      <c r="B1597" s="1351">
        <v>1347</v>
      </c>
      <c r="C1597" s="1014">
        <v>1.0166967961985747</v>
      </c>
      <c r="D1597" s="1014">
        <v>0.97644987371320069</v>
      </c>
      <c r="E1597" s="1014">
        <v>0.99410305245490715</v>
      </c>
      <c r="F1597" s="1014">
        <v>1.0072874219321588</v>
      </c>
      <c r="G1597" s="1014">
        <v>0.98231374681520778</v>
      </c>
      <c r="H1597" s="1014">
        <v>1.033639085053081</v>
      </c>
      <c r="I1597" s="1014">
        <v>0.99785413405791334</v>
      </c>
      <c r="K1597">
        <v>2.4185073324826978</v>
      </c>
      <c r="L1597">
        <v>0</v>
      </c>
      <c r="M1597">
        <v>1.6986030130901283E-3</v>
      </c>
      <c r="N1597">
        <v>0.15192330261279496</v>
      </c>
      <c r="O1597">
        <v>2.0745594803856474E-2</v>
      </c>
      <c r="P1597">
        <v>2.8410029318484773E-2</v>
      </c>
      <c r="Q1597">
        <v>5.3965671219899231E-3</v>
      </c>
      <c r="R1597">
        <v>1.6769115330490848E-3</v>
      </c>
      <c r="S1597">
        <v>0.25965907313831854</v>
      </c>
      <c r="T1597">
        <v>1.381505915128953</v>
      </c>
      <c r="U1597">
        <v>0.20847241571633171</v>
      </c>
      <c r="V1597">
        <v>0.24150694015027521</v>
      </c>
      <c r="W1597">
        <v>0.10015450740250237</v>
      </c>
      <c r="X1597">
        <v>1.6190678170011085E-2</v>
      </c>
      <c r="Y1597">
        <v>4.5640003992213048E-3</v>
      </c>
    </row>
    <row r="1598" spans="1:25">
      <c r="A1598" s="1010"/>
      <c r="B1598" s="1351">
        <v>1348</v>
      </c>
      <c r="C1598" s="1014">
        <v>0.96257768504480679</v>
      </c>
      <c r="D1598" s="1014">
        <v>0.99747416067499395</v>
      </c>
      <c r="E1598" s="1014">
        <v>0.97760037661000332</v>
      </c>
      <c r="F1598" s="1014">
        <v>1.0045595699411032</v>
      </c>
      <c r="G1598" s="1014">
        <v>0.99865025278670327</v>
      </c>
      <c r="H1598" s="1014">
        <v>0.99588859413609676</v>
      </c>
      <c r="I1598" s="1014">
        <v>1.0125379630157054</v>
      </c>
      <c r="K1598">
        <v>2.4458893013538665</v>
      </c>
      <c r="L1598">
        <v>0</v>
      </c>
      <c r="M1598">
        <v>1.7802772491121719E-3</v>
      </c>
      <c r="N1598">
        <v>0.15140196138058346</v>
      </c>
      <c r="O1598">
        <v>2.1798164904312304E-2</v>
      </c>
      <c r="P1598">
        <v>2.8407611844301725E-2</v>
      </c>
      <c r="Q1598">
        <v>5.576358739253994E-3</v>
      </c>
      <c r="R1598">
        <v>1.756680992973985E-3</v>
      </c>
      <c r="S1598">
        <v>0.27182782424814811</v>
      </c>
      <c r="T1598">
        <v>1.3774071246819164</v>
      </c>
      <c r="U1598">
        <v>0.22013491276330832</v>
      </c>
      <c r="V1598">
        <v>0.24780649034761323</v>
      </c>
      <c r="W1598">
        <v>0.10080573630750031</v>
      </c>
      <c r="X1598">
        <v>1.5965605819921635E-2</v>
      </c>
      <c r="Y1598">
        <v>4.7811065731414876E-3</v>
      </c>
    </row>
    <row r="1599" spans="1:25">
      <c r="A1599" s="1010"/>
      <c r="B1599" s="1351">
        <v>1349</v>
      </c>
      <c r="C1599" s="1014">
        <v>0.9951123032973429</v>
      </c>
      <c r="D1599" s="1014">
        <v>0.97818221338037048</v>
      </c>
      <c r="E1599" s="1014">
        <v>1.0136244989520837</v>
      </c>
      <c r="F1599" s="1014">
        <v>1.0008761344376811</v>
      </c>
      <c r="G1599" s="1014">
        <v>1.0164175842284404</v>
      </c>
      <c r="H1599" s="1014">
        <v>1.0364795757586915</v>
      </c>
      <c r="I1599" s="1014">
        <v>1.0133579896278577</v>
      </c>
      <c r="K1599">
        <v>2.4436031819969473</v>
      </c>
      <c r="L1599">
        <v>0</v>
      </c>
      <c r="M1599">
        <v>1.6704641743996438E-3</v>
      </c>
      <c r="N1599">
        <v>0.15848633998846273</v>
      </c>
      <c r="O1599">
        <v>2.1200404248635937E-2</v>
      </c>
      <c r="P1599">
        <v>2.9007356580507137E-2</v>
      </c>
      <c r="Q1599">
        <v>5.6239268975767052E-3</v>
      </c>
      <c r="R1599">
        <v>1.6491904937363502E-3</v>
      </c>
      <c r="S1599">
        <v>0.26958778320103643</v>
      </c>
      <c r="T1599">
        <v>1.3731356724450303</v>
      </c>
      <c r="U1599">
        <v>0.21306138523200713</v>
      </c>
      <c r="V1599">
        <v>0.24859175341872475</v>
      </c>
      <c r="W1599">
        <v>0.1032795481186841</v>
      </c>
      <c r="X1599">
        <v>1.7161732678493656E-2</v>
      </c>
      <c r="Y1599">
        <v>4.4885528684501944E-3</v>
      </c>
    </row>
    <row r="1600" spans="1:25">
      <c r="A1600" s="1010"/>
      <c r="B1600" s="1351">
        <v>1350</v>
      </c>
      <c r="C1600" s="1014">
        <v>0.98609970594081064</v>
      </c>
      <c r="D1600" s="1014">
        <v>0.98010551984475802</v>
      </c>
      <c r="E1600" s="1014">
        <v>0.99221446218500053</v>
      </c>
      <c r="F1600" s="1014">
        <v>0.99488182599301733</v>
      </c>
      <c r="G1600" s="1014">
        <v>1.0417063198941157</v>
      </c>
      <c r="H1600" s="1014">
        <v>1.0100161541283004</v>
      </c>
      <c r="I1600" s="1014">
        <v>0.99376454057703134</v>
      </c>
      <c r="K1600">
        <v>2.4266240299937247</v>
      </c>
      <c r="L1600">
        <v>0</v>
      </c>
      <c r="M1600">
        <v>1.7165814681046388E-3</v>
      </c>
      <c r="N1600">
        <v>0.15261114499601741</v>
      </c>
      <c r="O1600">
        <v>2.1370445019419447E-2</v>
      </c>
      <c r="P1600">
        <v>2.8449475450157261E-2</v>
      </c>
      <c r="Q1600">
        <v>5.5485266346327455E-3</v>
      </c>
      <c r="R1600">
        <v>1.6941476952564462E-3</v>
      </c>
      <c r="S1600">
        <v>0.26407099354360669</v>
      </c>
      <c r="T1600">
        <v>1.364450920721398</v>
      </c>
      <c r="U1600">
        <v>0.2149344404170114</v>
      </c>
      <c r="V1600">
        <v>0.25356232791391958</v>
      </c>
      <c r="W1600">
        <v>0.10072156929005299</v>
      </c>
      <c r="X1600">
        <v>1.6315708229503297E-2</v>
      </c>
      <c r="Y1600">
        <v>4.6109115508503988E-3</v>
      </c>
    </row>
    <row r="1601" spans="1:25">
      <c r="A1601" s="1010"/>
      <c r="B1601" s="1351">
        <v>1351</v>
      </c>
      <c r="C1601" s="1014">
        <v>1.0098747906442949</v>
      </c>
      <c r="D1601" s="1014">
        <v>1.015733024241529</v>
      </c>
      <c r="E1601" s="1014">
        <v>0.97742919307762455</v>
      </c>
      <c r="F1601" s="1014">
        <v>1.0133408290051329</v>
      </c>
      <c r="G1601" s="1014">
        <v>0.99200884773906439</v>
      </c>
      <c r="H1601" s="1014">
        <v>0.98206709253584745</v>
      </c>
      <c r="I1601" s="1014">
        <v>1.0116448674392511</v>
      </c>
      <c r="K1601">
        <v>2.4084500136924207</v>
      </c>
      <c r="L1601">
        <v>0</v>
      </c>
      <c r="M1601">
        <v>1.6672734133671367E-3</v>
      </c>
      <c r="N1601">
        <v>0.14169143368079729</v>
      </c>
      <c r="O1601">
        <v>2.0694393633072131E-2</v>
      </c>
      <c r="P1601">
        <v>2.8150105130644257E-2</v>
      </c>
      <c r="Q1601">
        <v>5.2930720934964747E-3</v>
      </c>
      <c r="R1601">
        <v>1.6448639279273544E-3</v>
      </c>
      <c r="S1601">
        <v>0.25535513333845217</v>
      </c>
      <c r="T1601">
        <v>1.3894438597641527</v>
      </c>
      <c r="U1601">
        <v>0.20982439968210079</v>
      </c>
      <c r="V1601">
        <v>0.24363753359485199</v>
      </c>
      <c r="W1601">
        <v>9.4350089970244327E-2</v>
      </c>
      <c r="X1601">
        <v>1.5555624907479948E-2</v>
      </c>
      <c r="Y1601">
        <v>4.4767773825701435E-3</v>
      </c>
    </row>
    <row r="1602" spans="1:25">
      <c r="A1602" s="1010"/>
      <c r="B1602" s="1351">
        <v>1352</v>
      </c>
      <c r="C1602" s="1014">
        <v>0.99159395552546559</v>
      </c>
      <c r="D1602" s="1014">
        <v>0.96460838216826228</v>
      </c>
      <c r="E1602" s="1014">
        <v>1.0022773446552231</v>
      </c>
      <c r="F1602" s="1014">
        <v>1.0011900891883603</v>
      </c>
      <c r="G1602" s="1014">
        <v>1.0136903290733532</v>
      </c>
      <c r="H1602" s="1014">
        <v>1.0054193833028116</v>
      </c>
      <c r="I1602" s="1014">
        <v>0.99440690104084828</v>
      </c>
      <c r="K1602">
        <v>2.4303294386244061</v>
      </c>
      <c r="L1602">
        <v>0</v>
      </c>
      <c r="M1602">
        <v>1.6700587575443177E-3</v>
      </c>
      <c r="N1602">
        <v>0.15305003741269679</v>
      </c>
      <c r="O1602">
        <v>2.1333469173973676E-2</v>
      </c>
      <c r="P1602">
        <v>2.870594323938554E-2</v>
      </c>
      <c r="Q1602">
        <v>5.5953234203686576E-3</v>
      </c>
      <c r="R1602">
        <v>1.6481331964626831E-3</v>
      </c>
      <c r="S1602">
        <v>0.26458363851864081</v>
      </c>
      <c r="T1602">
        <v>1.373320296767734</v>
      </c>
      <c r="U1602">
        <v>0.21377819988147573</v>
      </c>
      <c r="V1602">
        <v>0.24838968055057103</v>
      </c>
      <c r="W1602">
        <v>0.10040759601925985</v>
      </c>
      <c r="X1602">
        <v>1.6701503947570941E-2</v>
      </c>
      <c r="Y1602">
        <v>4.4856752538092277E-3</v>
      </c>
    </row>
    <row r="1603" spans="1:25">
      <c r="A1603" s="1010"/>
      <c r="B1603" s="1351">
        <v>1353</v>
      </c>
      <c r="C1603" s="1014">
        <v>1.0101501815762803</v>
      </c>
      <c r="D1603" s="1014">
        <v>0.96121405495577183</v>
      </c>
      <c r="E1603" s="1014">
        <v>1.0079296883597193</v>
      </c>
      <c r="F1603" s="1014">
        <v>0.9629824675973101</v>
      </c>
      <c r="G1603" s="1014">
        <v>1.0017218762251365</v>
      </c>
      <c r="H1603" s="1014">
        <v>1.0032939193884287</v>
      </c>
      <c r="I1603" s="1014">
        <v>0.9725069469056512</v>
      </c>
      <c r="K1603">
        <v>2.3550059720125995</v>
      </c>
      <c r="L1603">
        <v>0</v>
      </c>
      <c r="M1603">
        <v>1.6180853145913352E-3</v>
      </c>
      <c r="N1603">
        <v>0.15083582768625339</v>
      </c>
      <c r="O1603">
        <v>2.0961574166656519E-2</v>
      </c>
      <c r="P1603">
        <v>2.7870143065745416E-2</v>
      </c>
      <c r="Q1603">
        <v>5.5290198098804748E-3</v>
      </c>
      <c r="R1603">
        <v>1.5967970894508723E-3</v>
      </c>
      <c r="S1603">
        <v>0.25432593921805169</v>
      </c>
      <c r="T1603">
        <v>1.3210292111432169</v>
      </c>
      <c r="U1603">
        <v>0.20987028569059576</v>
      </c>
      <c r="V1603">
        <v>0.24516977710184457</v>
      </c>
      <c r="W1603">
        <v>9.8624431827520231E-2</v>
      </c>
      <c r="X1603">
        <v>1.6465095234509012E-2</v>
      </c>
      <c r="Y1603">
        <v>4.3459552934662074E-3</v>
      </c>
    </row>
    <row r="1604" spans="1:25">
      <c r="A1604" s="1010"/>
      <c r="B1604" s="1351">
        <v>1354</v>
      </c>
      <c r="C1604" s="1014">
        <v>1.0302838045059755</v>
      </c>
      <c r="D1604" s="1014">
        <v>0.9992141069793451</v>
      </c>
      <c r="E1604" s="1014">
        <v>0.99551197050360452</v>
      </c>
      <c r="F1604" s="1014">
        <v>1.0017178598885117</v>
      </c>
      <c r="G1604" s="1014">
        <v>0.99112658590253122</v>
      </c>
      <c r="H1604" s="1014">
        <v>1.0376556951760805</v>
      </c>
      <c r="I1604" s="1014">
        <v>1.0247762370619558</v>
      </c>
      <c r="K1604">
        <v>2.4055818949495493</v>
      </c>
      <c r="L1604">
        <v>0</v>
      </c>
      <c r="M1604">
        <v>1.6693243142060711E-3</v>
      </c>
      <c r="N1604">
        <v>0.14994925398271211</v>
      </c>
      <c r="O1604">
        <v>2.0369385099014991E-2</v>
      </c>
      <c r="P1604">
        <v>2.8319887307096329E-2</v>
      </c>
      <c r="Q1604">
        <v>5.3062344726033895E-3</v>
      </c>
      <c r="R1604">
        <v>1.6480892458459152E-3</v>
      </c>
      <c r="S1604">
        <v>0.26048878122097674</v>
      </c>
      <c r="T1604">
        <v>1.3738976914689038</v>
      </c>
      <c r="U1604">
        <v>0.20572782790030433</v>
      </c>
      <c r="V1604">
        <v>0.24219787395939937</v>
      </c>
      <c r="W1604">
        <v>9.877004463912277E-2</v>
      </c>
      <c r="X1604">
        <v>1.6090594333055156E-2</v>
      </c>
      <c r="Y1604">
        <v>4.4855556347187008E-3</v>
      </c>
    </row>
    <row r="1605" spans="1:25">
      <c r="A1605" s="1010"/>
      <c r="B1605" s="1351">
        <v>1355</v>
      </c>
      <c r="C1605" s="1014">
        <v>1.0030505435889119</v>
      </c>
      <c r="D1605" s="1014">
        <v>0.9702406161509054</v>
      </c>
      <c r="E1605" s="1014">
        <v>1.0052605707286553</v>
      </c>
      <c r="F1605" s="1014">
        <v>1.0132114380954425</v>
      </c>
      <c r="G1605" s="1014">
        <v>0.9933617321553353</v>
      </c>
      <c r="H1605" s="1014">
        <v>0.99381276996170065</v>
      </c>
      <c r="I1605" s="1014">
        <v>1.0479622016218468</v>
      </c>
      <c r="K1605">
        <v>2.443852308701727</v>
      </c>
      <c r="L1605">
        <v>0</v>
      </c>
      <c r="M1605">
        <v>1.6197755334056705E-3</v>
      </c>
      <c r="N1605">
        <v>0.14976221078707075</v>
      </c>
      <c r="O1605">
        <v>2.1064797017845745E-2</v>
      </c>
      <c r="P1605">
        <v>2.9032229802393835E-2</v>
      </c>
      <c r="Q1605">
        <v>5.5414138421284887E-3</v>
      </c>
      <c r="R1605">
        <v>1.5982617654441797E-3</v>
      </c>
      <c r="S1605">
        <v>0.27382732119002506</v>
      </c>
      <c r="T1605">
        <v>1.3898752590777532</v>
      </c>
      <c r="U1605">
        <v>0.21134665200739741</v>
      </c>
      <c r="V1605">
        <v>0.24418908930211145</v>
      </c>
      <c r="W1605">
        <v>9.8077102177855521E-2</v>
      </c>
      <c r="X1605">
        <v>1.680780560641831E-2</v>
      </c>
      <c r="Y1605">
        <v>4.3499416586896761E-3</v>
      </c>
    </row>
    <row r="1606" spans="1:25">
      <c r="A1606" s="1010"/>
      <c r="B1606" s="1351">
        <v>1356</v>
      </c>
      <c r="C1606" s="1014">
        <v>0.9754851319833453</v>
      </c>
      <c r="D1606" s="1014">
        <v>1.0182024291092293</v>
      </c>
      <c r="E1606" s="1014">
        <v>0.96662247378506516</v>
      </c>
      <c r="F1606" s="1014">
        <v>0.98082222417976717</v>
      </c>
      <c r="G1606" s="1014">
        <v>0.95702580948612392</v>
      </c>
      <c r="H1606" s="1014">
        <v>1.0076695977101031</v>
      </c>
      <c r="I1606" s="1014">
        <v>0.96920728600847195</v>
      </c>
      <c r="K1606">
        <v>2.3796503630635475</v>
      </c>
      <c r="L1606">
        <v>0</v>
      </c>
      <c r="M1606">
        <v>1.8100517878607892E-3</v>
      </c>
      <c r="N1606">
        <v>0.14892561934986248</v>
      </c>
      <c r="O1606">
        <v>2.140522001225087E-2</v>
      </c>
      <c r="P1606">
        <v>2.7365732631808363E-2</v>
      </c>
      <c r="Q1606">
        <v>5.4148109057552173E-3</v>
      </c>
      <c r="R1606">
        <v>1.7863413778828488E-3</v>
      </c>
      <c r="S1606">
        <v>0.25502725694369666</v>
      </c>
      <c r="T1606">
        <v>1.3446280108374822</v>
      </c>
      <c r="U1606">
        <v>0.21718383262460794</v>
      </c>
      <c r="V1606">
        <v>0.23987426072724849</v>
      </c>
      <c r="W1606">
        <v>9.9820572447329059E-2</v>
      </c>
      <c r="X1606">
        <v>1.5166924630159865E-2</v>
      </c>
      <c r="Y1606">
        <v>4.8618323633201586E-3</v>
      </c>
    </row>
    <row r="1607" spans="1:25">
      <c r="A1607" s="1010"/>
      <c r="B1607" s="1351">
        <v>1357</v>
      </c>
      <c r="C1607" s="1014">
        <v>1.0329273556002676</v>
      </c>
      <c r="D1607" s="1014">
        <v>1.0091105415287096</v>
      </c>
      <c r="E1607" s="1014">
        <v>1.0058537056104018</v>
      </c>
      <c r="F1607" s="1014">
        <v>1.0154347427622039</v>
      </c>
      <c r="G1607" s="1014">
        <v>1.0271324705393716</v>
      </c>
      <c r="H1607" s="1014">
        <v>1.0217038055720438</v>
      </c>
      <c r="I1607" s="1014">
        <v>1.0308536334891143</v>
      </c>
      <c r="K1607">
        <v>2.4259308583956334</v>
      </c>
      <c r="L1607">
        <v>0</v>
      </c>
      <c r="M1607">
        <v>1.6011811782602099E-3</v>
      </c>
      <c r="N1607">
        <v>0.14836292027201203</v>
      </c>
      <c r="O1607">
        <v>2.0279882057011193E-2</v>
      </c>
      <c r="P1607">
        <v>2.8851806607836233E-2</v>
      </c>
      <c r="Q1607">
        <v>5.3381019795488774E-3</v>
      </c>
      <c r="R1607">
        <v>1.5804949323190067E-3</v>
      </c>
      <c r="S1607">
        <v>0.25881960522458325</v>
      </c>
      <c r="T1607">
        <v>1.3929381236512302</v>
      </c>
      <c r="U1607">
        <v>0.2052355398072882</v>
      </c>
      <c r="V1607">
        <v>0.24815373033882529</v>
      </c>
      <c r="W1607">
        <v>9.7126631166312274E-2</v>
      </c>
      <c r="X1607">
        <v>1.6543617341169395E-2</v>
      </c>
      <c r="Y1607">
        <v>4.3015861957579216E-3</v>
      </c>
    </row>
    <row r="1608" spans="1:25">
      <c r="A1608" s="1010"/>
      <c r="B1608" s="1351">
        <v>1358</v>
      </c>
      <c r="C1608" s="1014">
        <v>1.0065511250136343</v>
      </c>
      <c r="D1608" s="1014">
        <v>0.98961356499961717</v>
      </c>
      <c r="E1608" s="1014">
        <v>1.0093033180679338</v>
      </c>
      <c r="F1608" s="1014">
        <v>1.0271411702190218</v>
      </c>
      <c r="G1608" s="1014">
        <v>1.0342053244451561</v>
      </c>
      <c r="H1608" s="1014">
        <v>0.98130771110046733</v>
      </c>
      <c r="I1608" s="1014">
        <v>0.99110223716419976</v>
      </c>
      <c r="K1608">
        <v>2.4453399433242469</v>
      </c>
      <c r="L1608">
        <v>0</v>
      </c>
      <c r="M1608">
        <v>1.5736474628853469E-3</v>
      </c>
      <c r="N1608">
        <v>0.14725904951923571</v>
      </c>
      <c r="O1608">
        <v>2.0903108376522043E-2</v>
      </c>
      <c r="P1608">
        <v>2.9200060001437236E-2</v>
      </c>
      <c r="Q1608">
        <v>5.52118022908063E-3</v>
      </c>
      <c r="R1608">
        <v>1.5524800172638405E-3</v>
      </c>
      <c r="S1608">
        <v>0.25449338531782034</v>
      </c>
      <c r="T1608">
        <v>1.4090733444856283</v>
      </c>
      <c r="U1608">
        <v>0.21062537568770237</v>
      </c>
      <c r="V1608">
        <v>0.25093155469393696</v>
      </c>
      <c r="W1608">
        <v>9.6207700764311496E-2</v>
      </c>
      <c r="X1608">
        <v>1.6921012862101077E-2</v>
      </c>
      <c r="Y1608">
        <v>4.2253388320920258E-3</v>
      </c>
    </row>
    <row r="1609" spans="1:25">
      <c r="A1609" s="1010"/>
      <c r="B1609" s="1351">
        <v>1359</v>
      </c>
      <c r="C1609" s="1014">
        <v>1.0036523820509011</v>
      </c>
      <c r="D1609" s="1014">
        <v>1.0098781915334676</v>
      </c>
      <c r="E1609" s="1014">
        <v>1.0184951053458537</v>
      </c>
      <c r="F1609" s="1014">
        <v>1.0006413127686657</v>
      </c>
      <c r="G1609" s="1014">
        <v>0.97508259415596343</v>
      </c>
      <c r="H1609" s="1014">
        <v>0.99858296169489336</v>
      </c>
      <c r="I1609" s="1014">
        <v>1.0029818269189583</v>
      </c>
      <c r="K1609">
        <v>2.4079360009392907</v>
      </c>
      <c r="L1609">
        <v>0</v>
      </c>
      <c r="M1609">
        <v>1.5685701897387128E-3</v>
      </c>
      <c r="N1609">
        <v>0.15094862111749763</v>
      </c>
      <c r="O1609">
        <v>2.087628007036595E-2</v>
      </c>
      <c r="P1609">
        <v>2.8807063245826769E-2</v>
      </c>
      <c r="Q1609">
        <v>5.5648837820546533E-3</v>
      </c>
      <c r="R1609">
        <v>1.5478360498709246E-3</v>
      </c>
      <c r="S1609">
        <v>0.25721032163881213</v>
      </c>
      <c r="T1609">
        <v>1.3729192576693132</v>
      </c>
      <c r="U1609">
        <v>0.2112650749391623</v>
      </c>
      <c r="V1609">
        <v>0.24098537611327817</v>
      </c>
      <c r="W1609">
        <v>9.8086728809826024E-2</v>
      </c>
      <c r="X1609">
        <v>1.7080428209289823E-2</v>
      </c>
      <c r="Y1609">
        <v>4.2126994837319472E-3</v>
      </c>
    </row>
    <row r="1610" spans="1:25">
      <c r="A1610" s="1010"/>
      <c r="B1610" s="1351">
        <v>1360</v>
      </c>
      <c r="C1610" s="1014">
        <v>1.0166411235306296</v>
      </c>
      <c r="D1610" s="1014">
        <v>0.99964600659360259</v>
      </c>
      <c r="E1610" s="1014">
        <v>0.99009174842736403</v>
      </c>
      <c r="F1610" s="1014">
        <v>1.0041063238209254</v>
      </c>
      <c r="G1610" s="1014">
        <v>1.0116657424227073</v>
      </c>
      <c r="H1610" s="1014">
        <v>1.0275843889588288</v>
      </c>
      <c r="I1610" s="1014">
        <v>0.98595032669541083</v>
      </c>
      <c r="K1610">
        <v>2.4084402252939121</v>
      </c>
      <c r="L1610">
        <v>0</v>
      </c>
      <c r="M1610">
        <v>1.6940656355419229E-3</v>
      </c>
      <c r="N1610">
        <v>0.14967985575143675</v>
      </c>
      <c r="O1610">
        <v>2.0637232259020585E-2</v>
      </c>
      <c r="P1610">
        <v>2.824295666389184E-2</v>
      </c>
      <c r="Q1610">
        <v>5.3466819361170639E-3</v>
      </c>
      <c r="R1610">
        <v>1.6723046303112458E-3</v>
      </c>
      <c r="S1610">
        <v>0.25305400806851858</v>
      </c>
      <c r="T1610">
        <v>1.3770560297751993</v>
      </c>
      <c r="U1610">
        <v>0.20847036169024924</v>
      </c>
      <c r="V1610">
        <v>0.24653838657206725</v>
      </c>
      <c r="W1610">
        <v>9.8912538869224825E-2</v>
      </c>
      <c r="X1610">
        <v>1.5972472784783299E-2</v>
      </c>
      <c r="Y1610">
        <v>4.5514619286339862E-3</v>
      </c>
    </row>
    <row r="1611" spans="1:25">
      <c r="A1611" s="1010"/>
      <c r="B1611" s="1351">
        <v>1361</v>
      </c>
      <c r="C1611" s="1014">
        <v>0.96458910240606255</v>
      </c>
      <c r="D1611" s="1014">
        <v>0.9991815866587439</v>
      </c>
      <c r="E1611" s="1014">
        <v>0.99226240715811187</v>
      </c>
      <c r="F1611" s="1014">
        <v>1.0076136793651538</v>
      </c>
      <c r="G1611" s="1014">
        <v>0.98300755652403926</v>
      </c>
      <c r="H1611" s="1014">
        <v>1.0351765598589309</v>
      </c>
      <c r="I1611" s="1014">
        <v>0.99394813177739705</v>
      </c>
      <c r="K1611">
        <v>2.45805980545701</v>
      </c>
      <c r="L1611">
        <v>0</v>
      </c>
      <c r="M1611">
        <v>1.790787766129619E-3</v>
      </c>
      <c r="N1611">
        <v>0.15928271499341701</v>
      </c>
      <c r="O1611">
        <v>2.1754592515533841E-2</v>
      </c>
      <c r="P1611">
        <v>2.8710904353908516E-2</v>
      </c>
      <c r="Q1611">
        <v>5.6485383582468565E-3</v>
      </c>
      <c r="R1611">
        <v>1.7679530347130864E-3</v>
      </c>
      <c r="S1611">
        <v>0.26961918239991434</v>
      </c>
      <c r="T1611">
        <v>1.3819133232669112</v>
      </c>
      <c r="U1611">
        <v>0.21972770752742879</v>
      </c>
      <c r="V1611">
        <v>0.24494674808992775</v>
      </c>
      <c r="W1611">
        <v>0.10512171338966647</v>
      </c>
      <c r="X1611">
        <v>1.6545429938542345E-2</v>
      </c>
      <c r="Y1611">
        <v>4.8117853549277606E-3</v>
      </c>
    </row>
    <row r="1612" spans="1:25">
      <c r="A1612" s="1010"/>
      <c r="B1612" s="1351">
        <v>1362</v>
      </c>
      <c r="C1612" s="1014">
        <v>1.025604366484334</v>
      </c>
      <c r="D1612" s="1014">
        <v>0.99394465202195026</v>
      </c>
      <c r="E1612" s="1014">
        <v>1.0055617129799206</v>
      </c>
      <c r="F1612" s="1014">
        <v>0.99112167225114856</v>
      </c>
      <c r="G1612" s="1014">
        <v>0.99709217677005113</v>
      </c>
      <c r="H1612" s="1014">
        <v>1.001669387903404</v>
      </c>
      <c r="I1612" s="1014">
        <v>0.99563013575223136</v>
      </c>
      <c r="K1612">
        <v>2.3795857442531312</v>
      </c>
      <c r="L1612">
        <v>0</v>
      </c>
      <c r="M1612">
        <v>1.5872301360773248E-3</v>
      </c>
      <c r="N1612">
        <v>0.14690214241346555</v>
      </c>
      <c r="O1612">
        <v>2.0492652179595967E-2</v>
      </c>
      <c r="P1612">
        <v>2.8250884287419769E-2</v>
      </c>
      <c r="Q1612">
        <v>5.3925296842202448E-3</v>
      </c>
      <c r="R1612">
        <v>1.5663139875279569E-3</v>
      </c>
      <c r="S1612">
        <v>0.25200972065316252</v>
      </c>
      <c r="T1612">
        <v>1.359580031309972</v>
      </c>
      <c r="U1612">
        <v>0.2066999823233911</v>
      </c>
      <c r="V1612">
        <v>0.24345694118662492</v>
      </c>
      <c r="W1612">
        <v>9.6186940881562849E-2</v>
      </c>
      <c r="X1612">
        <v>1.6371845143481327E-2</v>
      </c>
      <c r="Y1612">
        <v>4.2629903387838789E-3</v>
      </c>
    </row>
    <row r="1613" spans="1:25">
      <c r="A1613" s="1010"/>
      <c r="B1613" s="1351">
        <v>1363</v>
      </c>
      <c r="C1613" s="1014">
        <v>0.98966372485070297</v>
      </c>
      <c r="D1613" s="1014">
        <v>1.0039156496806396</v>
      </c>
      <c r="E1613" s="1014">
        <v>0.9630447561509089</v>
      </c>
      <c r="F1613" s="1014">
        <v>0.99748192205028696</v>
      </c>
      <c r="G1613" s="1014">
        <v>0.97525368511293442</v>
      </c>
      <c r="H1613" s="1014">
        <v>1.0421007898582968</v>
      </c>
      <c r="I1613" s="1014">
        <v>0.98457442458815125</v>
      </c>
      <c r="K1613">
        <v>2.4116120831956631</v>
      </c>
      <c r="L1613">
        <v>0</v>
      </c>
      <c r="M1613">
        <v>1.8645357949662014E-3</v>
      </c>
      <c r="N1613">
        <v>0.15182143310337912</v>
      </c>
      <c r="O1613">
        <v>2.1161863427683305E-2</v>
      </c>
      <c r="P1613">
        <v>2.7646998291524276E-2</v>
      </c>
      <c r="Q1613">
        <v>5.3336539297333205E-3</v>
      </c>
      <c r="R1613">
        <v>1.8409186596131926E-3</v>
      </c>
      <c r="S1613">
        <v>0.26004401951489103</v>
      </c>
      <c r="T1613">
        <v>1.3673904949645255</v>
      </c>
      <c r="U1613">
        <v>0.21406002391411175</v>
      </c>
      <c r="V1613">
        <v>0.24208695261500263</v>
      </c>
      <c r="W1613">
        <v>0.10198429601274508</v>
      </c>
      <c r="X1613">
        <v>1.5095590824623408E-2</v>
      </c>
      <c r="Y1613">
        <v>5.0103737327940661E-3</v>
      </c>
    </row>
    <row r="1614" spans="1:25">
      <c r="A1614" s="1010"/>
      <c r="B1614" s="1351">
        <v>1364</v>
      </c>
      <c r="C1614" s="1014">
        <v>1.0258466545564455</v>
      </c>
      <c r="D1614" s="1014">
        <v>0.99438058738657353</v>
      </c>
      <c r="E1614" s="1014">
        <v>0.99077722870149931</v>
      </c>
      <c r="F1614" s="1014">
        <v>1.0070581951274116</v>
      </c>
      <c r="G1614" s="1014">
        <v>1.0233225267683836</v>
      </c>
      <c r="H1614" s="1014">
        <v>0.99788876938285898</v>
      </c>
      <c r="I1614" s="1014">
        <v>1.0164072940713933</v>
      </c>
      <c r="K1614">
        <v>2.4064130089008282</v>
      </c>
      <c r="L1614">
        <v>0</v>
      </c>
      <c r="M1614">
        <v>1.6299267553370469E-3</v>
      </c>
      <c r="N1614">
        <v>0.14425572399008132</v>
      </c>
      <c r="O1614">
        <v>2.0476261798856983E-2</v>
      </c>
      <c r="P1614">
        <v>2.8356316690260903E-2</v>
      </c>
      <c r="Q1614">
        <v>5.3086537972979776E-3</v>
      </c>
      <c r="R1614">
        <v>1.6083665857669913E-3</v>
      </c>
      <c r="S1614">
        <v>0.25671231863250632</v>
      </c>
      <c r="T1614">
        <v>1.381119199765132</v>
      </c>
      <c r="U1614">
        <v>0.2066019140067947</v>
      </c>
      <c r="V1614">
        <v>0.24797636481019841</v>
      </c>
      <c r="W1614">
        <v>9.5288999903650737E-2</v>
      </c>
      <c r="X1614">
        <v>1.5961372027065858E-2</v>
      </c>
      <c r="Y1614">
        <v>4.3774436485552468E-3</v>
      </c>
    </row>
    <row r="1615" spans="1:25">
      <c r="A1615" s="1010"/>
      <c r="B1615" s="1351">
        <v>1365</v>
      </c>
      <c r="C1615" s="1014">
        <v>0.97106195935241046</v>
      </c>
      <c r="D1615" s="1014">
        <v>1.0176340353870044</v>
      </c>
      <c r="E1615" s="1014">
        <v>1.0204500381915906</v>
      </c>
      <c r="F1615" s="1014">
        <v>1.0077603822335768</v>
      </c>
      <c r="G1615" s="1014">
        <v>1.0153777778222823</v>
      </c>
      <c r="H1615" s="1014">
        <v>1.0389099747737995</v>
      </c>
      <c r="I1615" s="1014">
        <v>0.96626126888467578</v>
      </c>
      <c r="K1615">
        <v>2.4560190567129294</v>
      </c>
      <c r="L1615">
        <v>0</v>
      </c>
      <c r="M1615">
        <v>1.6770142178476174E-3</v>
      </c>
      <c r="N1615">
        <v>0.16242358726213546</v>
      </c>
      <c r="O1615">
        <v>2.1541970568758152E-2</v>
      </c>
      <c r="P1615">
        <v>2.9225234955295717E-2</v>
      </c>
      <c r="Q1615">
        <v>5.7535077487791209E-3</v>
      </c>
      <c r="R1615">
        <v>1.6557070833660417E-3</v>
      </c>
      <c r="S1615">
        <v>0.25855198677741514</v>
      </c>
      <c r="T1615">
        <v>1.3827296744275455</v>
      </c>
      <c r="U1615">
        <v>0.21836237736103753</v>
      </c>
      <c r="V1615">
        <v>0.2499431778600931</v>
      </c>
      <c r="W1615">
        <v>0.10542249081092134</v>
      </c>
      <c r="X1615">
        <v>1.7580067198202289E-2</v>
      </c>
      <c r="Y1615">
        <v>4.506288877229021E-3</v>
      </c>
    </row>
    <row r="1616" spans="1:25">
      <c r="A1616" s="1010"/>
      <c r="B1616" s="1351">
        <v>1366</v>
      </c>
      <c r="C1616" s="1014">
        <v>0.98749210914090524</v>
      </c>
      <c r="D1616" s="1014">
        <v>0.96162226140571161</v>
      </c>
      <c r="E1616" s="1014">
        <v>1.0174252152491567</v>
      </c>
      <c r="F1616" s="1014">
        <v>0.98884906199797973</v>
      </c>
      <c r="G1616" s="1014">
        <v>0.95640192803769375</v>
      </c>
      <c r="H1616" s="1014">
        <v>1.0089080790462626</v>
      </c>
      <c r="I1616" s="1014">
        <v>0.98986283004925557</v>
      </c>
      <c r="K1616">
        <v>2.411327605094773</v>
      </c>
      <c r="L1616">
        <v>0</v>
      </c>
      <c r="M1616">
        <v>1.6317955875178917E-3</v>
      </c>
      <c r="N1616">
        <v>0.15654836288791696</v>
      </c>
      <c r="O1616">
        <v>2.1446985606007336E-2</v>
      </c>
      <c r="P1616">
        <v>2.8690285835577343E-2</v>
      </c>
      <c r="Q1616">
        <v>5.7109295025062632E-3</v>
      </c>
      <c r="R1616">
        <v>1.6104464481126435E-3</v>
      </c>
      <c r="S1616">
        <v>0.26531037814214048</v>
      </c>
      <c r="T1616">
        <v>1.3567168626676507</v>
      </c>
      <c r="U1616">
        <v>0.21471870666376938</v>
      </c>
      <c r="V1616">
        <v>0.23881808954636705</v>
      </c>
      <c r="W1616">
        <v>0.10178924920144926</v>
      </c>
      <c r="X1616">
        <v>1.7215999832560443E-2</v>
      </c>
      <c r="Y1616">
        <v>4.3831043482336724E-3</v>
      </c>
    </row>
    <row r="1617" spans="1:25">
      <c r="A1617" s="1010"/>
      <c r="B1617" s="1351">
        <v>1367</v>
      </c>
      <c r="C1617" s="1014">
        <v>1.0010255998002013</v>
      </c>
      <c r="D1617" s="1014">
        <v>1.0071043349017006</v>
      </c>
      <c r="E1617" s="1014">
        <v>1.0083996609234527</v>
      </c>
      <c r="F1617" s="1014">
        <v>0.98918601892213498</v>
      </c>
      <c r="G1617" s="1014">
        <v>1.0139732832560537</v>
      </c>
      <c r="H1617" s="1014">
        <v>1.0241342972497876</v>
      </c>
      <c r="I1617" s="1014">
        <v>1.0135176227987401</v>
      </c>
      <c r="K1617">
        <v>2.4103152446951506</v>
      </c>
      <c r="L1617">
        <v>0</v>
      </c>
      <c r="M1617">
        <v>1.6481283811969039E-3</v>
      </c>
      <c r="N1617">
        <v>0.15389631384351005</v>
      </c>
      <c r="O1617">
        <v>2.0937034084801971E-2</v>
      </c>
      <c r="P1617">
        <v>2.8556321827785704E-2</v>
      </c>
      <c r="Q1617">
        <v>5.5251446386611206E-3</v>
      </c>
      <c r="R1617">
        <v>1.6268861394978813E-3</v>
      </c>
      <c r="S1617">
        <v>0.26306711513733771</v>
      </c>
      <c r="T1617">
        <v>1.3569855823630566</v>
      </c>
      <c r="U1617">
        <v>0.21178490914722081</v>
      </c>
      <c r="V1617">
        <v>0.24782288921007811</v>
      </c>
      <c r="W1617">
        <v>0.10059761633978999</v>
      </c>
      <c r="X1617">
        <v>1.673571257576691E-2</v>
      </c>
      <c r="Y1617">
        <v>4.4278477688414796E-3</v>
      </c>
    </row>
    <row r="1618" spans="1:25">
      <c r="A1618" s="1010"/>
      <c r="B1618" s="1351">
        <v>1368</v>
      </c>
      <c r="C1618" s="1014">
        <v>1.0026785683880883</v>
      </c>
      <c r="D1618" s="1014">
        <v>0.96873519855663248</v>
      </c>
      <c r="E1618" s="1014">
        <v>0.98854809259450682</v>
      </c>
      <c r="F1618" s="1014">
        <v>0.99563749594562023</v>
      </c>
      <c r="G1618" s="1014">
        <v>1.0072856157962207</v>
      </c>
      <c r="H1618" s="1014">
        <v>1.0265029849208127</v>
      </c>
      <c r="I1618" s="1014">
        <v>0.98121154179942371</v>
      </c>
      <c r="K1618">
        <v>2.411326091007429</v>
      </c>
      <c r="L1618">
        <v>0</v>
      </c>
      <c r="M1618">
        <v>1.7332780745189815E-3</v>
      </c>
      <c r="N1618">
        <v>0.15242927934335768</v>
      </c>
      <c r="O1618">
        <v>2.1068677432217277E-2</v>
      </c>
      <c r="P1618">
        <v>2.8177637100867847E-2</v>
      </c>
      <c r="Q1618">
        <v>5.4499472324156398E-3</v>
      </c>
      <c r="R1618">
        <v>1.7109899130606844E-3</v>
      </c>
      <c r="S1618">
        <v>0.259285933152827</v>
      </c>
      <c r="T1618">
        <v>1.3654085030416818</v>
      </c>
      <c r="U1618">
        <v>0.21136811116461152</v>
      </c>
      <c r="V1618">
        <v>0.24665032091045963</v>
      </c>
      <c r="W1618">
        <v>0.10082267529013669</v>
      </c>
      <c r="X1618">
        <v>1.6030543984634289E-2</v>
      </c>
      <c r="Y1618">
        <v>4.6567505156779277E-3</v>
      </c>
    </row>
    <row r="1619" spans="1:25">
      <c r="A1619" s="1010"/>
      <c r="B1619" s="1351">
        <v>1369</v>
      </c>
      <c r="C1619" s="1014">
        <v>0.97760000202975961</v>
      </c>
      <c r="D1619" s="1014">
        <v>0.99430443357383558</v>
      </c>
      <c r="E1619" s="1014">
        <v>0.96547482999854439</v>
      </c>
      <c r="F1619" s="1014">
        <v>1.0050926993137628</v>
      </c>
      <c r="G1619" s="1014">
        <v>1.0301457559890124</v>
      </c>
      <c r="H1619" s="1014">
        <v>0.97648596490538953</v>
      </c>
      <c r="I1619" s="1014">
        <v>0.98349561726959323</v>
      </c>
      <c r="K1619">
        <v>2.4218963629173098</v>
      </c>
      <c r="L1619">
        <v>0</v>
      </c>
      <c r="M1619">
        <v>1.763582807940161E-3</v>
      </c>
      <c r="N1619">
        <v>0.14453750758433703</v>
      </c>
      <c r="O1619">
        <v>2.1470032923564732E-2</v>
      </c>
      <c r="P1619">
        <v>2.7989493174307503E-2</v>
      </c>
      <c r="Q1619">
        <v>5.4248254118939836E-3</v>
      </c>
      <c r="R1619">
        <v>1.7397433668431648E-3</v>
      </c>
      <c r="S1619">
        <v>0.25862912129553245</v>
      </c>
      <c r="T1619">
        <v>1.3778761005192313</v>
      </c>
      <c r="U1619">
        <v>0.2167100021093035</v>
      </c>
      <c r="V1619">
        <v>0.25223897061157063</v>
      </c>
      <c r="W1619">
        <v>9.6947253173103876E-2</v>
      </c>
      <c r="X1619">
        <v>1.5361887617259736E-2</v>
      </c>
      <c r="Y1619">
        <v>4.7350079383003474E-3</v>
      </c>
    </row>
    <row r="1620" spans="1:25">
      <c r="A1620" s="1010"/>
      <c r="B1620" s="1351">
        <v>1370</v>
      </c>
      <c r="C1620" s="1014">
        <v>1.0068519692775111</v>
      </c>
      <c r="D1620" s="1014">
        <v>1.0095971134964279</v>
      </c>
      <c r="E1620" s="1014">
        <v>1.0206474446939946</v>
      </c>
      <c r="F1620" s="1014">
        <v>1.0283594594656371</v>
      </c>
      <c r="G1620" s="1014">
        <v>0.98098881548438932</v>
      </c>
      <c r="H1620" s="1014">
        <v>1.0102025255711926</v>
      </c>
      <c r="I1620" s="1014">
        <v>0.97471433734499058</v>
      </c>
      <c r="K1620">
        <v>2.4423053960487633</v>
      </c>
      <c r="L1620">
        <v>0</v>
      </c>
      <c r="M1620">
        <v>1.5748085929201451E-3</v>
      </c>
      <c r="N1620">
        <v>0.15255972735567727</v>
      </c>
      <c r="O1620">
        <v>2.0812633611561149E-2</v>
      </c>
      <c r="P1620">
        <v>2.928452841532829E-2</v>
      </c>
      <c r="Q1620">
        <v>5.5598044628327762E-3</v>
      </c>
      <c r="R1620">
        <v>1.5542314277173605E-3</v>
      </c>
      <c r="S1620">
        <v>0.25017406938430381</v>
      </c>
      <c r="T1620">
        <v>1.4109977016819792</v>
      </c>
      <c r="U1620">
        <v>0.21060104302998589</v>
      </c>
      <c r="V1620">
        <v>0.24178847798620176</v>
      </c>
      <c r="W1620">
        <v>9.900883320072025E-2</v>
      </c>
      <c r="X1620">
        <v>1.7309048491381093E-2</v>
      </c>
      <c r="Y1620">
        <v>4.2301055939942059E-3</v>
      </c>
    </row>
    <row r="1621" spans="1:25">
      <c r="A1621" s="1010"/>
      <c r="B1621" s="1351">
        <v>1371</v>
      </c>
      <c r="C1621" s="1014">
        <v>0.99493012836738004</v>
      </c>
      <c r="D1621" s="1014">
        <v>1.0278363749643324</v>
      </c>
      <c r="E1621" s="1014">
        <v>1.0282635820558874</v>
      </c>
      <c r="F1621" s="1014">
        <v>1.0264333253592921</v>
      </c>
      <c r="G1621" s="1014">
        <v>1.0110123321600337</v>
      </c>
      <c r="H1621" s="1014">
        <v>1.0458789350048163</v>
      </c>
      <c r="I1621" s="1014">
        <v>1.024519981332163</v>
      </c>
      <c r="K1621">
        <v>2.4788565067307746</v>
      </c>
      <c r="L1621">
        <v>0</v>
      </c>
      <c r="M1621">
        <v>1.6176195415483448E-3</v>
      </c>
      <c r="N1621">
        <v>0.1604204749275451</v>
      </c>
      <c r="O1621">
        <v>2.0984290944256734E-2</v>
      </c>
      <c r="P1621">
        <v>2.9763418761055465E-2</v>
      </c>
      <c r="Q1621">
        <v>5.6481602342361263E-3</v>
      </c>
      <c r="R1621">
        <v>1.5972039867184549E-3</v>
      </c>
      <c r="S1621">
        <v>0.26692125524213334</v>
      </c>
      <c r="T1621">
        <v>1.4085247671211005</v>
      </c>
      <c r="U1621">
        <v>0.21315085275144535</v>
      </c>
      <c r="V1621">
        <v>0.24762852695513221</v>
      </c>
      <c r="W1621">
        <v>0.10364907923828705</v>
      </c>
      <c r="X1621">
        <v>1.7839033376715871E-2</v>
      </c>
      <c r="Y1621">
        <v>4.3470627336949178E-3</v>
      </c>
    </row>
    <row r="1622" spans="1:25">
      <c r="A1622" s="1010"/>
      <c r="B1622" s="1351">
        <v>1372</v>
      </c>
      <c r="C1622" s="1014">
        <v>0.98353969315502254</v>
      </c>
      <c r="D1622" s="1014">
        <v>1.0467460608197536</v>
      </c>
      <c r="E1622" s="1014">
        <v>1.0146428369322946</v>
      </c>
      <c r="F1622" s="1014">
        <v>0.99244337103435898</v>
      </c>
      <c r="G1622" s="1014">
        <v>1.020845827272731</v>
      </c>
      <c r="H1622" s="1014">
        <v>0.96135521564620685</v>
      </c>
      <c r="I1622" s="1014">
        <v>1.0183584262627909</v>
      </c>
      <c r="K1622">
        <v>2.4043068672275614</v>
      </c>
      <c r="L1622">
        <v>0</v>
      </c>
      <c r="M1622">
        <v>1.5411623409719883E-3</v>
      </c>
      <c r="N1622">
        <v>0.14652098625162618</v>
      </c>
      <c r="O1622">
        <v>2.1133216921221314E-2</v>
      </c>
      <c r="P1622">
        <v>2.8772081759989972E-2</v>
      </c>
      <c r="Q1622">
        <v>5.6118005523459278E-3</v>
      </c>
      <c r="R1622">
        <v>1.5200016073663811E-3</v>
      </c>
      <c r="S1622">
        <v>0.25850406253512453</v>
      </c>
      <c r="T1622">
        <v>1.361588400038287</v>
      </c>
      <c r="U1622">
        <v>0.21557187347393383</v>
      </c>
      <c r="V1622">
        <v>0.25008191438817007</v>
      </c>
      <c r="W1622">
        <v>9.5425047446200048E-2</v>
      </c>
      <c r="X1622">
        <v>1.6981701287412058E-2</v>
      </c>
      <c r="Y1622">
        <v>4.1369433068560862E-3</v>
      </c>
    </row>
    <row r="1623" spans="1:25">
      <c r="A1623" s="1010"/>
      <c r="B1623" s="1351">
        <v>1373</v>
      </c>
      <c r="C1623" s="1014">
        <v>0.9913153551208338</v>
      </c>
      <c r="D1623" s="1014">
        <v>1.0046903663150135</v>
      </c>
      <c r="E1623" s="1014">
        <v>1.0423794845176459</v>
      </c>
      <c r="F1623" s="1014">
        <v>0.9978412291436165</v>
      </c>
      <c r="G1623" s="1014">
        <v>0.98491529780310971</v>
      </c>
      <c r="H1623" s="1014">
        <v>0.98695724933338314</v>
      </c>
      <c r="I1623" s="1014">
        <v>0.99556105581810395</v>
      </c>
      <c r="K1623">
        <v>2.4173534452410177</v>
      </c>
      <c r="L1623">
        <v>0</v>
      </c>
      <c r="M1623">
        <v>1.4950842578443037E-3</v>
      </c>
      <c r="N1623">
        <v>0.1545934392521793</v>
      </c>
      <c r="O1623">
        <v>2.1176096979068044E-2</v>
      </c>
      <c r="P1623">
        <v>2.9351441130952588E-2</v>
      </c>
      <c r="Q1623">
        <v>5.7796579315781051E-3</v>
      </c>
      <c r="R1623">
        <v>1.475088699033214E-3</v>
      </c>
      <c r="S1623">
        <v>0.2583541773856679</v>
      </c>
      <c r="T1623">
        <v>1.3695959390014978</v>
      </c>
      <c r="U1623">
        <v>0.21397702623254292</v>
      </c>
      <c r="V1623">
        <v>0.24335657234494462</v>
      </c>
      <c r="W1623">
        <v>9.9072455003203025E-2</v>
      </c>
      <c r="X1623">
        <v>1.8101930362280895E-2</v>
      </c>
      <c r="Y1623">
        <v>4.0147051759094584E-3</v>
      </c>
    </row>
    <row r="1624" spans="1:25">
      <c r="A1624" s="1010"/>
      <c r="B1624" s="1351">
        <v>1374</v>
      </c>
      <c r="C1624" s="1014">
        <v>1.0403719865837613</v>
      </c>
      <c r="D1624" s="1014">
        <v>0.99248674198659836</v>
      </c>
      <c r="E1624" s="1014">
        <v>1.0275792793730081</v>
      </c>
      <c r="F1624" s="1014">
        <v>1.0102018485680995</v>
      </c>
      <c r="G1624" s="1014">
        <v>1.0165688042104717</v>
      </c>
      <c r="H1624" s="1014">
        <v>1.0246119034468442</v>
      </c>
      <c r="I1624" s="1014">
        <v>0.9920502143022969</v>
      </c>
      <c r="K1624">
        <v>2.4108538077534054</v>
      </c>
      <c r="L1624">
        <v>0</v>
      </c>
      <c r="M1624">
        <v>1.5294004804399782E-3</v>
      </c>
      <c r="N1624">
        <v>0.15131896590277119</v>
      </c>
      <c r="O1624">
        <v>2.0222397407797334E-2</v>
      </c>
      <c r="P1624">
        <v>2.9044585893452365E-2</v>
      </c>
      <c r="Q1624">
        <v>5.4394023689896213E-3</v>
      </c>
      <c r="R1624">
        <v>1.5096976761401711E-3</v>
      </c>
      <c r="S1624">
        <v>0.24976016610498</v>
      </c>
      <c r="T1624">
        <v>1.3862360645673562</v>
      </c>
      <c r="U1624">
        <v>0.20383849146805177</v>
      </c>
      <c r="V1624">
        <v>0.24583872532674167</v>
      </c>
      <c r="W1624">
        <v>9.7807421094991895E-2</v>
      </c>
      <c r="X1624">
        <v>1.7258391019822475E-2</v>
      </c>
      <c r="Y1624">
        <v>4.1088994027483582E-3</v>
      </c>
    </row>
    <row r="1625" spans="1:25">
      <c r="A1625" s="1010"/>
      <c r="B1625" s="1351">
        <v>1375</v>
      </c>
      <c r="C1625" s="1014">
        <v>0.98019906887009112</v>
      </c>
      <c r="D1625" s="1014">
        <v>0.98484039974690707</v>
      </c>
      <c r="E1625" s="1014">
        <v>1.0145316933976529</v>
      </c>
      <c r="F1625" s="1014">
        <v>0.97019598041522437</v>
      </c>
      <c r="G1625" s="1014">
        <v>1.010249217074431</v>
      </c>
      <c r="H1625" s="1014">
        <v>0.97162103402157696</v>
      </c>
      <c r="I1625" s="1014">
        <v>1.0156900262031026</v>
      </c>
      <c r="K1625">
        <v>2.3891102860856939</v>
      </c>
      <c r="L1625">
        <v>0</v>
      </c>
      <c r="M1625">
        <v>1.5843968498488572E-3</v>
      </c>
      <c r="N1625">
        <v>0.15060299752876449</v>
      </c>
      <c r="O1625">
        <v>2.1491478471054072E-2</v>
      </c>
      <c r="P1625">
        <v>2.8463166311033596E-2</v>
      </c>
      <c r="Q1625">
        <v>5.706302362067487E-3</v>
      </c>
      <c r="R1625">
        <v>1.5628723395012913E-3</v>
      </c>
      <c r="S1625">
        <v>0.26765966416931836</v>
      </c>
      <c r="T1625">
        <v>1.331063625382453</v>
      </c>
      <c r="U1625">
        <v>0.21630617724109646</v>
      </c>
      <c r="V1625">
        <v>0.24848970858845856</v>
      </c>
      <c r="W1625">
        <v>9.808995327293521E-2</v>
      </c>
      <c r="X1625">
        <v>1.7005113961466953E-2</v>
      </c>
      <c r="Y1625">
        <v>4.2536233073942617E-3</v>
      </c>
    </row>
    <row r="1626" spans="1:25">
      <c r="A1626" s="1010"/>
      <c r="B1626" s="1351">
        <v>1376</v>
      </c>
      <c r="C1626" s="1014">
        <v>0.97849649984095799</v>
      </c>
      <c r="D1626" s="1014">
        <v>1.0128005172240357</v>
      </c>
      <c r="E1626" s="1014">
        <v>0.97109423581264631</v>
      </c>
      <c r="F1626" s="1014">
        <v>1.0106882636523107</v>
      </c>
      <c r="G1626" s="1014">
        <v>0.99565472993453263</v>
      </c>
      <c r="H1626" s="1014">
        <v>1.0189009786238303</v>
      </c>
      <c r="I1626" s="1014">
        <v>0.9649558596393516</v>
      </c>
      <c r="K1626">
        <v>2.4303812717628177</v>
      </c>
      <c r="L1626">
        <v>0</v>
      </c>
      <c r="M1626">
        <v>1.8099470871938525E-3</v>
      </c>
      <c r="N1626">
        <v>0.15096930928983882</v>
      </c>
      <c r="O1626">
        <v>2.1367341350934061E-2</v>
      </c>
      <c r="P1626">
        <v>2.8080832563595608E-2</v>
      </c>
      <c r="Q1626">
        <v>5.4300057362529118E-3</v>
      </c>
      <c r="R1626">
        <v>1.7864993942767052E-3</v>
      </c>
      <c r="S1626">
        <v>0.25477322080218628</v>
      </c>
      <c r="T1626">
        <v>1.3856690519075896</v>
      </c>
      <c r="U1626">
        <v>0.2165309815694248</v>
      </c>
      <c r="V1626">
        <v>0.24626412610457679</v>
      </c>
      <c r="W1626">
        <v>0.1009151181388306</v>
      </c>
      <c r="X1626">
        <v>1.5542469560649095E-2</v>
      </c>
      <c r="Y1626">
        <v>4.8622624318541436E-3</v>
      </c>
    </row>
    <row r="1627" spans="1:25">
      <c r="A1627" s="1010"/>
      <c r="B1627" s="1351">
        <v>1377</v>
      </c>
      <c r="C1627" s="1014">
        <v>0.97633992581750639</v>
      </c>
      <c r="D1627" s="1014">
        <v>0.99590431257668599</v>
      </c>
      <c r="E1627" s="1014">
        <v>0.96930602945956967</v>
      </c>
      <c r="F1627" s="1014">
        <v>0.99235529007698287</v>
      </c>
      <c r="G1627" s="1014">
        <v>1.0241492083190886</v>
      </c>
      <c r="H1627" s="1014">
        <v>0.99477773589537166</v>
      </c>
      <c r="I1627" s="1014">
        <v>1.0004674849046502</v>
      </c>
      <c r="K1627">
        <v>2.4156919761129561</v>
      </c>
      <c r="L1627">
        <v>0</v>
      </c>
      <c r="M1627">
        <v>1.7841398755820434E-3</v>
      </c>
      <c r="N1627">
        <v>0.14796602037128137</v>
      </c>
      <c r="O1627">
        <v>2.1492732672257049E-2</v>
      </c>
      <c r="P1627">
        <v>2.79142444680959E-2</v>
      </c>
      <c r="Q1627">
        <v>5.4518986369541189E-3</v>
      </c>
      <c r="R1627">
        <v>1.7604660163203513E-3</v>
      </c>
      <c r="S1627">
        <v>0.26484462975580109</v>
      </c>
      <c r="T1627">
        <v>1.3604961233891073</v>
      </c>
      <c r="U1627">
        <v>0.21700303255130063</v>
      </c>
      <c r="V1627">
        <v>0.25128170073428541</v>
      </c>
      <c r="W1627">
        <v>9.9015264677119158E-2</v>
      </c>
      <c r="X1627">
        <v>1.5458594557058182E-2</v>
      </c>
      <c r="Y1627">
        <v>4.791408158957686E-3</v>
      </c>
    </row>
    <row r="1628" spans="1:25">
      <c r="A1628" s="1010"/>
      <c r="B1628" s="1351">
        <v>1378</v>
      </c>
      <c r="C1628" s="1014">
        <v>1.0053483129217968</v>
      </c>
      <c r="D1628" s="1014">
        <v>1.0140464576295218</v>
      </c>
      <c r="E1628" s="1014">
        <v>1.0247099505227919</v>
      </c>
      <c r="F1628" s="1014">
        <v>1.0196292751420211</v>
      </c>
      <c r="G1628" s="1014">
        <v>0.97858129205039235</v>
      </c>
      <c r="H1628" s="1014">
        <v>1.0164951157021007</v>
      </c>
      <c r="I1628" s="1014">
        <v>1.0012601348050758</v>
      </c>
      <c r="K1628">
        <v>2.4402655016852157</v>
      </c>
      <c r="L1628">
        <v>0</v>
      </c>
      <c r="M1628">
        <v>1.5721033894457617E-3</v>
      </c>
      <c r="N1628">
        <v>0.1541879246604432</v>
      </c>
      <c r="O1628">
        <v>2.0826290107207837E-2</v>
      </c>
      <c r="P1628">
        <v>2.9306361722891798E-2</v>
      </c>
      <c r="Q1628">
        <v>5.5859340231994284E-3</v>
      </c>
      <c r="R1628">
        <v>1.5516887353223007E-3</v>
      </c>
      <c r="S1628">
        <v>0.25737334802296585</v>
      </c>
      <c r="T1628">
        <v>1.3991091254827026</v>
      </c>
      <c r="U1628">
        <v>0.21092989036710874</v>
      </c>
      <c r="V1628">
        <v>0.24145646796650899</v>
      </c>
      <c r="W1628">
        <v>9.9828454838484362E-2</v>
      </c>
      <c r="X1628">
        <v>1.7458933924334404E-2</v>
      </c>
      <c r="Y1628">
        <v>4.2231852234931762E-3</v>
      </c>
    </row>
    <row r="1629" spans="1:25">
      <c r="A1629" s="1010"/>
      <c r="B1629" s="1351">
        <v>1379</v>
      </c>
      <c r="C1629" s="1014">
        <v>0.97439550346768378</v>
      </c>
      <c r="D1629" s="1014">
        <v>0.9826333084865968</v>
      </c>
      <c r="E1629" s="1014">
        <v>0.99680201797846635</v>
      </c>
      <c r="F1629" s="1014">
        <v>1.0211783045066505</v>
      </c>
      <c r="G1629" s="1014">
        <v>0.9731875245199586</v>
      </c>
      <c r="H1629" s="1014">
        <v>0.98378743049344042</v>
      </c>
      <c r="I1629" s="1014">
        <v>0.98872267302408823</v>
      </c>
      <c r="K1629">
        <v>2.4516855471590557</v>
      </c>
      <c r="L1629">
        <v>0</v>
      </c>
      <c r="M1629">
        <v>1.6751265257764214E-3</v>
      </c>
      <c r="N1629">
        <v>0.15095164267494457</v>
      </c>
      <c r="O1629">
        <v>2.1618023634045934E-2</v>
      </c>
      <c r="P1629">
        <v>2.8915611163250955E-2</v>
      </c>
      <c r="Q1629">
        <v>5.6388282526494337E-3</v>
      </c>
      <c r="R1629">
        <v>1.6526508600293584E-3</v>
      </c>
      <c r="S1629">
        <v>0.26330934314920063</v>
      </c>
      <c r="T1629">
        <v>1.4006169705932223</v>
      </c>
      <c r="U1629">
        <v>0.21753226024069866</v>
      </c>
      <c r="V1629">
        <v>0.24260284451538491</v>
      </c>
      <c r="W1629">
        <v>9.9353868945657453E-2</v>
      </c>
      <c r="X1629">
        <v>1.6670658810958416E-2</v>
      </c>
      <c r="Y1629">
        <v>4.4979708447903215E-3</v>
      </c>
    </row>
    <row r="1630" spans="1:25">
      <c r="A1630" s="1010"/>
      <c r="B1630" s="1351">
        <v>1380</v>
      </c>
      <c r="C1630" s="1014">
        <v>0.99883642155630037</v>
      </c>
      <c r="D1630" s="1014">
        <v>0.98672089083666337</v>
      </c>
      <c r="E1630" s="1014">
        <v>0.9981788874272759</v>
      </c>
      <c r="F1630" s="1014">
        <v>0.9712926150141763</v>
      </c>
      <c r="G1630" s="1014">
        <v>0.9746715677871407</v>
      </c>
      <c r="H1630" s="1014">
        <v>1.012058400701989</v>
      </c>
      <c r="I1630" s="1014">
        <v>0.99655900777530748</v>
      </c>
      <c r="K1630">
        <v>2.3729666390544137</v>
      </c>
      <c r="L1630">
        <v>0</v>
      </c>
      <c r="M1630">
        <v>1.6747744002443682E-3</v>
      </c>
      <c r="N1630">
        <v>0.15160670788460234</v>
      </c>
      <c r="O1630">
        <v>2.1070709919824585E-2</v>
      </c>
      <c r="P1630">
        <v>2.7888408245847179E-2</v>
      </c>
      <c r="Q1630">
        <v>5.5036897919844728E-3</v>
      </c>
      <c r="R1630">
        <v>1.6529311652451605E-3</v>
      </c>
      <c r="S1630">
        <v>0.26077831245137567</v>
      </c>
      <c r="T1630">
        <v>1.332224192409275</v>
      </c>
      <c r="U1630">
        <v>0.21221408858196189</v>
      </c>
      <c r="V1630">
        <v>0.24128474587608018</v>
      </c>
      <c r="W1630">
        <v>9.9703235897622991E-2</v>
      </c>
      <c r="X1630">
        <v>1.6215657487652937E-2</v>
      </c>
      <c r="Y1630">
        <v>4.4987337431851458E-3</v>
      </c>
    </row>
    <row r="1631" spans="1:25">
      <c r="A1631" s="1010"/>
      <c r="B1631" s="1351">
        <v>1381</v>
      </c>
      <c r="C1631" s="1014">
        <v>1.0120357284053716</v>
      </c>
      <c r="D1631" s="1014">
        <v>1.0162931588716588</v>
      </c>
      <c r="E1631" s="1014">
        <v>1.0232910260931638</v>
      </c>
      <c r="F1631" s="1014">
        <v>1.0091745461608703</v>
      </c>
      <c r="G1631" s="1014">
        <v>0.98488214256621809</v>
      </c>
      <c r="H1631" s="1014">
        <v>1.0419630140289664</v>
      </c>
      <c r="I1631" s="1014">
        <v>1.0332349534551624</v>
      </c>
      <c r="K1631">
        <v>2.437541894263942</v>
      </c>
      <c r="L1631">
        <v>0</v>
      </c>
      <c r="M1631">
        <v>1.6047977519764718E-3</v>
      </c>
      <c r="N1631">
        <v>0.15677279824892848</v>
      </c>
      <c r="O1631">
        <v>2.0677671168076825E-2</v>
      </c>
      <c r="P1631">
        <v>2.9182507840425888E-2</v>
      </c>
      <c r="Q1631">
        <v>5.5382714344722472E-3</v>
      </c>
      <c r="R1631">
        <v>1.584467899725317E-3</v>
      </c>
      <c r="S1631">
        <v>0.2657409276589911</v>
      </c>
      <c r="T1631">
        <v>1.3847322986583239</v>
      </c>
      <c r="U1631">
        <v>0.20953127994692117</v>
      </c>
      <c r="V1631">
        <v>0.24212634490038412</v>
      </c>
      <c r="W1631">
        <v>0.10158605433392702</v>
      </c>
      <c r="X1631">
        <v>1.7361670622390836E-2</v>
      </c>
      <c r="Y1631">
        <v>4.312399303349544E-3</v>
      </c>
    </row>
    <row r="1632" spans="1:25">
      <c r="A1632" s="1010"/>
      <c r="B1632" s="1351">
        <v>1382</v>
      </c>
      <c r="C1632" s="1014">
        <v>0.98896491257335173</v>
      </c>
      <c r="D1632" s="1014">
        <v>1.0274546471148336</v>
      </c>
      <c r="E1632" s="1014">
        <v>1.0155599343753094</v>
      </c>
      <c r="F1632" s="1014">
        <v>0.97868722684490128</v>
      </c>
      <c r="G1632" s="1014">
        <v>0.99252822576955468</v>
      </c>
      <c r="H1632" s="1014">
        <v>0.98954975281102564</v>
      </c>
      <c r="I1632" s="1014">
        <v>0.97726417915741115</v>
      </c>
      <c r="K1632">
        <v>2.3785316675064458</v>
      </c>
      <c r="L1632">
        <v>0</v>
      </c>
      <c r="M1632">
        <v>1.5811109945892438E-3</v>
      </c>
      <c r="N1632">
        <v>0.15079537538678828</v>
      </c>
      <c r="O1632">
        <v>2.1104085934166156E-2</v>
      </c>
      <c r="P1632">
        <v>2.8345052956523318E-2</v>
      </c>
      <c r="Q1632">
        <v>5.6091905153375036E-3</v>
      </c>
      <c r="R1632">
        <v>1.5600202971055911E-3</v>
      </c>
      <c r="S1632">
        <v>0.25137990222464845</v>
      </c>
      <c r="T1632">
        <v>1.3427350492827559</v>
      </c>
      <c r="U1632">
        <v>0.21439247613594112</v>
      </c>
      <c r="V1632">
        <v>0.24489678185812297</v>
      </c>
      <c r="W1632">
        <v>9.8155955100542841E-2</v>
      </c>
      <c r="X1632">
        <v>1.6893027820932917E-2</v>
      </c>
      <c r="Y1632">
        <v>4.2458609881686898E-3</v>
      </c>
    </row>
    <row r="1633" spans="1:25">
      <c r="A1633" s="1010"/>
      <c r="B1633" s="1351">
        <v>1383</v>
      </c>
      <c r="C1633" s="1014">
        <v>1.0053548966281343</v>
      </c>
      <c r="D1633" s="1014">
        <v>1.0157913634261064</v>
      </c>
      <c r="E1633" s="1014">
        <v>1.0009317994789617</v>
      </c>
      <c r="F1633" s="1014">
        <v>1.0091609549192164</v>
      </c>
      <c r="G1633" s="1014">
        <v>1.0328403009839733</v>
      </c>
      <c r="H1633" s="1014">
        <v>0.96199532308896296</v>
      </c>
      <c r="I1633" s="1014">
        <v>1.0004753562799638</v>
      </c>
      <c r="K1633">
        <v>2.4096535970765882</v>
      </c>
      <c r="L1633">
        <v>0</v>
      </c>
      <c r="M1633">
        <v>1.5625884646889188E-3</v>
      </c>
      <c r="N1633">
        <v>0.1425345506768744</v>
      </c>
      <c r="O1633">
        <v>2.0802604237697173E-2</v>
      </c>
      <c r="P1633">
        <v>2.8649341996952803E-2</v>
      </c>
      <c r="Q1633">
        <v>5.448720726343525E-3</v>
      </c>
      <c r="R1633">
        <v>1.5411478184259694E-3</v>
      </c>
      <c r="S1633">
        <v>0.2521588625320263</v>
      </c>
      <c r="T1633">
        <v>1.384224458668216</v>
      </c>
      <c r="U1633">
        <v>0.2108475036969028</v>
      </c>
      <c r="V1633">
        <v>0.25080347021841032</v>
      </c>
      <c r="W1633">
        <v>9.3583687500774643E-2</v>
      </c>
      <c r="X1633">
        <v>1.6427341146137656E-2</v>
      </c>
      <c r="Y1633">
        <v>4.1944963225136831E-3</v>
      </c>
    </row>
    <row r="1634" spans="1:25">
      <c r="A1634" s="1010"/>
      <c r="B1634" s="1351">
        <v>1384</v>
      </c>
      <c r="C1634" s="1014">
        <v>0.9923625923403947</v>
      </c>
      <c r="D1634" s="1014">
        <v>1.0326477057332462</v>
      </c>
      <c r="E1634" s="1014">
        <v>1.0091129254745239</v>
      </c>
      <c r="F1634" s="1014">
        <v>0.95636302957595076</v>
      </c>
      <c r="G1634" s="1014">
        <v>0.98104804330145723</v>
      </c>
      <c r="H1634" s="1014">
        <v>0.98809129631758963</v>
      </c>
      <c r="I1634" s="1014">
        <v>1.0178892828833217</v>
      </c>
      <c r="K1634">
        <v>2.3499491461897564</v>
      </c>
      <c r="L1634">
        <v>0</v>
      </c>
      <c r="M1634">
        <v>1.5928302049519072E-3</v>
      </c>
      <c r="N1634">
        <v>0.14898242388013105</v>
      </c>
      <c r="O1634">
        <v>2.1004225301146599E-2</v>
      </c>
      <c r="P1634">
        <v>2.7867885633880391E-2</v>
      </c>
      <c r="Q1634">
        <v>5.5468321901642617E-3</v>
      </c>
      <c r="R1634">
        <v>1.5715518216795677E-3</v>
      </c>
      <c r="S1634">
        <v>0.26009959018137707</v>
      </c>
      <c r="T1634">
        <v>1.3119731145207081</v>
      </c>
      <c r="U1634">
        <v>0.21363618374661805</v>
      </c>
      <c r="V1634">
        <v>0.24274326066902391</v>
      </c>
      <c r="W1634">
        <v>9.734455567681842E-2</v>
      </c>
      <c r="X1634">
        <v>1.6495106776468208E-2</v>
      </c>
      <c r="Y1634">
        <v>4.2772459966929997E-3</v>
      </c>
    </row>
    <row r="1635" spans="1:25">
      <c r="A1635" s="1010"/>
      <c r="B1635" s="1351">
        <v>1385</v>
      </c>
      <c r="C1635" s="1014">
        <v>1.0096648437380873</v>
      </c>
      <c r="D1635" s="1014">
        <v>0.97879074118787079</v>
      </c>
      <c r="E1635" s="1014">
        <v>0.97692238971021172</v>
      </c>
      <c r="F1635" s="1014">
        <v>0.99148230109164925</v>
      </c>
      <c r="G1635" s="1014">
        <v>1.006147467953822</v>
      </c>
      <c r="H1635" s="1014">
        <v>0.99436288312395971</v>
      </c>
      <c r="I1635" s="1014">
        <v>0.99879577540476594</v>
      </c>
      <c r="K1635">
        <v>2.3883290127018273</v>
      </c>
      <c r="L1635">
        <v>0</v>
      </c>
      <c r="M1635">
        <v>1.704101755865066E-3</v>
      </c>
      <c r="N1635">
        <v>0.14462366386503714</v>
      </c>
      <c r="O1635">
        <v>2.0867758426183949E-2</v>
      </c>
      <c r="P1635">
        <v>2.7804992284734865E-2</v>
      </c>
      <c r="Q1635">
        <v>5.3346611766850781E-3</v>
      </c>
      <c r="R1635">
        <v>1.6814804934663658E-3</v>
      </c>
      <c r="S1635">
        <v>0.25794070641773825</v>
      </c>
      <c r="T1635">
        <v>1.359461688483719</v>
      </c>
      <c r="U1635">
        <v>0.20986632051214871</v>
      </c>
      <c r="V1635">
        <v>0.24606826384496147</v>
      </c>
      <c r="W1635">
        <v>9.6332156876189068E-2</v>
      </c>
      <c r="X1635">
        <v>1.5474986473510264E-2</v>
      </c>
      <c r="Y1635">
        <v>4.5764356033197486E-3</v>
      </c>
    </row>
    <row r="1636" spans="1:25">
      <c r="A1636" s="1010"/>
      <c r="B1636" s="1351">
        <v>1386</v>
      </c>
      <c r="C1636" s="1014">
        <v>1.0171336351453486</v>
      </c>
      <c r="D1636" s="1014">
        <v>1.0148588446200444</v>
      </c>
      <c r="E1636" s="1014">
        <v>0.98051700616356563</v>
      </c>
      <c r="F1636" s="1014">
        <v>0.96881333791008939</v>
      </c>
      <c r="G1636" s="1014">
        <v>1.0238569925334062</v>
      </c>
      <c r="H1636" s="1014">
        <v>1.0168874523180407</v>
      </c>
      <c r="I1636" s="1014">
        <v>1.0014736790603522</v>
      </c>
      <c r="K1636">
        <v>2.3559800403096958</v>
      </c>
      <c r="L1636">
        <v>0</v>
      </c>
      <c r="M1636">
        <v>1.703483173009583E-3</v>
      </c>
      <c r="N1636">
        <v>0.1461958186751984</v>
      </c>
      <c r="O1636">
        <v>2.0552600506187527E-2</v>
      </c>
      <c r="P1636">
        <v>2.7425184816684003E-2</v>
      </c>
      <c r="Q1636">
        <v>5.2733387896156626E-3</v>
      </c>
      <c r="R1636">
        <v>1.6813710125155824E-3</v>
      </c>
      <c r="S1636">
        <v>0.25402152903067404</v>
      </c>
      <c r="T1636">
        <v>1.3284543412766259</v>
      </c>
      <c r="U1636">
        <v>0.20833731530533939</v>
      </c>
      <c r="V1636">
        <v>0.24862726757673981</v>
      </c>
      <c r="W1636">
        <v>9.7168002866449554E-2</v>
      </c>
      <c r="X1636">
        <v>1.537061599441306E-2</v>
      </c>
      <c r="Y1636">
        <v>4.5761376322621013E-3</v>
      </c>
    </row>
    <row r="1637" spans="1:25">
      <c r="A1637" s="1010"/>
      <c r="B1637" s="1351">
        <v>1387</v>
      </c>
      <c r="C1637" s="1014">
        <v>0.97033066547873215</v>
      </c>
      <c r="D1637" s="1014">
        <v>0.98089634727117014</v>
      </c>
      <c r="E1637" s="1014">
        <v>1.0376004618704522</v>
      </c>
      <c r="F1637" s="1014">
        <v>0.99007425241215008</v>
      </c>
      <c r="G1637" s="1014">
        <v>0.99860139953076477</v>
      </c>
      <c r="H1637" s="1014">
        <v>1.0173294742770744</v>
      </c>
      <c r="I1637" s="1014">
        <v>1.0119862031723679</v>
      </c>
      <c r="K1637">
        <v>2.4460774295700913</v>
      </c>
      <c r="L1637">
        <v>0</v>
      </c>
      <c r="M1637">
        <v>1.5986092005768639E-3</v>
      </c>
      <c r="N1637">
        <v>0.16300136550511465</v>
      </c>
      <c r="O1637">
        <v>2.1745132320598961E-2</v>
      </c>
      <c r="P1637">
        <v>2.943901460612821E-2</v>
      </c>
      <c r="Q1637">
        <v>5.9071423836244792E-3</v>
      </c>
      <c r="R1637">
        <v>1.5778673787461056E-3</v>
      </c>
      <c r="S1637">
        <v>0.27421787459701308</v>
      </c>
      <c r="T1637">
        <v>1.3588321829842029</v>
      </c>
      <c r="U1637">
        <v>0.21858762818971356</v>
      </c>
      <c r="V1637">
        <v>0.24706936726029841</v>
      </c>
      <c r="W1637">
        <v>0.10474866366409015</v>
      </c>
      <c r="X1637">
        <v>1.8255365020031729E-2</v>
      </c>
      <c r="Y1637">
        <v>4.2944348611052875E-3</v>
      </c>
    </row>
    <row r="1638" spans="1:25">
      <c r="A1638" s="1010"/>
      <c r="B1638" s="1351">
        <v>1388</v>
      </c>
      <c r="C1638" s="1014">
        <v>1.0119927480659978</v>
      </c>
      <c r="D1638" s="1014">
        <v>0.97502104836166914</v>
      </c>
      <c r="E1638" s="1014">
        <v>0.98806911335555792</v>
      </c>
      <c r="F1638" s="1014">
        <v>0.97996207362648113</v>
      </c>
      <c r="G1638" s="1014">
        <v>0.96816665170672289</v>
      </c>
      <c r="H1638" s="1014">
        <v>1.0018118012165924</v>
      </c>
      <c r="I1638" s="1014">
        <v>0.96949628067746429</v>
      </c>
      <c r="K1638">
        <v>2.3621742278371678</v>
      </c>
      <c r="L1638">
        <v>0</v>
      </c>
      <c r="M1638">
        <v>1.6752948209168385E-3</v>
      </c>
      <c r="N1638">
        <v>0.14706960827446519</v>
      </c>
      <c r="O1638">
        <v>2.084476851549838E-2</v>
      </c>
      <c r="P1638">
        <v>2.7639891455085192E-2</v>
      </c>
      <c r="Q1638">
        <v>5.3894152259483319E-3</v>
      </c>
      <c r="R1638">
        <v>1.6532213148117195E-3</v>
      </c>
      <c r="S1638">
        <v>0.25098296121361485</v>
      </c>
      <c r="T1638">
        <v>1.3439012390974303</v>
      </c>
      <c r="U1638">
        <v>0.20942110631864638</v>
      </c>
      <c r="V1638">
        <v>0.23939682690380346</v>
      </c>
      <c r="W1638">
        <v>9.7305533635264715E-2</v>
      </c>
      <c r="X1638">
        <v>1.5745427268858029E-2</v>
      </c>
      <c r="Y1638">
        <v>4.4995234346575418E-3</v>
      </c>
    </row>
    <row r="1639" spans="1:25">
      <c r="A1639" s="1010"/>
      <c r="B1639" s="1351">
        <v>1389</v>
      </c>
      <c r="C1639" s="1014">
        <v>1.011022743959562</v>
      </c>
      <c r="D1639" s="1014">
        <v>1.0182172449667672</v>
      </c>
      <c r="E1639" s="1014">
        <v>0.97340745026435183</v>
      </c>
      <c r="F1639" s="1014">
        <v>1.0065070862670484</v>
      </c>
      <c r="G1639" s="1014">
        <v>1.0411776384952347</v>
      </c>
      <c r="H1639" s="1014">
        <v>1.0066428335019457</v>
      </c>
      <c r="I1639" s="1014">
        <v>0.97589399792209464</v>
      </c>
      <c r="K1639">
        <v>2.4040269249375523</v>
      </c>
      <c r="L1639">
        <v>0</v>
      </c>
      <c r="M1639">
        <v>1.7203755878791344E-3</v>
      </c>
      <c r="N1639">
        <v>0.14448341721960065</v>
      </c>
      <c r="O1639">
        <v>2.0657171620608289E-2</v>
      </c>
      <c r="P1639">
        <v>2.7943671450454344E-2</v>
      </c>
      <c r="Q1639">
        <v>5.2619433087463651E-3</v>
      </c>
      <c r="R1639">
        <v>1.697816887106072E-3</v>
      </c>
      <c r="S1639">
        <v>0.24772789765880587</v>
      </c>
      <c r="T1639">
        <v>1.3799866594997472</v>
      </c>
      <c r="U1639">
        <v>0.20957261380835127</v>
      </c>
      <c r="V1639">
        <v>0.25198500532477741</v>
      </c>
      <c r="W1639">
        <v>9.6444000898984597E-2</v>
      </c>
      <c r="X1639">
        <v>1.5366204966732643E-2</v>
      </c>
      <c r="Y1639">
        <v>4.620897881516311E-3</v>
      </c>
    </row>
    <row r="1640" spans="1:25">
      <c r="A1640" s="1010"/>
      <c r="B1640" s="1351">
        <v>1390</v>
      </c>
      <c r="C1640" s="1014">
        <v>1.0324627040016017</v>
      </c>
      <c r="D1640" s="1014">
        <v>0.95948443047529341</v>
      </c>
      <c r="E1640" s="1014">
        <v>0.96692953021951877</v>
      </c>
      <c r="F1640" s="1014">
        <v>0.99873031250969091</v>
      </c>
      <c r="G1640" s="1014">
        <v>0.98683508274383014</v>
      </c>
      <c r="H1640" s="1014">
        <v>0.98298035201873835</v>
      </c>
      <c r="I1640" s="1014">
        <v>0.9787472070970753</v>
      </c>
      <c r="K1640">
        <v>2.3693850926812217</v>
      </c>
      <c r="L1640">
        <v>0</v>
      </c>
      <c r="M1640">
        <v>1.6891334775910624E-3</v>
      </c>
      <c r="N1640">
        <v>0.13905975134746906</v>
      </c>
      <c r="O1640">
        <v>2.0490159554133712E-2</v>
      </c>
      <c r="P1640">
        <v>2.747581527104349E-2</v>
      </c>
      <c r="Q1640">
        <v>5.184960849298181E-3</v>
      </c>
      <c r="R1640">
        <v>1.6664512684415502E-3</v>
      </c>
      <c r="S1640">
        <v>0.24867893654500145</v>
      </c>
      <c r="T1640">
        <v>1.3691851393476888</v>
      </c>
      <c r="U1640">
        <v>0.20519931877796455</v>
      </c>
      <c r="V1640">
        <v>0.24144061218602778</v>
      </c>
      <c r="W1640">
        <v>9.3190301866797637E-2</v>
      </c>
      <c r="X1640">
        <v>1.496724813776098E-2</v>
      </c>
      <c r="Y1640">
        <v>4.5355310071848974E-3</v>
      </c>
    </row>
    <row r="1641" spans="1:25">
      <c r="A1641" s="1010"/>
      <c r="B1641" s="1351">
        <v>1391</v>
      </c>
      <c r="C1641" s="1014">
        <v>1.0190031912545408</v>
      </c>
      <c r="D1641" s="1014">
        <v>1.0322998145709252</v>
      </c>
      <c r="E1641" s="1014">
        <v>1.0254868740936791</v>
      </c>
      <c r="F1641" s="1014">
        <v>0.97764549041782711</v>
      </c>
      <c r="G1641" s="1014">
        <v>1.0000163793522707</v>
      </c>
      <c r="H1641" s="1014">
        <v>0.98643371596448559</v>
      </c>
      <c r="I1641" s="1014">
        <v>1.0294563239127754</v>
      </c>
      <c r="K1641">
        <v>2.367893660369182</v>
      </c>
      <c r="L1641">
        <v>0</v>
      </c>
      <c r="M1641">
        <v>1.4968475946795211E-3</v>
      </c>
      <c r="N1641">
        <v>0.14709239032036836</v>
      </c>
      <c r="O1641">
        <v>2.0467229848440772E-2</v>
      </c>
      <c r="P1641">
        <v>2.8505979464023175E-2</v>
      </c>
      <c r="Q1641">
        <v>5.4938582933550624E-3</v>
      </c>
      <c r="R1641">
        <v>1.4768178278171645E-3</v>
      </c>
      <c r="S1641">
        <v>0.25621243001788119</v>
      </c>
      <c r="T1641">
        <v>1.3415165619995368</v>
      </c>
      <c r="U1641">
        <v>0.20810599717821798</v>
      </c>
      <c r="V1641">
        <v>0.2442797468868059</v>
      </c>
      <c r="W1641">
        <v>9.5191369749672378E-2</v>
      </c>
      <c r="X1641">
        <v>1.7028715083287856E-2</v>
      </c>
      <c r="Y1641">
        <v>4.0194112944522201E-3</v>
      </c>
    </row>
    <row r="1642" spans="1:25">
      <c r="A1642" s="1010"/>
      <c r="B1642" s="1351">
        <v>1392</v>
      </c>
      <c r="C1642" s="1014">
        <v>1.0015970674492141</v>
      </c>
      <c r="D1642" s="1014">
        <v>1.0009427692387156</v>
      </c>
      <c r="E1642" s="1014">
        <v>0.99627042263894161</v>
      </c>
      <c r="F1642" s="1014">
        <v>0.99425277399162659</v>
      </c>
      <c r="G1642" s="1014">
        <v>0.9976477326424501</v>
      </c>
      <c r="H1642" s="1014">
        <v>1.0210632058841167</v>
      </c>
      <c r="I1642" s="1014">
        <v>1.0105686307197472</v>
      </c>
      <c r="K1642">
        <v>2.4102143841335688</v>
      </c>
      <c r="L1642">
        <v>0</v>
      </c>
      <c r="M1642">
        <v>1.6863818771133317E-3</v>
      </c>
      <c r="N1642">
        <v>0.15179729712514947</v>
      </c>
      <c r="O1642">
        <v>2.0945320376540611E-2</v>
      </c>
      <c r="P1642">
        <v>2.8344391709542498E-2</v>
      </c>
      <c r="Q1642">
        <v>5.4604367040451615E-3</v>
      </c>
      <c r="R1642">
        <v>1.6645812233195194E-3</v>
      </c>
      <c r="S1642">
        <v>0.2625901969879666</v>
      </c>
      <c r="T1642">
        <v>1.3636753119725784</v>
      </c>
      <c r="U1642">
        <v>0.21162266444206398</v>
      </c>
      <c r="V1642">
        <v>0.24504328329576422</v>
      </c>
      <c r="W1642">
        <v>9.9942122999511329E-2</v>
      </c>
      <c r="X1642">
        <v>1.6284717813377876E-2</v>
      </c>
      <c r="Y1642">
        <v>4.5304413608229389E-3</v>
      </c>
    </row>
    <row r="1643" spans="1:25">
      <c r="A1643" s="1010"/>
      <c r="B1643" s="1351">
        <v>1393</v>
      </c>
      <c r="C1643" s="1014">
        <v>1.0008790829761862</v>
      </c>
      <c r="D1643" s="1014">
        <v>0.99837851374091457</v>
      </c>
      <c r="E1643" s="1014">
        <v>0.97101670074854907</v>
      </c>
      <c r="F1643" s="1014">
        <v>0.98172004227888332</v>
      </c>
      <c r="G1643" s="1014">
        <v>1.025758735638812</v>
      </c>
      <c r="H1643" s="1014">
        <v>0.98709205437925107</v>
      </c>
      <c r="I1643" s="1014">
        <v>0.99703256087207026</v>
      </c>
      <c r="K1643">
        <v>2.377005500107126</v>
      </c>
      <c r="L1643">
        <v>0</v>
      </c>
      <c r="M1643">
        <v>1.7199232161835554E-3</v>
      </c>
      <c r="N1643">
        <v>0.14336600200524416</v>
      </c>
      <c r="O1643">
        <v>2.0955469813207023E-2</v>
      </c>
      <c r="P1643">
        <v>2.7557044952533149E-2</v>
      </c>
      <c r="Q1643">
        <v>5.3249165504009755E-3</v>
      </c>
      <c r="R1643">
        <v>1.6969237571510755E-3</v>
      </c>
      <c r="S1643">
        <v>0.2565069341644563</v>
      </c>
      <c r="T1643">
        <v>1.3459515414277046</v>
      </c>
      <c r="U1643">
        <v>0.2116884520721915</v>
      </c>
      <c r="V1643">
        <v>0.24998422027029962</v>
      </c>
      <c r="W1643">
        <v>9.5837222035230499E-2</v>
      </c>
      <c r="X1643">
        <v>1.5238229198691507E-2</v>
      </c>
      <c r="Y1643">
        <v>4.6184670761990222E-3</v>
      </c>
    </row>
    <row r="1644" spans="1:25">
      <c r="A1644" s="1010"/>
      <c r="B1644" s="1351">
        <v>1394</v>
      </c>
      <c r="C1644" s="1014">
        <v>0.98441880269864779</v>
      </c>
      <c r="D1644" s="1014">
        <v>0.99519536793296615</v>
      </c>
      <c r="E1644" s="1014">
        <v>0.9743777203746169</v>
      </c>
      <c r="F1644" s="1014">
        <v>0.98678470034370014</v>
      </c>
      <c r="G1644" s="1014">
        <v>1.0156502343778258</v>
      </c>
      <c r="H1644" s="1014">
        <v>0.96363515329927285</v>
      </c>
      <c r="I1644" s="1014">
        <v>1.0264244069418935</v>
      </c>
      <c r="K1644">
        <v>2.3971782730695139</v>
      </c>
      <c r="L1644">
        <v>0</v>
      </c>
      <c r="M1644">
        <v>1.6965087785496419E-3</v>
      </c>
      <c r="N1644">
        <v>0.1428133363633047</v>
      </c>
      <c r="O1644">
        <v>2.132309424815701E-2</v>
      </c>
      <c r="P1644">
        <v>2.7898620410893693E-2</v>
      </c>
      <c r="Q1644">
        <v>5.4369493288989757E-3</v>
      </c>
      <c r="R1644">
        <v>1.6732701927618561E-3</v>
      </c>
      <c r="S1644">
        <v>0.26686259290246195</v>
      </c>
      <c r="T1644">
        <v>1.3529665817055887</v>
      </c>
      <c r="U1644">
        <v>0.21523967347765596</v>
      </c>
      <c r="V1644">
        <v>0.24928584578309604</v>
      </c>
      <c r="W1644">
        <v>9.5273101305575883E-2</v>
      </c>
      <c r="X1644">
        <v>1.5547626258341572E-2</v>
      </c>
      <c r="Y1644">
        <v>4.5540898713269714E-3</v>
      </c>
    </row>
    <row r="1645" spans="1:25">
      <c r="A1645" s="1010"/>
      <c r="B1645" s="1351">
        <v>1395</v>
      </c>
      <c r="C1645" s="1014">
        <v>0.98748996617195695</v>
      </c>
      <c r="D1645" s="1014">
        <v>0.99381090090434432</v>
      </c>
      <c r="E1645" s="1014">
        <v>1.0173162013713117</v>
      </c>
      <c r="F1645" s="1014">
        <v>0.98086681590178726</v>
      </c>
      <c r="G1645" s="1014">
        <v>1.0036169262829624</v>
      </c>
      <c r="H1645" s="1014">
        <v>0.99011363879202641</v>
      </c>
      <c r="I1645" s="1014">
        <v>0.98742975217370366</v>
      </c>
      <c r="K1645">
        <v>2.3945346436053767</v>
      </c>
      <c r="L1645">
        <v>0</v>
      </c>
      <c r="M1645">
        <v>1.5902037515513031E-3</v>
      </c>
      <c r="N1645">
        <v>0.15246964732481094</v>
      </c>
      <c r="O1645">
        <v>2.129216720067614E-2</v>
      </c>
      <c r="P1645">
        <v>2.8556700138477498E-2</v>
      </c>
      <c r="Q1645">
        <v>5.6690889547609709E-3</v>
      </c>
      <c r="R1645">
        <v>1.5690038448744018E-3</v>
      </c>
      <c r="S1645">
        <v>0.25871020142561624</v>
      </c>
      <c r="T1645">
        <v>1.3457627716748366</v>
      </c>
      <c r="U1645">
        <v>0.21471879426844895</v>
      </c>
      <c r="V1645">
        <v>0.24687765354640101</v>
      </c>
      <c r="W1645">
        <v>9.9143565321079596E-2</v>
      </c>
      <c r="X1645">
        <v>1.7084942413175399E-2</v>
      </c>
      <c r="Y1645">
        <v>4.2703112437696648E-3</v>
      </c>
    </row>
    <row r="1646" spans="1:25">
      <c r="A1646" s="1010"/>
      <c r="B1646" s="1351">
        <v>1396</v>
      </c>
      <c r="C1646" s="1014">
        <v>0.98781351343817492</v>
      </c>
      <c r="D1646" s="1014">
        <v>0.97964368858181627</v>
      </c>
      <c r="E1646" s="1014">
        <v>1.0240868928758868</v>
      </c>
      <c r="F1646" s="1014">
        <v>1.0403403524710975</v>
      </c>
      <c r="G1646" s="1014">
        <v>1.0085799430503213</v>
      </c>
      <c r="H1646" s="1014">
        <v>0.98672512967712389</v>
      </c>
      <c r="I1646" s="1014">
        <v>0.98216375183903826</v>
      </c>
      <c r="K1646">
        <v>2.4802784220078209</v>
      </c>
      <c r="L1646">
        <v>0</v>
      </c>
      <c r="M1646">
        <v>1.5670205890311838E-3</v>
      </c>
      <c r="N1646">
        <v>0.15334001123421892</v>
      </c>
      <c r="O1646">
        <v>2.1357118490618537E-2</v>
      </c>
      <c r="P1646">
        <v>2.9846944552146353E-2</v>
      </c>
      <c r="Q1646">
        <v>5.7247719296505545E-3</v>
      </c>
      <c r="R1646">
        <v>1.546058009069263E-3</v>
      </c>
      <c r="S1646">
        <v>0.25887994923576696</v>
      </c>
      <c r="T1646">
        <v>1.4275142480753777</v>
      </c>
      <c r="U1646">
        <v>0.21467196884175019</v>
      </c>
      <c r="V1646">
        <v>0.2476801541648109</v>
      </c>
      <c r="W1646">
        <v>9.931554733239667E-2</v>
      </c>
      <c r="X1646">
        <v>1.7760810488242643E-2</v>
      </c>
      <c r="Y1646">
        <v>4.2078602428008184E-3</v>
      </c>
    </row>
    <row r="1647" spans="1:25">
      <c r="A1647" s="1010"/>
      <c r="B1647" s="1351">
        <v>1397</v>
      </c>
      <c r="C1647" s="1014">
        <v>0.99321130320384798</v>
      </c>
      <c r="D1647" s="1014">
        <v>1.0294679078660174</v>
      </c>
      <c r="E1647" s="1014">
        <v>0.99549087464186947</v>
      </c>
      <c r="F1647" s="1014">
        <v>1.0189348168462651</v>
      </c>
      <c r="G1647" s="1014">
        <v>1.0019701624484361</v>
      </c>
      <c r="H1647" s="1014">
        <v>0.98466958408983751</v>
      </c>
      <c r="I1647" s="1014">
        <v>1.0091124680222618</v>
      </c>
      <c r="K1647">
        <v>2.4338801350831236</v>
      </c>
      <c r="L1647">
        <v>0</v>
      </c>
      <c r="M1647">
        <v>1.6325340284936306E-3</v>
      </c>
      <c r="N1647">
        <v>0.14653350133061468</v>
      </c>
      <c r="O1647">
        <v>2.0991472903384E-2</v>
      </c>
      <c r="P1647">
        <v>2.8762025059326908E-2</v>
      </c>
      <c r="Q1647">
        <v>5.4681723967547032E-3</v>
      </c>
      <c r="R1647">
        <v>1.6106494625208413E-3</v>
      </c>
      <c r="S1647">
        <v>0.25762750801399953</v>
      </c>
      <c r="T1647">
        <v>1.3975109992520491</v>
      </c>
      <c r="U1647">
        <v>0.21340673075173422</v>
      </c>
      <c r="V1647">
        <v>0.24631023814767819</v>
      </c>
      <c r="W1647">
        <v>9.6521337702258972E-2</v>
      </c>
      <c r="X1647">
        <v>1.6386377204762582E-2</v>
      </c>
      <c r="Y1647">
        <v>4.383656886529105E-3</v>
      </c>
    </row>
    <row r="1648" spans="1:25">
      <c r="A1648" s="1010"/>
      <c r="B1648" s="1351">
        <v>1398</v>
      </c>
      <c r="C1648" s="1014">
        <v>1.034664653851507</v>
      </c>
      <c r="D1648" s="1014">
        <v>0.99793328942430604</v>
      </c>
      <c r="E1648" s="1014">
        <v>1.0155012706839321</v>
      </c>
      <c r="F1648" s="1014">
        <v>1.0048348735144814</v>
      </c>
      <c r="G1648" s="1014">
        <v>1.0085974059908662</v>
      </c>
      <c r="H1648" s="1014">
        <v>1.0081422000553755</v>
      </c>
      <c r="I1648" s="1014">
        <v>1.005720062900485</v>
      </c>
      <c r="K1648">
        <v>2.4002053548599127</v>
      </c>
      <c r="L1648">
        <v>0</v>
      </c>
      <c r="M1648">
        <v>1.5497663109811208E-3</v>
      </c>
      <c r="N1648">
        <v>0.14781661905298879</v>
      </c>
      <c r="O1648">
        <v>2.030170267234244E-2</v>
      </c>
      <c r="P1648">
        <v>2.872233177049998E-2</v>
      </c>
      <c r="Q1648">
        <v>5.3956120622040598E-3</v>
      </c>
      <c r="R1648">
        <v>1.5294749750915119E-3</v>
      </c>
      <c r="S1648">
        <v>0.25244350882297961</v>
      </c>
      <c r="T1648">
        <v>1.3786077051084726</v>
      </c>
      <c r="U1648">
        <v>0.20492285555938303</v>
      </c>
      <c r="V1648">
        <v>0.24485265468303818</v>
      </c>
      <c r="W1648">
        <v>9.6220332485087823E-2</v>
      </c>
      <c r="X1648">
        <v>1.6779597287899087E-2</v>
      </c>
      <c r="Y1648">
        <v>4.162726690909062E-3</v>
      </c>
    </row>
    <row r="1649" spans="1:25">
      <c r="A1649" s="1010"/>
      <c r="B1649" s="1351">
        <v>1399</v>
      </c>
      <c r="C1649" s="1014">
        <v>1.0028757276243945</v>
      </c>
      <c r="D1649" s="1014">
        <v>1.0199438630301856</v>
      </c>
      <c r="E1649" s="1014">
        <v>1.0288039460987077</v>
      </c>
      <c r="F1649" s="1014">
        <v>1.039685616049119</v>
      </c>
      <c r="G1649" s="1014">
        <v>1.0125807959787345</v>
      </c>
      <c r="H1649" s="1014">
        <v>0.967345777222548</v>
      </c>
      <c r="I1649" s="1014">
        <v>1.018241908755166</v>
      </c>
      <c r="K1649">
        <v>2.4635830613353957</v>
      </c>
      <c r="L1649">
        <v>0</v>
      </c>
      <c r="M1649">
        <v>1.4851480837152627E-3</v>
      </c>
      <c r="N1649">
        <v>0.14737024238435864</v>
      </c>
      <c r="O1649">
        <v>2.0853728026532483E-2</v>
      </c>
      <c r="P1649">
        <v>2.9869731446792426E-2</v>
      </c>
      <c r="Q1649">
        <v>5.6160197421074301E-3</v>
      </c>
      <c r="R1649">
        <v>1.4648827277118327E-3</v>
      </c>
      <c r="S1649">
        <v>0.25743207645329635</v>
      </c>
      <c r="T1649">
        <v>1.4267224626346624</v>
      </c>
      <c r="U1649">
        <v>0.21146394762479584</v>
      </c>
      <c r="V1649">
        <v>0.24739717248078233</v>
      </c>
      <c r="W1649">
        <v>9.5187312956952153E-2</v>
      </c>
      <c r="X1649">
        <v>1.7703705054748494E-2</v>
      </c>
      <c r="Y1649">
        <v>3.9869278863702007E-3</v>
      </c>
    </row>
    <row r="1650" spans="1:25">
      <c r="A1650" s="1010"/>
      <c r="B1650" s="1351">
        <v>1400</v>
      </c>
      <c r="C1650" s="1014">
        <v>0.99566621954853463</v>
      </c>
      <c r="D1650" s="1014">
        <v>1.032133495527058</v>
      </c>
      <c r="E1650" s="1014">
        <v>0.99563072422804078</v>
      </c>
      <c r="F1650" s="1014">
        <v>1.0097801410834277</v>
      </c>
      <c r="G1650" s="1014">
        <v>0.97877763478397295</v>
      </c>
      <c r="H1650" s="1014">
        <v>0.96945033982364892</v>
      </c>
      <c r="I1650" s="1014">
        <v>1.0293942166978574</v>
      </c>
      <c r="K1650">
        <v>2.4145900277315371</v>
      </c>
      <c r="L1650">
        <v>0</v>
      </c>
      <c r="M1650">
        <v>1.6019619492233543E-3</v>
      </c>
      <c r="N1650">
        <v>0.14381950479106276</v>
      </c>
      <c r="O1650">
        <v>2.0927899439090875E-2</v>
      </c>
      <c r="P1650">
        <v>2.8570144351847914E-2</v>
      </c>
      <c r="Q1650">
        <v>5.4523801260071983E-3</v>
      </c>
      <c r="R1650">
        <v>1.5801500818938153E-3</v>
      </c>
      <c r="S1650">
        <v>0.26049203006278382</v>
      </c>
      <c r="T1650">
        <v>1.3849580365516208</v>
      </c>
      <c r="U1650">
        <v>0.21288103453257984</v>
      </c>
      <c r="V1650">
        <v>0.24219375597606166</v>
      </c>
      <c r="W1650">
        <v>9.4725731874272426E-2</v>
      </c>
      <c r="X1650">
        <v>1.6290674266958675E-2</v>
      </c>
      <c r="Y1650">
        <v>4.3006476265804641E-3</v>
      </c>
    </row>
    <row r="1651" spans="1:25">
      <c r="A1651" s="1010"/>
      <c r="B1651" s="1351">
        <v>1401</v>
      </c>
      <c r="C1651" s="1014">
        <v>1.002322325774522</v>
      </c>
      <c r="D1651" s="1014">
        <v>1.0191318697550735</v>
      </c>
      <c r="E1651" s="1014">
        <v>1.0018821219136966</v>
      </c>
      <c r="F1651" s="1014">
        <v>0.97922709445108058</v>
      </c>
      <c r="G1651" s="1014">
        <v>1.0144370301172885</v>
      </c>
      <c r="H1651" s="1014">
        <v>0.97838038024637064</v>
      </c>
      <c r="I1651" s="1014">
        <v>0.97525478465652726</v>
      </c>
      <c r="K1651">
        <v>2.3657741757873785</v>
      </c>
      <c r="L1651">
        <v>0</v>
      </c>
      <c r="M1651">
        <v>1.5897227786742319E-3</v>
      </c>
      <c r="N1651">
        <v>0.14546043916494708</v>
      </c>
      <c r="O1651">
        <v>2.0851104480844072E-2</v>
      </c>
      <c r="P1651">
        <v>2.8013466190017867E-2</v>
      </c>
      <c r="Q1651">
        <v>5.4666395724620696E-3</v>
      </c>
      <c r="R1651">
        <v>1.568275120446041E-3</v>
      </c>
      <c r="S1651">
        <v>0.24749786208749855</v>
      </c>
      <c r="T1651">
        <v>1.3431855494684963</v>
      </c>
      <c r="U1651">
        <v>0.21148867382448311</v>
      </c>
      <c r="V1651">
        <v>0.24784510986636032</v>
      </c>
      <c r="W1651">
        <v>9.5450865666397822E-2</v>
      </c>
      <c r="X1651">
        <v>1.6267585228000488E-2</v>
      </c>
      <c r="Y1651">
        <v>4.2683278960996118E-3</v>
      </c>
    </row>
    <row r="1652" spans="1:25">
      <c r="A1652" s="1010"/>
      <c r="B1652" s="1351">
        <v>1402</v>
      </c>
      <c r="C1652" s="1014">
        <v>1.0289289121618765</v>
      </c>
      <c r="D1652" s="1014">
        <v>1.0108859555655871</v>
      </c>
      <c r="E1652" s="1014">
        <v>1.0225998054383878</v>
      </c>
      <c r="F1652" s="1014">
        <v>0.99826824626052035</v>
      </c>
      <c r="G1652" s="1014">
        <v>1.0113392266636361</v>
      </c>
      <c r="H1652" s="1014">
        <v>1.0071483727223187</v>
      </c>
      <c r="I1652" s="1014">
        <v>1.0105051445385032</v>
      </c>
      <c r="K1652">
        <v>2.39628014061734</v>
      </c>
      <c r="L1652">
        <v>0</v>
      </c>
      <c r="M1652">
        <v>1.5297008785268087E-3</v>
      </c>
      <c r="N1652">
        <v>0.14905921595381941</v>
      </c>
      <c r="O1652">
        <v>2.0361617901299679E-2</v>
      </c>
      <c r="P1652">
        <v>2.8789438764167528E-2</v>
      </c>
      <c r="Q1652">
        <v>5.4498800496310422E-3</v>
      </c>
      <c r="R1652">
        <v>1.5096524988162661E-3</v>
      </c>
      <c r="S1652">
        <v>0.25339498414678074</v>
      </c>
      <c r="T1652">
        <v>1.369752298923985</v>
      </c>
      <c r="U1652">
        <v>0.20608884444473427</v>
      </c>
      <c r="V1652">
        <v>0.24563140602253941</v>
      </c>
      <c r="W1652">
        <v>9.6626764493854114E-2</v>
      </c>
      <c r="X1652">
        <v>1.7036961851272809E-2</v>
      </c>
      <c r="Y1652">
        <v>4.1087764449653898E-3</v>
      </c>
    </row>
    <row r="1653" spans="1:25">
      <c r="A1653" s="1010"/>
      <c r="B1653" s="1351">
        <v>1403</v>
      </c>
      <c r="C1653" s="1014">
        <v>0.97418977229288084</v>
      </c>
      <c r="D1653" s="1014">
        <v>1.0152602194669649</v>
      </c>
      <c r="E1653" s="1014">
        <v>0.99197373797185706</v>
      </c>
      <c r="F1653" s="1014">
        <v>1.003620453379503</v>
      </c>
      <c r="G1653" s="1014">
        <v>1.0140287909848331</v>
      </c>
      <c r="H1653" s="1014">
        <v>1.009432862691517</v>
      </c>
      <c r="I1653" s="1014">
        <v>0.99044720147814402</v>
      </c>
      <c r="K1653">
        <v>2.4361320818826324</v>
      </c>
      <c r="L1653">
        <v>0</v>
      </c>
      <c r="M1653">
        <v>1.7240124444352655E-3</v>
      </c>
      <c r="N1653">
        <v>0.15315912172601689</v>
      </c>
      <c r="O1653">
        <v>2.1464487773963422E-2</v>
      </c>
      <c r="P1653">
        <v>2.8556701704862502E-2</v>
      </c>
      <c r="Q1653">
        <v>5.5715892284846739E-3</v>
      </c>
      <c r="R1653">
        <v>1.7014685378899379E-3</v>
      </c>
      <c r="S1653">
        <v>0.26169996805056911</v>
      </c>
      <c r="T1653">
        <v>1.3764304721326972</v>
      </c>
      <c r="U1653">
        <v>0.21756127265718983</v>
      </c>
      <c r="V1653">
        <v>0.24960909954094351</v>
      </c>
      <c r="W1653">
        <v>0.10109778149734727</v>
      </c>
      <c r="X1653">
        <v>1.6373295005919039E-2</v>
      </c>
      <c r="Y1653">
        <v>4.6308364711836357E-3</v>
      </c>
    </row>
    <row r="1654" spans="1:25">
      <c r="A1654" s="1010"/>
      <c r="B1654" s="1351">
        <v>1404</v>
      </c>
      <c r="C1654" s="1014">
        <v>1.0291091453513665</v>
      </c>
      <c r="D1654" s="1014">
        <v>0.99404572736339059</v>
      </c>
      <c r="E1654" s="1014">
        <v>1.0025401089440771</v>
      </c>
      <c r="F1654" s="1014">
        <v>1.0142564741773747</v>
      </c>
      <c r="G1654" s="1014">
        <v>1.0027640582746458</v>
      </c>
      <c r="H1654" s="1014">
        <v>1.001570356870201</v>
      </c>
      <c r="I1654" s="1014">
        <v>0.97326986408856475</v>
      </c>
      <c r="K1654">
        <v>2.4035626803664361</v>
      </c>
      <c r="L1654">
        <v>0</v>
      </c>
      <c r="M1654">
        <v>1.5915834626094743E-3</v>
      </c>
      <c r="N1654">
        <v>0.14596664115974928</v>
      </c>
      <c r="O1654">
        <v>2.0420452192944746E-2</v>
      </c>
      <c r="P1654">
        <v>2.8531861935707437E-2</v>
      </c>
      <c r="Q1654">
        <v>5.3572710537795496E-3</v>
      </c>
      <c r="R1654">
        <v>1.5706078731660116E-3</v>
      </c>
      <c r="S1654">
        <v>0.24546703585011501</v>
      </c>
      <c r="T1654">
        <v>1.3912490654582066</v>
      </c>
      <c r="U1654">
        <v>0.20598599313872812</v>
      </c>
      <c r="V1654">
        <v>0.24422908660171666</v>
      </c>
      <c r="W1654">
        <v>9.5745649064252619E-2</v>
      </c>
      <c r="X1654">
        <v>1.6355922620665639E-2</v>
      </c>
      <c r="Y1654">
        <v>4.2746768800116424E-3</v>
      </c>
    </row>
    <row r="1655" spans="1:25">
      <c r="A1655" s="1010"/>
      <c r="B1655" s="1351">
        <v>1405</v>
      </c>
      <c r="C1655" s="1014">
        <v>1.0077182204627815</v>
      </c>
      <c r="D1655" s="1014">
        <v>1.0191498541016155</v>
      </c>
      <c r="E1655" s="1014">
        <v>0.98612357990727573</v>
      </c>
      <c r="F1655" s="1014">
        <v>0.99917147009058627</v>
      </c>
      <c r="G1655" s="1014">
        <v>0.9912870260112292</v>
      </c>
      <c r="H1655" s="1014">
        <v>1.0196759195941885</v>
      </c>
      <c r="I1655" s="1014">
        <v>1.0155728288715395</v>
      </c>
      <c r="K1655">
        <v>2.4055561722792564</v>
      </c>
      <c r="L1655">
        <v>0</v>
      </c>
      <c r="M1655">
        <v>1.7026499772577171E-3</v>
      </c>
      <c r="N1655">
        <v>0.14862897835624672</v>
      </c>
      <c r="O1655">
        <v>2.072904986494907E-2</v>
      </c>
      <c r="P1655">
        <v>2.8141744662408034E-2</v>
      </c>
      <c r="Q1655">
        <v>5.3489502204524045E-3</v>
      </c>
      <c r="R1655">
        <v>1.6806090717802881E-3</v>
      </c>
      <c r="S1655">
        <v>0.25974366530041437</v>
      </c>
      <c r="T1655">
        <v>1.3702027051606154</v>
      </c>
      <c r="U1655">
        <v>0.21030284057850399</v>
      </c>
      <c r="V1655">
        <v>0.24361491781519412</v>
      </c>
      <c r="W1655">
        <v>9.8452200423313402E-2</v>
      </c>
      <c r="X1655">
        <v>1.5839096921883469E-2</v>
      </c>
      <c r="Y1655">
        <v>4.5740638807543251E-3</v>
      </c>
    </row>
    <row r="1656" spans="1:25">
      <c r="A1656" s="1010"/>
      <c r="B1656" s="1351">
        <v>1406</v>
      </c>
      <c r="C1656" s="1014">
        <v>1.0157140623650702</v>
      </c>
      <c r="D1656" s="1014">
        <v>0.98373165616053704</v>
      </c>
      <c r="E1656" s="1014">
        <v>1.0403442768325601</v>
      </c>
      <c r="F1656" s="1014">
        <v>1.0449690985976294</v>
      </c>
      <c r="G1656" s="1014">
        <v>0.99075488391086397</v>
      </c>
      <c r="H1656" s="1014">
        <v>1.0023620578308283</v>
      </c>
      <c r="I1656" s="1014">
        <v>1.0169891069719419</v>
      </c>
      <c r="K1656">
        <v>2.4786342742649055</v>
      </c>
      <c r="L1656">
        <v>0</v>
      </c>
      <c r="M1656">
        <v>1.4951729858166667E-3</v>
      </c>
      <c r="N1656">
        <v>0.15368978252837329</v>
      </c>
      <c r="O1656">
        <v>2.0762154921506883E-2</v>
      </c>
      <c r="P1656">
        <v>3.0183469079258504E-2</v>
      </c>
      <c r="Q1656">
        <v>5.6553590524183453E-3</v>
      </c>
      <c r="R1656">
        <v>1.4754835604664878E-3</v>
      </c>
      <c r="S1656">
        <v>0.26162160713216642</v>
      </c>
      <c r="T1656">
        <v>1.4342353569525976</v>
      </c>
      <c r="U1656">
        <v>0.20883014231041658</v>
      </c>
      <c r="V1656">
        <v>0.24284662012735492</v>
      </c>
      <c r="W1656">
        <v>9.8608734216316607E-2</v>
      </c>
      <c r="X1656">
        <v>1.8204957511281081E-2</v>
      </c>
      <c r="Y1656">
        <v>4.0157798585647945E-3</v>
      </c>
    </row>
    <row r="1657" spans="1:25">
      <c r="A1657" s="1010"/>
      <c r="B1657" s="1351">
        <v>1407</v>
      </c>
      <c r="C1657" s="1014">
        <v>0.99186309946718099</v>
      </c>
      <c r="D1657" s="1014">
        <v>1.0015116901960219</v>
      </c>
      <c r="E1657" s="1014">
        <v>1.0091659408802824</v>
      </c>
      <c r="F1657" s="1014">
        <v>0.98272950662620151</v>
      </c>
      <c r="G1657" s="1014">
        <v>0.99608570184719725</v>
      </c>
      <c r="H1657" s="1014">
        <v>1.0265688650237634</v>
      </c>
      <c r="I1657" s="1014">
        <v>1.0000328109694134</v>
      </c>
      <c r="K1657">
        <v>2.4044949971064336</v>
      </c>
      <c r="L1657">
        <v>0</v>
      </c>
      <c r="M1657">
        <v>1.6666963236752295E-3</v>
      </c>
      <c r="N1657">
        <v>0.15599543536237662</v>
      </c>
      <c r="O1657">
        <v>2.1156859605278772E-2</v>
      </c>
      <c r="P1657">
        <v>2.8441700320914819E-2</v>
      </c>
      <c r="Q1657">
        <v>5.5874363675673588E-3</v>
      </c>
      <c r="R1657">
        <v>1.6452657099950529E-3</v>
      </c>
      <c r="S1657">
        <v>0.26290754286104029</v>
      </c>
      <c r="T1657">
        <v>1.3481447225454135</v>
      </c>
      <c r="U1657">
        <v>0.21374395187192122</v>
      </c>
      <c r="V1657">
        <v>0.24534208483361269</v>
      </c>
      <c r="W1657">
        <v>0.10192364247467833</v>
      </c>
      <c r="X1657">
        <v>1.6795180576398009E-2</v>
      </c>
      <c r="Y1657">
        <v>4.4778709009109961E-3</v>
      </c>
    </row>
    <row r="1658" spans="1:25">
      <c r="A1658" s="1010"/>
      <c r="B1658" s="1351">
        <v>1408</v>
      </c>
      <c r="C1658" s="1014">
        <v>1.0450695466129143</v>
      </c>
      <c r="D1658" s="1014">
        <v>0.96698363542435628</v>
      </c>
      <c r="E1658" s="1014">
        <v>1.0013935020710083</v>
      </c>
      <c r="F1658" s="1014">
        <v>0.96447345129756701</v>
      </c>
      <c r="G1658" s="1014">
        <v>0.98932768991052289</v>
      </c>
      <c r="H1658" s="1014">
        <v>0.99301229674043545</v>
      </c>
      <c r="I1658" s="1014">
        <v>1.01633800539021</v>
      </c>
      <c r="K1658">
        <v>2.3324903448938126</v>
      </c>
      <c r="L1658">
        <v>0</v>
      </c>
      <c r="M1658">
        <v>1.5670731394130321E-3</v>
      </c>
      <c r="N1658">
        <v>0.14320534624791442</v>
      </c>
      <c r="O1658">
        <v>2.0230333407499936E-2</v>
      </c>
      <c r="P1658">
        <v>2.7620721371436698E-2</v>
      </c>
      <c r="Q1658">
        <v>5.3012868694645139E-3</v>
      </c>
      <c r="R1658">
        <v>1.5462425835861674E-3</v>
      </c>
      <c r="S1658">
        <v>0.25522218894211046</v>
      </c>
      <c r="T1658">
        <v>1.3229380864256175</v>
      </c>
      <c r="U1658">
        <v>0.20283640401262146</v>
      </c>
      <c r="V1658">
        <v>0.24101282920233646</v>
      </c>
      <c r="W1658">
        <v>9.3998336679388422E-2</v>
      </c>
      <c r="X1658">
        <v>1.5937279697456529E-2</v>
      </c>
      <c r="Y1658">
        <v>4.2083625937908604E-3</v>
      </c>
    </row>
    <row r="1659" spans="1:25">
      <c r="A1659" s="1010"/>
      <c r="B1659" s="1351">
        <v>1409</v>
      </c>
      <c r="C1659" s="1014">
        <v>0.99051579999348227</v>
      </c>
      <c r="D1659" s="1014">
        <v>0.99017155347915775</v>
      </c>
      <c r="E1659" s="1014">
        <v>1.0172445249452824</v>
      </c>
      <c r="F1659" s="1014">
        <v>0.99593177677479117</v>
      </c>
      <c r="G1659" s="1014">
        <v>0.99732023931266234</v>
      </c>
      <c r="H1659" s="1014">
        <v>1.008804201395638</v>
      </c>
      <c r="I1659" s="1014">
        <v>1.0042332462388541</v>
      </c>
      <c r="K1659">
        <v>2.4236760706863225</v>
      </c>
      <c r="L1659">
        <v>0</v>
      </c>
      <c r="M1659">
        <v>1.6168181174333561E-3</v>
      </c>
      <c r="N1659">
        <v>0.15502672352660229</v>
      </c>
      <c r="O1659">
        <v>2.1244215279917131E-2</v>
      </c>
      <c r="P1659">
        <v>2.8893041599625541E-2</v>
      </c>
      <c r="Q1659">
        <v>5.655918004146946E-3</v>
      </c>
      <c r="R1659">
        <v>1.5956627533864518E-3</v>
      </c>
      <c r="S1659">
        <v>0.26440902186659715</v>
      </c>
      <c r="T1659">
        <v>1.3664305561433812</v>
      </c>
      <c r="U1659">
        <v>0.21406262195355108</v>
      </c>
      <c r="V1659">
        <v>0.24561006128653129</v>
      </c>
      <c r="W1659">
        <v>0.10081054349642092</v>
      </c>
      <c r="X1659">
        <v>1.7211654888961436E-2</v>
      </c>
      <c r="Y1659">
        <v>4.342868004632636E-3</v>
      </c>
    </row>
    <row r="1660" spans="1:25">
      <c r="A1660" s="1010"/>
      <c r="B1660" s="1351">
        <v>1410</v>
      </c>
      <c r="C1660" s="1014">
        <v>0.9954762929162797</v>
      </c>
      <c r="D1660" s="1014">
        <v>0.96647886793513993</v>
      </c>
      <c r="E1660" s="1014">
        <v>1.0074811929165761</v>
      </c>
      <c r="F1660" s="1014">
        <v>1.010953663538209</v>
      </c>
      <c r="G1660" s="1014">
        <v>1.0137584021751258</v>
      </c>
      <c r="H1660" s="1014">
        <v>0.97798757882938792</v>
      </c>
      <c r="I1660" s="1014">
        <v>0.97752892454907758</v>
      </c>
      <c r="K1660">
        <v>2.4276360913591954</v>
      </c>
      <c r="L1660">
        <v>0</v>
      </c>
      <c r="M1660">
        <v>1.6000892844857968E-3</v>
      </c>
      <c r="N1660">
        <v>0.14890501633295217</v>
      </c>
      <c r="O1660">
        <v>2.1244712467444717E-2</v>
      </c>
      <c r="P1660">
        <v>2.8877547860247165E-2</v>
      </c>
      <c r="Q1660">
        <v>5.6011880543736861E-3</v>
      </c>
      <c r="R1660">
        <v>1.5784930966440773E-3</v>
      </c>
      <c r="S1660">
        <v>0.25655871208528747</v>
      </c>
      <c r="T1660">
        <v>1.3868267674953714</v>
      </c>
      <c r="U1660">
        <v>0.2129623516012627</v>
      </c>
      <c r="V1660">
        <v>0.24813702862146439</v>
      </c>
      <c r="W1660">
        <v>9.7387764425599543E-2</v>
      </c>
      <c r="X1660">
        <v>1.6860460744079587E-2</v>
      </c>
      <c r="Y1660">
        <v>4.2961378589557167E-3</v>
      </c>
    </row>
    <row r="1661" spans="1:25">
      <c r="A1661" s="1010"/>
      <c r="B1661" s="1351">
        <v>1411</v>
      </c>
      <c r="C1661" s="1014">
        <v>1.022049623611285</v>
      </c>
      <c r="D1661" s="1014">
        <v>1.0129970602711713</v>
      </c>
      <c r="E1661" s="1014">
        <v>1.0169832633043276</v>
      </c>
      <c r="F1661" s="1014">
        <v>1.0048689369615438</v>
      </c>
      <c r="G1661" s="1014">
        <v>0.99709629361645447</v>
      </c>
      <c r="H1661" s="1014">
        <v>1.0041102947226854</v>
      </c>
      <c r="I1661" s="1014">
        <v>1.0283639931412971</v>
      </c>
      <c r="K1661">
        <v>2.4101831163886258</v>
      </c>
      <c r="L1661">
        <v>0</v>
      </c>
      <c r="M1661">
        <v>1.5526858853376966E-3</v>
      </c>
      <c r="N1661">
        <v>0.14875094000314529</v>
      </c>
      <c r="O1661">
        <v>2.0485615639553575E-2</v>
      </c>
      <c r="P1661">
        <v>2.8863907227570557E-2</v>
      </c>
      <c r="Q1661">
        <v>5.4525348688802371E-3</v>
      </c>
      <c r="R1661">
        <v>1.5322746916564612E-3</v>
      </c>
      <c r="S1661">
        <v>0.25903347585717906</v>
      </c>
      <c r="T1661">
        <v>1.3786867516877563</v>
      </c>
      <c r="U1661">
        <v>0.20745716151018004</v>
      </c>
      <c r="V1661">
        <v>0.24362871664813196</v>
      </c>
      <c r="W1661">
        <v>9.674435650199556E-2</v>
      </c>
      <c r="X1661">
        <v>1.6929721041439149E-2</v>
      </c>
      <c r="Y1661">
        <v>4.1703465964725338E-3</v>
      </c>
    </row>
    <row r="1662" spans="1:25">
      <c r="A1662" s="1010"/>
      <c r="B1662" s="1351">
        <v>1412</v>
      </c>
      <c r="C1662" s="1014">
        <v>0.98996206922644536</v>
      </c>
      <c r="D1662" s="1014">
        <v>1.0262292986960089</v>
      </c>
      <c r="E1662" s="1014">
        <v>1.0208339487696552</v>
      </c>
      <c r="F1662" s="1014">
        <v>0.99461970314218218</v>
      </c>
      <c r="G1662" s="1014">
        <v>0.97110860470611893</v>
      </c>
      <c r="H1662" s="1014">
        <v>1.0135514361166491</v>
      </c>
      <c r="I1662" s="1014">
        <v>1.0038620086558285</v>
      </c>
      <c r="K1662">
        <v>2.4132038190172818</v>
      </c>
      <c r="L1662">
        <v>0</v>
      </c>
      <c r="M1662">
        <v>1.6005986732200983E-3</v>
      </c>
      <c r="N1662">
        <v>0.15515219268429276</v>
      </c>
      <c r="O1662">
        <v>2.1091889526206119E-2</v>
      </c>
      <c r="P1662">
        <v>2.8827360286932311E-2</v>
      </c>
      <c r="Q1662">
        <v>5.6354481376922399E-3</v>
      </c>
      <c r="R1662">
        <v>1.5797536262710282E-3</v>
      </c>
      <c r="S1662">
        <v>0.26021809529703899</v>
      </c>
      <c r="T1662">
        <v>1.3647078800362151</v>
      </c>
      <c r="U1662">
        <v>0.21419478688125712</v>
      </c>
      <c r="V1662">
        <v>0.24115918481556362</v>
      </c>
      <c r="W1662">
        <v>0.10068032199389813</v>
      </c>
      <c r="X1662">
        <v>1.7257935800067112E-2</v>
      </c>
      <c r="Y1662">
        <v>4.2995686050667972E-3</v>
      </c>
    </row>
    <row r="1663" spans="1:25">
      <c r="A1663" s="1010"/>
      <c r="B1663" s="1351">
        <v>1413</v>
      </c>
      <c r="C1663" s="1014">
        <v>1.0027720380026899</v>
      </c>
      <c r="D1663" s="1014">
        <v>1.0314318779529628</v>
      </c>
      <c r="E1663" s="1014">
        <v>1.0167034409147648</v>
      </c>
      <c r="F1663" s="1014">
        <v>0.96642759069408291</v>
      </c>
      <c r="G1663" s="1014">
        <v>1.0045135306403443</v>
      </c>
      <c r="H1663" s="1014">
        <v>0.96740665602322873</v>
      </c>
      <c r="I1663" s="1014">
        <v>1.0329616470689758</v>
      </c>
      <c r="K1663">
        <v>2.3583902580538245</v>
      </c>
      <c r="L1663">
        <v>0</v>
      </c>
      <c r="M1663">
        <v>1.5195347494493883E-3</v>
      </c>
      <c r="N1663">
        <v>0.14537860702465311</v>
      </c>
      <c r="O1663">
        <v>2.0796574967018332E-2</v>
      </c>
      <c r="P1663">
        <v>2.8226229386428967E-2</v>
      </c>
      <c r="Q1663">
        <v>5.5337587747484188E-3</v>
      </c>
      <c r="R1663">
        <v>1.4988014803989302E-3</v>
      </c>
      <c r="S1663">
        <v>0.25962593792793387</v>
      </c>
      <c r="T1663">
        <v>1.3259391049164286</v>
      </c>
      <c r="U1663">
        <v>0.21144442289254431</v>
      </c>
      <c r="V1663">
        <v>0.24606967970337268</v>
      </c>
      <c r="W1663">
        <v>9.4566583721294645E-2</v>
      </c>
      <c r="X1663">
        <v>1.6750848458580721E-2</v>
      </c>
      <c r="Y1663">
        <v>4.0792435498706618E-3</v>
      </c>
    </row>
    <row r="1664" spans="1:25">
      <c r="A1664" s="1010"/>
      <c r="B1664" s="1351">
        <v>1414</v>
      </c>
      <c r="C1664" s="1014">
        <v>0.99360537714224817</v>
      </c>
      <c r="D1664" s="1014">
        <v>0.97421803311140254</v>
      </c>
      <c r="E1664" s="1014">
        <v>1.0015495890265567</v>
      </c>
      <c r="F1664" s="1014">
        <v>1.0030950682488708</v>
      </c>
      <c r="G1664" s="1014">
        <v>1.0243431305841926</v>
      </c>
      <c r="H1664" s="1014">
        <v>0.99977413032428974</v>
      </c>
      <c r="I1664" s="1014">
        <v>1.0028890888482325</v>
      </c>
      <c r="K1664">
        <v>2.4312867192365828</v>
      </c>
      <c r="L1664">
        <v>0</v>
      </c>
      <c r="M1664">
        <v>1.6562084693805463E-3</v>
      </c>
      <c r="N1664">
        <v>0.15143606422665992</v>
      </c>
      <c r="O1664">
        <v>2.1243413131313151E-2</v>
      </c>
      <c r="P1664">
        <v>2.8741645652336178E-2</v>
      </c>
      <c r="Q1664">
        <v>5.5676335619790265E-3</v>
      </c>
      <c r="R1664">
        <v>1.6343419668563982E-3</v>
      </c>
      <c r="S1664">
        <v>0.26447885133765991</v>
      </c>
      <c r="T1664">
        <v>1.3759175385381082</v>
      </c>
      <c r="U1664">
        <v>0.21334293001942983</v>
      </c>
      <c r="V1664">
        <v>0.25008405433657616</v>
      </c>
      <c r="W1664">
        <v>9.9391674735633512E-2</v>
      </c>
      <c r="X1664">
        <v>1.6656640126310556E-2</v>
      </c>
      <c r="Y1664">
        <v>4.4481400730985374E-3</v>
      </c>
    </row>
    <row r="1665" spans="1:25">
      <c r="A1665" s="1010"/>
      <c r="B1665" s="1351">
        <v>1415</v>
      </c>
      <c r="C1665" s="1014">
        <v>0.9781133535289136</v>
      </c>
      <c r="D1665" s="1014">
        <v>0.98237276595790113</v>
      </c>
      <c r="E1665" s="1014">
        <v>0.99764953319883809</v>
      </c>
      <c r="F1665" s="1014">
        <v>1.0084875984378323</v>
      </c>
      <c r="G1665" s="1014">
        <v>1.0323368931897605</v>
      </c>
      <c r="H1665" s="1014">
        <v>0.97286736940406382</v>
      </c>
      <c r="I1665" s="1014">
        <v>1.0025843798745033</v>
      </c>
      <c r="K1665">
        <v>2.4412218713915292</v>
      </c>
      <c r="L1665">
        <v>0</v>
      </c>
      <c r="M1665">
        <v>1.6474348172680693E-3</v>
      </c>
      <c r="N1665">
        <v>0.14881421432475736</v>
      </c>
      <c r="O1665">
        <v>2.1537686123775542E-2</v>
      </c>
      <c r="P1665">
        <v>2.8844067196951477E-2</v>
      </c>
      <c r="Q1665">
        <v>5.6226683744280831E-3</v>
      </c>
      <c r="R1665">
        <v>1.6250825891257219E-3</v>
      </c>
      <c r="S1665">
        <v>0.26507291056104748</v>
      </c>
      <c r="T1665">
        <v>1.3832292612994705</v>
      </c>
      <c r="U1665">
        <v>0.21670837149353003</v>
      </c>
      <c r="V1665">
        <v>0.25245821554275294</v>
      </c>
      <c r="W1665">
        <v>9.7897615748550201E-2</v>
      </c>
      <c r="X1665">
        <v>1.6636273855138637E-2</v>
      </c>
      <c r="Y1665">
        <v>4.4229390992686843E-3</v>
      </c>
    </row>
    <row r="1666" spans="1:25">
      <c r="A1666" s="1010"/>
      <c r="B1666" s="1351">
        <v>1416</v>
      </c>
      <c r="C1666" s="1014">
        <v>0.98121596024403845</v>
      </c>
      <c r="D1666" s="1014">
        <v>1.0120719261170512</v>
      </c>
      <c r="E1666" s="1014">
        <v>1.0078821638617579</v>
      </c>
      <c r="F1666" s="1014">
        <v>1.0026417323315648</v>
      </c>
      <c r="G1666" s="1014">
        <v>0.98219743462287901</v>
      </c>
      <c r="H1666" s="1014">
        <v>1.0412195396153943</v>
      </c>
      <c r="I1666" s="1014">
        <v>0.98937920219051323</v>
      </c>
      <c r="K1666">
        <v>2.4388778600742245</v>
      </c>
      <c r="L1666">
        <v>0</v>
      </c>
      <c r="M1666">
        <v>1.7094392637307442E-3</v>
      </c>
      <c r="N1666">
        <v>0.1594062303596292</v>
      </c>
      <c r="O1666">
        <v>2.1336270307402736E-2</v>
      </c>
      <c r="P1666">
        <v>2.8796518150662812E-2</v>
      </c>
      <c r="Q1666">
        <v>5.6275854825855913E-3</v>
      </c>
      <c r="R1666">
        <v>1.6877683320081144E-3</v>
      </c>
      <c r="S1666">
        <v>0.26280361206405523</v>
      </c>
      <c r="T1666">
        <v>1.3754331644493607</v>
      </c>
      <c r="U1666">
        <v>0.21605880166893934</v>
      </c>
      <c r="V1666">
        <v>0.24365809125508517</v>
      </c>
      <c r="W1666">
        <v>0.10423113957772173</v>
      </c>
      <c r="X1666">
        <v>1.6954568663460158E-2</v>
      </c>
      <c r="Y1666">
        <v>4.5935490270449684E-3</v>
      </c>
    </row>
    <row r="1667" spans="1:25">
      <c r="A1667" s="1010"/>
      <c r="B1667" s="1351">
        <v>1417</v>
      </c>
      <c r="C1667" s="1014">
        <v>1.0286473937477112</v>
      </c>
      <c r="D1667" s="1014">
        <v>0.99115442786661079</v>
      </c>
      <c r="E1667" s="1014">
        <v>1.035448582995069</v>
      </c>
      <c r="F1667" s="1014">
        <v>0.97043275871680312</v>
      </c>
      <c r="G1667" s="1014">
        <v>1.0059290578460514</v>
      </c>
      <c r="H1667" s="1014">
        <v>0.98746200603979128</v>
      </c>
      <c r="I1667" s="1014">
        <v>0.97277067837601439</v>
      </c>
      <c r="K1667">
        <v>2.3473768969790836</v>
      </c>
      <c r="L1667">
        <v>0</v>
      </c>
      <c r="M1667">
        <v>1.4669306112099288E-3</v>
      </c>
      <c r="N1667">
        <v>0.14854904795630577</v>
      </c>
      <c r="O1667">
        <v>2.0464050222854378E-2</v>
      </c>
      <c r="P1667">
        <v>2.8397724980063762E-2</v>
      </c>
      <c r="Q1667">
        <v>5.5473592725354568E-3</v>
      </c>
      <c r="R1667">
        <v>1.4473216135280945E-3</v>
      </c>
      <c r="S1667">
        <v>0.24492827827155206</v>
      </c>
      <c r="T1667">
        <v>1.3318296366244295</v>
      </c>
      <c r="U1667">
        <v>0.20618813038602868</v>
      </c>
      <c r="V1667">
        <v>0.24467931550048314</v>
      </c>
      <c r="W1667">
        <v>9.5579958169757978E-2</v>
      </c>
      <c r="X1667">
        <v>1.7293872270173059E-2</v>
      </c>
      <c r="Y1667">
        <v>3.9391323225818004E-3</v>
      </c>
    </row>
    <row r="1668" spans="1:25">
      <c r="A1668" s="1010"/>
      <c r="B1668" s="1351">
        <v>1418</v>
      </c>
      <c r="C1668" s="1014">
        <v>0.99629477116089293</v>
      </c>
      <c r="D1668" s="1014">
        <v>1.0063483125714523</v>
      </c>
      <c r="E1668" s="1014">
        <v>0.99437781465858122</v>
      </c>
      <c r="F1668" s="1014">
        <v>0.98787387607338839</v>
      </c>
      <c r="G1668" s="1014">
        <v>1.0041966532890405</v>
      </c>
      <c r="H1668" s="1014">
        <v>1.0124311760851816</v>
      </c>
      <c r="I1668" s="1014">
        <v>1.0036467120536203</v>
      </c>
      <c r="K1668">
        <v>2.4005237977512137</v>
      </c>
      <c r="L1668">
        <v>0</v>
      </c>
      <c r="M1668">
        <v>1.6856334458450113E-3</v>
      </c>
      <c r="N1668">
        <v>0.15084767323835133</v>
      </c>
      <c r="O1668">
        <v>2.1030598148185978E-2</v>
      </c>
      <c r="P1668">
        <v>2.8194456299110836E-2</v>
      </c>
      <c r="Q1668">
        <v>5.4722212215019628E-3</v>
      </c>
      <c r="R1668">
        <v>1.6636566765975242E-3</v>
      </c>
      <c r="S1668">
        <v>0.26072247149315181</v>
      </c>
      <c r="T1668">
        <v>1.3548858845334715</v>
      </c>
      <c r="U1668">
        <v>0.21274243490741299</v>
      </c>
      <c r="V1668">
        <v>0.24650012372812946</v>
      </c>
      <c r="W1668">
        <v>9.9429092810465955E-2</v>
      </c>
      <c r="X1668">
        <v>1.6192893091255822E-2</v>
      </c>
      <c r="Y1668">
        <v>4.5279250494224127E-3</v>
      </c>
    </row>
    <row r="1669" spans="1:25">
      <c r="A1669" s="1010"/>
      <c r="B1669" s="1351">
        <v>1419</v>
      </c>
      <c r="C1669" s="1014">
        <v>0.99955259923482376</v>
      </c>
      <c r="D1669" s="1014">
        <v>1.002315370569286</v>
      </c>
      <c r="E1669" s="1014">
        <v>0.99556165885608139</v>
      </c>
      <c r="F1669" s="1014">
        <v>1.0301139881329082</v>
      </c>
      <c r="G1669" s="1014">
        <v>1.0103857569878669</v>
      </c>
      <c r="H1669" s="1014">
        <v>1.0164156214149858</v>
      </c>
      <c r="I1669" s="1014">
        <v>0.96909088982998126</v>
      </c>
      <c r="K1669">
        <v>2.451198009078241</v>
      </c>
      <c r="L1669">
        <v>0</v>
      </c>
      <c r="M1669">
        <v>1.684105064235542E-3</v>
      </c>
      <c r="N1669">
        <v>0.15125893542503932</v>
      </c>
      <c r="O1669">
        <v>2.0981364942440201E-2</v>
      </c>
      <c r="P1669">
        <v>2.8888085215602131E-2</v>
      </c>
      <c r="Q1669">
        <v>5.4659291802813086E-3</v>
      </c>
      <c r="R1669">
        <v>1.6622342944554785E-3</v>
      </c>
      <c r="S1669">
        <v>0.25176643466240006</v>
      </c>
      <c r="T1669">
        <v>1.4128452679669732</v>
      </c>
      <c r="U1669">
        <v>0.21205309166431083</v>
      </c>
      <c r="V1669">
        <v>0.2473487910872805</v>
      </c>
      <c r="W1669">
        <v>9.9629765747074328E-2</v>
      </c>
      <c r="X1669">
        <v>1.6458160162497661E-2</v>
      </c>
      <c r="Y1669">
        <v>4.5240537941199123E-3</v>
      </c>
    </row>
    <row r="1670" spans="1:25">
      <c r="A1670" s="1010"/>
      <c r="B1670" s="1351">
        <v>1420</v>
      </c>
      <c r="C1670" s="1014">
        <v>0.98164806114241299</v>
      </c>
      <c r="D1670" s="1014">
        <v>0.98722442702046964</v>
      </c>
      <c r="E1670" s="1014">
        <v>1.0235642696229181</v>
      </c>
      <c r="F1670" s="1014">
        <v>0.9894475316219713</v>
      </c>
      <c r="G1670" s="1014">
        <v>1.0333353296453829</v>
      </c>
      <c r="H1670" s="1014">
        <v>0.97890277874284082</v>
      </c>
      <c r="I1670" s="1014">
        <v>1.0061714345071753</v>
      </c>
      <c r="K1670">
        <v>2.4207191332281099</v>
      </c>
      <c r="L1670">
        <v>0</v>
      </c>
      <c r="M1670">
        <v>1.5634112954896861E-3</v>
      </c>
      <c r="N1670">
        <v>0.15272932832221667</v>
      </c>
      <c r="O1670">
        <v>2.1454485487260734E-2</v>
      </c>
      <c r="P1670">
        <v>2.9035699447889498E-2</v>
      </c>
      <c r="Q1670">
        <v>5.7478902524607687E-3</v>
      </c>
      <c r="R1670">
        <v>1.5423298734621122E-3</v>
      </c>
      <c r="S1670">
        <v>0.2651495469628386</v>
      </c>
      <c r="T1670">
        <v>1.3576698780600203</v>
      </c>
      <c r="U1670">
        <v>0.21601843599132969</v>
      </c>
      <c r="V1670">
        <v>0.25230359374088529</v>
      </c>
      <c r="W1670">
        <v>9.8950178879744999E-2</v>
      </c>
      <c r="X1670">
        <v>1.7483464018834851E-2</v>
      </c>
      <c r="Y1670">
        <v>4.1977134866577259E-3</v>
      </c>
    </row>
    <row r="1671" spans="1:25">
      <c r="A1671" s="1010"/>
      <c r="B1671" s="1351">
        <v>1421</v>
      </c>
      <c r="C1671" s="1014">
        <v>0.9826390579492621</v>
      </c>
      <c r="D1671" s="1014">
        <v>0.96896224787034657</v>
      </c>
      <c r="E1671" s="1014">
        <v>0.98016765865550814</v>
      </c>
      <c r="F1671" s="1014">
        <v>0.99617024395834175</v>
      </c>
      <c r="G1671" s="1014">
        <v>1.004747890906343</v>
      </c>
      <c r="H1671" s="1014">
        <v>1.0112190743843805</v>
      </c>
      <c r="I1671" s="1014">
        <v>0.99766694899237218</v>
      </c>
      <c r="K1671">
        <v>2.4255079492614087</v>
      </c>
      <c r="L1671">
        <v>0</v>
      </c>
      <c r="M1671">
        <v>1.7726772842576266E-3</v>
      </c>
      <c r="N1671">
        <v>0.15196225357105939</v>
      </c>
      <c r="O1671">
        <v>2.149154912024764E-2</v>
      </c>
      <c r="P1671">
        <v>2.8187825984316781E-2</v>
      </c>
      <c r="Q1671">
        <v>5.5122947986889301E-3</v>
      </c>
      <c r="R1671">
        <v>1.7495379614436285E-3</v>
      </c>
      <c r="S1671">
        <v>0.26757955410064238</v>
      </c>
      <c r="T1671">
        <v>1.3659591284379546</v>
      </c>
      <c r="U1671">
        <v>0.21564958033991266</v>
      </c>
      <c r="V1671">
        <v>0.2475161703769321</v>
      </c>
      <c r="W1671">
        <v>0.10102192444299146</v>
      </c>
      <c r="X1671">
        <v>1.5889141815459879E-2</v>
      </c>
      <c r="Y1671">
        <v>4.7616655960155685E-3</v>
      </c>
    </row>
    <row r="1672" spans="1:25">
      <c r="A1672" s="1010"/>
      <c r="B1672" s="1351">
        <v>1422</v>
      </c>
      <c r="C1672" s="1014">
        <v>0.99412987184356227</v>
      </c>
      <c r="D1672" s="1014">
        <v>1.0074260161151627</v>
      </c>
      <c r="E1672" s="1014">
        <v>1.0179475331371641</v>
      </c>
      <c r="F1672" s="1014">
        <v>0.99620312835221103</v>
      </c>
      <c r="G1672" s="1014">
        <v>1.031502067224084</v>
      </c>
      <c r="H1672" s="1014">
        <v>1.0161791941478415</v>
      </c>
      <c r="I1672" s="1014">
        <v>1.0012120031630036</v>
      </c>
      <c r="K1672">
        <v>2.4254582259979101</v>
      </c>
      <c r="L1672">
        <v>0</v>
      </c>
      <c r="M1672">
        <v>1.6141996453696503E-3</v>
      </c>
      <c r="N1672">
        <v>0.15511923691432472</v>
      </c>
      <c r="O1672">
        <v>2.1087158192566787E-2</v>
      </c>
      <c r="P1672">
        <v>2.8933324756364027E-2</v>
      </c>
      <c r="Q1672">
        <v>5.6180343950620118E-3</v>
      </c>
      <c r="R1672">
        <v>1.5932318307973147E-3</v>
      </c>
      <c r="S1672">
        <v>0.26103243507348628</v>
      </c>
      <c r="T1672">
        <v>1.3668180535368399</v>
      </c>
      <c r="U1672">
        <v>0.21328683984068539</v>
      </c>
      <c r="V1672">
        <v>0.25121288871547465</v>
      </c>
      <c r="W1672">
        <v>0.10082914518367678</v>
      </c>
      <c r="X1672">
        <v>1.7205825369301365E-2</v>
      </c>
      <c r="Y1672">
        <v>4.3362518346984199E-3</v>
      </c>
    </row>
    <row r="1673" spans="1:25">
      <c r="A1673" s="1010"/>
      <c r="B1673" s="1351">
        <v>1423</v>
      </c>
      <c r="C1673" s="1014">
        <v>1.0242143339315304</v>
      </c>
      <c r="D1673" s="1014">
        <v>0.95523034631709658</v>
      </c>
      <c r="E1673" s="1014">
        <v>0.96325127999856353</v>
      </c>
      <c r="F1673" s="1014">
        <v>0.98796986914377471</v>
      </c>
      <c r="G1673" s="1014">
        <v>1.0272230426123574</v>
      </c>
      <c r="H1673" s="1014">
        <v>1.0413123045400778</v>
      </c>
      <c r="I1673" s="1014">
        <v>0.98635037645317725</v>
      </c>
      <c r="K1673">
        <v>2.3889188822514749</v>
      </c>
      <c r="L1673">
        <v>0</v>
      </c>
      <c r="M1673">
        <v>1.8192963492508088E-3</v>
      </c>
      <c r="N1673">
        <v>0.14822904321656893</v>
      </c>
      <c r="O1673">
        <v>2.0672982513891637E-2</v>
      </c>
      <c r="P1673">
        <v>2.7444971399566649E-2</v>
      </c>
      <c r="Q1673">
        <v>5.2115401399397314E-3</v>
      </c>
      <c r="R1673">
        <v>1.7962347900792404E-3</v>
      </c>
      <c r="S1673">
        <v>0.25799191023806589</v>
      </c>
      <c r="T1673">
        <v>1.3543553485175219</v>
      </c>
      <c r="U1673">
        <v>0.20683965774183191</v>
      </c>
      <c r="V1673">
        <v>0.24884484200619406</v>
      </c>
      <c r="W1673">
        <v>9.9558566187321354E-2</v>
      </c>
      <c r="X1673">
        <v>1.4904322879787525E-2</v>
      </c>
      <c r="Y1673">
        <v>4.8887589699562802E-3</v>
      </c>
    </row>
    <row r="1674" spans="1:25">
      <c r="A1674" s="1010"/>
      <c r="B1674" s="1351">
        <v>1424</v>
      </c>
      <c r="C1674" s="1014">
        <v>1.0213687835464222</v>
      </c>
      <c r="D1674" s="1014">
        <v>0.98138868063335016</v>
      </c>
      <c r="E1674" s="1014">
        <v>1.0424168541957604</v>
      </c>
      <c r="F1674" s="1014">
        <v>0.98525543772140156</v>
      </c>
      <c r="G1674" s="1014">
        <v>0.99501323200421865</v>
      </c>
      <c r="H1674" s="1014">
        <v>0.99831657008794072</v>
      </c>
      <c r="I1674" s="1014">
        <v>1.0067360590141747</v>
      </c>
      <c r="K1674">
        <v>2.388196265529555</v>
      </c>
      <c r="L1674">
        <v>0</v>
      </c>
      <c r="M1674">
        <v>1.4752752013324213E-3</v>
      </c>
      <c r="N1674">
        <v>0.15258586140534292</v>
      </c>
      <c r="O1674">
        <v>2.0659402105321276E-2</v>
      </c>
      <c r="P1674">
        <v>2.9007066522826381E-2</v>
      </c>
      <c r="Q1674">
        <v>5.6388417196656104E-3</v>
      </c>
      <c r="R1674">
        <v>1.4557690773189926E-3</v>
      </c>
      <c r="S1674">
        <v>0.25753508052536067</v>
      </c>
      <c r="T1674">
        <v>1.352322000766234</v>
      </c>
      <c r="U1674">
        <v>0.20768095100044973</v>
      </c>
      <c r="V1674">
        <v>0.2432255930647059</v>
      </c>
      <c r="W1674">
        <v>9.7783781856280352E-2</v>
      </c>
      <c r="X1674">
        <v>1.7815069153069227E-2</v>
      </c>
      <c r="Y1674">
        <v>3.962123534314934E-3</v>
      </c>
    </row>
    <row r="1675" spans="1:25">
      <c r="A1675" s="1010"/>
      <c r="B1675" s="1351">
        <v>1425</v>
      </c>
      <c r="C1675" s="1014">
        <v>0.99012464367019171</v>
      </c>
      <c r="D1675" s="1014">
        <v>0.99431649110709075</v>
      </c>
      <c r="E1675" s="1014">
        <v>0.99915286466619802</v>
      </c>
      <c r="F1675" s="1014">
        <v>0.99794664531419119</v>
      </c>
      <c r="G1675" s="1014">
        <v>1.0039545148751845</v>
      </c>
      <c r="H1675" s="1014">
        <v>0.95422700774688041</v>
      </c>
      <c r="I1675" s="1014">
        <v>1.0052482902213404</v>
      </c>
      <c r="K1675">
        <v>2.40362057999622</v>
      </c>
      <c r="L1675">
        <v>0</v>
      </c>
      <c r="M1675">
        <v>1.5870734950965083E-3</v>
      </c>
      <c r="N1675">
        <v>0.14397571954156491</v>
      </c>
      <c r="O1675">
        <v>2.1220928064176959E-2</v>
      </c>
      <c r="P1675">
        <v>2.8489274433748407E-2</v>
      </c>
      <c r="Q1675">
        <v>5.5483602324761924E-3</v>
      </c>
      <c r="R1675">
        <v>1.5651196016094853E-3</v>
      </c>
      <c r="S1675">
        <v>0.25935666217222764</v>
      </c>
      <c r="T1675">
        <v>1.3688038560979587</v>
      </c>
      <c r="U1675">
        <v>0.21408465164777082</v>
      </c>
      <c r="V1675">
        <v>0.24683178465579478</v>
      </c>
      <c r="W1675">
        <v>9.4629909626410935E-2</v>
      </c>
      <c r="X1675">
        <v>1.6441647803532772E-2</v>
      </c>
      <c r="Y1675">
        <v>4.259739614043012E-3</v>
      </c>
    </row>
    <row r="1676" spans="1:25">
      <c r="A1676" s="1010"/>
      <c r="B1676" s="1351">
        <v>1426</v>
      </c>
      <c r="C1676" s="1014">
        <v>1.0196646043094157</v>
      </c>
      <c r="D1676" s="1014">
        <v>0.98352144491827731</v>
      </c>
      <c r="E1676" s="1014">
        <v>0.97857342717440521</v>
      </c>
      <c r="F1676" s="1014">
        <v>1.027896635284637</v>
      </c>
      <c r="G1676" s="1014">
        <v>1.0043852429721978</v>
      </c>
      <c r="H1676" s="1014">
        <v>0.98848585483327644</v>
      </c>
      <c r="I1676" s="1014">
        <v>0.96745310644373628</v>
      </c>
      <c r="K1676">
        <v>2.4202617328588314</v>
      </c>
      <c r="L1676">
        <v>0</v>
      </c>
      <c r="M1676">
        <v>1.6699295480687697E-3</v>
      </c>
      <c r="N1676">
        <v>0.14242201120086226</v>
      </c>
      <c r="O1676">
        <v>2.0642278181139395E-2</v>
      </c>
      <c r="P1676">
        <v>2.8315140111701595E-2</v>
      </c>
      <c r="Q1676">
        <v>5.2858930953745597E-3</v>
      </c>
      <c r="R1676">
        <v>1.647630110541467E-3</v>
      </c>
      <c r="S1676">
        <v>0.24633310560439803</v>
      </c>
      <c r="T1676">
        <v>1.4094273988092272</v>
      </c>
      <c r="U1676">
        <v>0.20781369501526939</v>
      </c>
      <c r="V1676">
        <v>0.24515520234025373</v>
      </c>
      <c r="W1676">
        <v>9.4770964769233315E-2</v>
      </c>
      <c r="X1676">
        <v>1.5634037149125746E-2</v>
      </c>
      <c r="Y1676">
        <v>4.4843060197739051E-3</v>
      </c>
    </row>
    <row r="1677" spans="1:25">
      <c r="A1677" s="1010"/>
      <c r="B1677" s="1351">
        <v>1427</v>
      </c>
      <c r="C1677" s="1014">
        <v>0.97420052344857544</v>
      </c>
      <c r="D1677" s="1014">
        <v>0.96992636977278324</v>
      </c>
      <c r="E1677" s="1014">
        <v>1.0110490501273846</v>
      </c>
      <c r="F1677" s="1014">
        <v>1.0077726674123841</v>
      </c>
      <c r="G1677" s="1014">
        <v>1.0061023692541295</v>
      </c>
      <c r="H1677" s="1014">
        <v>1.0122146271382546</v>
      </c>
      <c r="I1677" s="1014">
        <v>1.0390618098358513</v>
      </c>
      <c r="K1677">
        <v>2.4692604273313403</v>
      </c>
      <c r="L1677">
        <v>0</v>
      </c>
      <c r="M1677">
        <v>1.6784449733883411E-3</v>
      </c>
      <c r="N1677">
        <v>0.15796151171187589</v>
      </c>
      <c r="O1677">
        <v>2.1694131659057165E-2</v>
      </c>
      <c r="P1677">
        <v>2.9300415485102357E-2</v>
      </c>
      <c r="Q1677">
        <v>5.7401221946836393E-3</v>
      </c>
      <c r="R1677">
        <v>1.6565572436613653E-3</v>
      </c>
      <c r="S1677">
        <v>0.28132037170542584</v>
      </c>
      <c r="T1677">
        <v>1.3825409852933712</v>
      </c>
      <c r="U1677">
        <v>0.21762581774843248</v>
      </c>
      <c r="V1677">
        <v>0.24818619148297982</v>
      </c>
      <c r="W1677">
        <v>0.10309369752134127</v>
      </c>
      <c r="X1677">
        <v>1.7310467525500119E-2</v>
      </c>
      <c r="Y1677">
        <v>4.5086027332976271E-3</v>
      </c>
    </row>
    <row r="1678" spans="1:25">
      <c r="A1678" s="1010"/>
      <c r="B1678" s="1351">
        <v>1428</v>
      </c>
      <c r="C1678" s="1014">
        <v>1.0012138380602202</v>
      </c>
      <c r="D1678" s="1014">
        <v>1.0081186688505184</v>
      </c>
      <c r="E1678" s="1014">
        <v>1.0043685777819154</v>
      </c>
      <c r="F1678" s="1014">
        <v>1.0135959465782709</v>
      </c>
      <c r="G1678" s="1014">
        <v>0.99783581889554751</v>
      </c>
      <c r="H1678" s="1014">
        <v>1.0128285469958982</v>
      </c>
      <c r="I1678" s="1014">
        <v>1.0043996513630191</v>
      </c>
      <c r="K1678">
        <v>2.433886677262961</v>
      </c>
      <c r="L1678">
        <v>0</v>
      </c>
      <c r="M1678">
        <v>1.6429609581328883E-3</v>
      </c>
      <c r="N1678">
        <v>0.15153551396159071</v>
      </c>
      <c r="O1678">
        <v>2.0925792219060518E-2</v>
      </c>
      <c r="P1678">
        <v>2.8841458726797709E-2</v>
      </c>
      <c r="Q1678">
        <v>5.4999261355556878E-3</v>
      </c>
      <c r="R1678">
        <v>1.6215489436654097E-3</v>
      </c>
      <c r="S1678">
        <v>0.25952447179771981</v>
      </c>
      <c r="T1678">
        <v>1.3903831360977708</v>
      </c>
      <c r="U1678">
        <v>0.21173131532612438</v>
      </c>
      <c r="V1678">
        <v>0.24507031527701695</v>
      </c>
      <c r="W1678">
        <v>9.92908384962881E-2</v>
      </c>
      <c r="X1678">
        <v>1.6691999558313426E-2</v>
      </c>
      <c r="Y1678">
        <v>4.413321681191627E-3</v>
      </c>
    </row>
    <row r="1679" spans="1:25">
      <c r="A1679" s="1010"/>
      <c r="B1679" s="1351">
        <v>1429</v>
      </c>
      <c r="C1679" s="1014">
        <v>1.0145477580222133</v>
      </c>
      <c r="D1679" s="1014">
        <v>1.016137707647129</v>
      </c>
      <c r="E1679" s="1014">
        <v>1.0090024309403756</v>
      </c>
      <c r="F1679" s="1014">
        <v>0.99678317121077586</v>
      </c>
      <c r="G1679" s="1014">
        <v>1.0135207457436819</v>
      </c>
      <c r="H1679" s="1014">
        <v>1.0163327791109853</v>
      </c>
      <c r="I1679" s="1014">
        <v>0.99831792569656519</v>
      </c>
      <c r="K1679">
        <v>2.401498802850853</v>
      </c>
      <c r="L1679">
        <v>0</v>
      </c>
      <c r="M1679">
        <v>1.6085917092636089E-3</v>
      </c>
      <c r="N1679">
        <v>0.15046305062946533</v>
      </c>
      <c r="O1679">
        <v>2.0617829975142884E-2</v>
      </c>
      <c r="P1679">
        <v>2.8535055706330734E-2</v>
      </c>
      <c r="Q1679">
        <v>5.4441905612182071E-3</v>
      </c>
      <c r="R1679">
        <v>1.5876998971430219E-3</v>
      </c>
      <c r="S1679">
        <v>0.25388977980120675</v>
      </c>
      <c r="T1679">
        <v>1.3674205285117187</v>
      </c>
      <c r="U1679">
        <v>0.20896421801550599</v>
      </c>
      <c r="V1679">
        <v>0.2469125779681493</v>
      </c>
      <c r="W1679">
        <v>9.8318402210501032E-2</v>
      </c>
      <c r="X1679">
        <v>1.6632865548839124E-2</v>
      </c>
      <c r="Y1679">
        <v>4.3211957348928756E-3</v>
      </c>
    </row>
    <row r="1680" spans="1:25">
      <c r="A1680" s="1010"/>
      <c r="B1680" s="1351">
        <v>1430</v>
      </c>
      <c r="C1680" s="1014">
        <v>1.0322561439473799</v>
      </c>
      <c r="D1680" s="1014">
        <v>1.0459146081271016</v>
      </c>
      <c r="E1680" s="1014">
        <v>1.0183457335162869</v>
      </c>
      <c r="F1680" s="1014">
        <v>0.99326775975212223</v>
      </c>
      <c r="G1680" s="1014">
        <v>0.98153409871287411</v>
      </c>
      <c r="H1680" s="1014">
        <v>1.0180744017654764</v>
      </c>
      <c r="I1680" s="1014">
        <v>1.0153854669553906</v>
      </c>
      <c r="K1680">
        <v>2.3788462046391796</v>
      </c>
      <c r="L1680">
        <v>0</v>
      </c>
      <c r="M1680">
        <v>1.5434057645819261E-3</v>
      </c>
      <c r="N1680">
        <v>0.14849811878365554</v>
      </c>
      <c r="O1680">
        <v>2.0141736491777428E-2</v>
      </c>
      <c r="P1680">
        <v>2.8480302295198552E-2</v>
      </c>
      <c r="Q1680">
        <v>5.3682823096583791E-3</v>
      </c>
      <c r="R1680">
        <v>1.5233948555078295E-3</v>
      </c>
      <c r="S1680">
        <v>0.25041333184693304</v>
      </c>
      <c r="T1680">
        <v>1.3627992322137423</v>
      </c>
      <c r="U1680">
        <v>0.2054104351163786</v>
      </c>
      <c r="V1680">
        <v>0.24036390476503028</v>
      </c>
      <c r="W1680">
        <v>9.6502830821279306E-2</v>
      </c>
      <c r="X1680">
        <v>1.6741862294885338E-2</v>
      </c>
      <c r="Y1680">
        <v>4.1461786097131588E-3</v>
      </c>
    </row>
    <row r="1681" spans="1:25">
      <c r="A1681" s="1010"/>
      <c r="B1681" s="1351">
        <v>1431</v>
      </c>
      <c r="C1681" s="1014">
        <v>0.98479696576180409</v>
      </c>
      <c r="D1681" s="1014">
        <v>0.98836395232284979</v>
      </c>
      <c r="E1681" s="1014">
        <v>1.0028451468043269</v>
      </c>
      <c r="F1681" s="1014">
        <v>0.96766264190808238</v>
      </c>
      <c r="G1681" s="1014">
        <v>1.0354313385639249</v>
      </c>
      <c r="H1681" s="1014">
        <v>1.0009027985422316</v>
      </c>
      <c r="I1681" s="1014">
        <v>0.98703153156894841</v>
      </c>
      <c r="K1681">
        <v>2.3848111346701333</v>
      </c>
      <c r="L1681">
        <v>0</v>
      </c>
      <c r="M1681">
        <v>1.663134475918345E-3</v>
      </c>
      <c r="N1681">
        <v>0.15266794324033059</v>
      </c>
      <c r="O1681">
        <v>2.1366429993193291E-2</v>
      </c>
      <c r="P1681">
        <v>2.8114909706918777E-2</v>
      </c>
      <c r="Q1681">
        <v>5.6071631612616916E-3</v>
      </c>
      <c r="R1681">
        <v>1.641201291957846E-3</v>
      </c>
      <c r="S1681">
        <v>0.26083391759444197</v>
      </c>
      <c r="T1681">
        <v>1.3273429937350547</v>
      </c>
      <c r="U1681">
        <v>0.21525565152257889</v>
      </c>
      <c r="V1681">
        <v>0.25253436681857883</v>
      </c>
      <c r="W1681">
        <v>0.10012319926834945</v>
      </c>
      <c r="X1681">
        <v>1.6519683918538686E-2</v>
      </c>
      <c r="Y1681">
        <v>4.4668088948487663E-3</v>
      </c>
    </row>
    <row r="1682" spans="1:25">
      <c r="A1682" s="1010"/>
      <c r="B1682" s="1351">
        <v>1432</v>
      </c>
      <c r="C1682" s="1014">
        <v>1.0092388195298807</v>
      </c>
      <c r="D1682" s="1014">
        <v>1.027595711830869</v>
      </c>
      <c r="E1682" s="1014">
        <v>1.0078105222591804</v>
      </c>
      <c r="F1682" s="1014">
        <v>0.96857053161593487</v>
      </c>
      <c r="G1682" s="1014">
        <v>1.0072918225341545</v>
      </c>
      <c r="H1682" s="1014">
        <v>1.024594352309897</v>
      </c>
      <c r="I1682" s="1014">
        <v>1.0223450851874221</v>
      </c>
      <c r="K1682">
        <v>2.3718869352561067</v>
      </c>
      <c r="L1682">
        <v>0</v>
      </c>
      <c r="M1682">
        <v>1.6302124216456494E-3</v>
      </c>
      <c r="N1682">
        <v>0.1519537339374625</v>
      </c>
      <c r="O1682">
        <v>2.0674441078126542E-2</v>
      </c>
      <c r="P1682">
        <v>2.8075610845130109E-2</v>
      </c>
      <c r="Q1682">
        <v>5.4526325779182417E-3</v>
      </c>
      <c r="R1682">
        <v>1.6092105278134778E-3</v>
      </c>
      <c r="S1682">
        <v>0.26061487849096038</v>
      </c>
      <c r="T1682">
        <v>1.3286924743183808</v>
      </c>
      <c r="U1682">
        <v>0.2100593984897508</v>
      </c>
      <c r="V1682">
        <v>0.24617696460616853</v>
      </c>
      <c r="W1682">
        <v>9.9362371604049912E-2</v>
      </c>
      <c r="X1682">
        <v>1.6465690621391076E-2</v>
      </c>
      <c r="Y1682">
        <v>4.3797405806003612E-3</v>
      </c>
    </row>
    <row r="1683" spans="1:25">
      <c r="A1683" s="1010"/>
      <c r="B1683" s="1351">
        <v>1433</v>
      </c>
      <c r="C1683" s="1014">
        <v>0.99948520053823031</v>
      </c>
      <c r="D1683" s="1014">
        <v>0.9817117094700899</v>
      </c>
      <c r="E1683" s="1014">
        <v>1.0099531620737456</v>
      </c>
      <c r="F1683" s="1014">
        <v>1.0009944238850121</v>
      </c>
      <c r="G1683" s="1014">
        <v>0.96564940348359496</v>
      </c>
      <c r="H1683" s="1014">
        <v>1.0361760235704442</v>
      </c>
      <c r="I1683" s="1014">
        <v>0.9570159423347443</v>
      </c>
      <c r="K1683">
        <v>2.4141923796504865</v>
      </c>
      <c r="L1683">
        <v>0</v>
      </c>
      <c r="M1683">
        <v>1.6740750474960261E-3</v>
      </c>
      <c r="N1683">
        <v>0.15707785745435815</v>
      </c>
      <c r="O1683">
        <v>2.1088478445440401E-2</v>
      </c>
      <c r="P1683">
        <v>2.8565960865814061E-2</v>
      </c>
      <c r="Q1683">
        <v>5.5737627345051359E-3</v>
      </c>
      <c r="R1683">
        <v>1.6527491359863407E-3</v>
      </c>
      <c r="S1683">
        <v>0.25297458140835088</v>
      </c>
      <c r="T1683">
        <v>1.3732182879207417</v>
      </c>
      <c r="U1683">
        <v>0.21211663101114872</v>
      </c>
      <c r="V1683">
        <v>0.23966332119250894</v>
      </c>
      <c r="W1683">
        <v>0.10258322358364752</v>
      </c>
      <c r="X1683">
        <v>1.6853362625932483E-2</v>
      </c>
      <c r="Y1683">
        <v>4.4982383195485681E-3</v>
      </c>
    </row>
    <row r="1684" spans="1:25">
      <c r="A1684" s="1010"/>
      <c r="B1684" s="1351">
        <v>1434</v>
      </c>
      <c r="C1684" s="1014">
        <v>1.0198623900689037</v>
      </c>
      <c r="D1684" s="1014">
        <v>0.98208789765152538</v>
      </c>
      <c r="E1684" s="1014">
        <v>1.0035218907562136</v>
      </c>
      <c r="F1684" s="1014">
        <v>0.98922283120432986</v>
      </c>
      <c r="G1684" s="1014">
        <v>0.99379004120700409</v>
      </c>
      <c r="H1684" s="1014">
        <v>0.99117935087698539</v>
      </c>
      <c r="I1684" s="1014">
        <v>0.98171009564324407</v>
      </c>
      <c r="K1684">
        <v>2.3755241465894374</v>
      </c>
      <c r="L1684">
        <v>0</v>
      </c>
      <c r="M1684">
        <v>1.5903456321653062E-3</v>
      </c>
      <c r="N1684">
        <v>0.14626580802054007</v>
      </c>
      <c r="O1684">
        <v>2.0661175496171535E-2</v>
      </c>
      <c r="P1684">
        <v>2.8164387388205227E-2</v>
      </c>
      <c r="Q1684">
        <v>5.4257673100742256E-3</v>
      </c>
      <c r="R1684">
        <v>1.5691666300864302E-3</v>
      </c>
      <c r="S1684">
        <v>0.25051721170023422</v>
      </c>
      <c r="T1684">
        <v>1.3569315970017202</v>
      </c>
      <c r="U1684">
        <v>0.20785689222889092</v>
      </c>
      <c r="V1684">
        <v>0.24324292084448723</v>
      </c>
      <c r="W1684">
        <v>9.5886051432891611E-2</v>
      </c>
      <c r="X1684">
        <v>1.6322759876844513E-2</v>
      </c>
      <c r="Y1684">
        <v>4.2707542914546754E-3</v>
      </c>
    </row>
    <row r="1685" spans="1:25">
      <c r="A1685" s="1010"/>
      <c r="B1685" s="1351">
        <v>1435</v>
      </c>
      <c r="C1685" s="1014">
        <v>1.0016760914522111</v>
      </c>
      <c r="D1685" s="1014">
        <v>0.978354948228364</v>
      </c>
      <c r="E1685" s="1014">
        <v>0.97754494765182276</v>
      </c>
      <c r="F1685" s="1014">
        <v>1.002167967469128</v>
      </c>
      <c r="G1685" s="1014">
        <v>1.0106988483778492</v>
      </c>
      <c r="H1685" s="1014">
        <v>0.98417714116462196</v>
      </c>
      <c r="I1685" s="1014">
        <v>1.0369416834888205</v>
      </c>
      <c r="K1685">
        <v>2.4174186716112116</v>
      </c>
      <c r="L1685">
        <v>0</v>
      </c>
      <c r="M1685">
        <v>1.6980776345433713E-3</v>
      </c>
      <c r="N1685">
        <v>0.14436407408095475</v>
      </c>
      <c r="O1685">
        <v>2.1036660685181795E-2</v>
      </c>
      <c r="P1685">
        <v>2.8204080038139318E-2</v>
      </c>
      <c r="Q1685">
        <v>5.3812488134271155E-3</v>
      </c>
      <c r="R1685">
        <v>1.6753030487783632E-3</v>
      </c>
      <c r="S1685">
        <v>0.26909295317394905</v>
      </c>
      <c r="T1685">
        <v>1.3741266705445845</v>
      </c>
      <c r="U1685">
        <v>0.21154220186477596</v>
      </c>
      <c r="V1685">
        <v>0.24733636635021181</v>
      </c>
      <c r="W1685">
        <v>9.6123026857662622E-2</v>
      </c>
      <c r="X1685">
        <v>1.5674541152818595E-2</v>
      </c>
      <c r="Y1685">
        <v>4.5596226352730982E-3</v>
      </c>
    </row>
    <row r="1686" spans="1:25">
      <c r="A1686" s="1010"/>
      <c r="B1686" s="1351">
        <v>1436</v>
      </c>
      <c r="C1686" s="1014">
        <v>1.0095372440649721</v>
      </c>
      <c r="D1686" s="1014">
        <v>1.0066109687288993</v>
      </c>
      <c r="E1686" s="1014">
        <v>0.99947838370603259</v>
      </c>
      <c r="F1686" s="1014">
        <v>0.9712970812336218</v>
      </c>
      <c r="G1686" s="1014">
        <v>1.003443482332169</v>
      </c>
      <c r="H1686" s="1014">
        <v>1.0167442466404855</v>
      </c>
      <c r="I1686" s="1014">
        <v>1.0260291940273805</v>
      </c>
      <c r="K1686">
        <v>2.3749053452545459</v>
      </c>
      <c r="L1686">
        <v>0</v>
      </c>
      <c r="M1686">
        <v>1.6529405081976444E-3</v>
      </c>
      <c r="N1686">
        <v>0.15022803526111586</v>
      </c>
      <c r="O1686">
        <v>2.0756887166672219E-2</v>
      </c>
      <c r="P1686">
        <v>2.7979247537029784E-2</v>
      </c>
      <c r="Q1686">
        <v>5.4288102064894411E-3</v>
      </c>
      <c r="R1686">
        <v>1.6314813976151424E-3</v>
      </c>
      <c r="S1686">
        <v>0.26342113245048926</v>
      </c>
      <c r="T1686">
        <v>1.3322576109710371</v>
      </c>
      <c r="U1686">
        <v>0.20996907568790957</v>
      </c>
      <c r="V1686">
        <v>0.24553160447566888</v>
      </c>
      <c r="W1686">
        <v>9.8720213610925006E-2</v>
      </c>
      <c r="X1686">
        <v>1.6193832451178378E-2</v>
      </c>
      <c r="Y1686">
        <v>4.4403545466102359E-3</v>
      </c>
    </row>
    <row r="1687" spans="1:25">
      <c r="A1687" s="1010"/>
      <c r="B1687" s="1351">
        <v>1437</v>
      </c>
      <c r="C1687" s="1014">
        <v>1.0085888884717449</v>
      </c>
      <c r="D1687" s="1014">
        <v>0.9974956645696228</v>
      </c>
      <c r="E1687" s="1014">
        <v>1.0377701574325386</v>
      </c>
      <c r="F1687" s="1014">
        <v>0.96883825990623451</v>
      </c>
      <c r="G1687" s="1014">
        <v>0.9874045095408106</v>
      </c>
      <c r="H1687" s="1014">
        <v>0.98024261618366737</v>
      </c>
      <c r="I1687" s="1014">
        <v>0.98167916237925212</v>
      </c>
      <c r="K1687">
        <v>2.3571093003994212</v>
      </c>
      <c r="L1687">
        <v>0</v>
      </c>
      <c r="M1687">
        <v>1.4759197880765559E-3</v>
      </c>
      <c r="N1687">
        <v>0.15049347897771823</v>
      </c>
      <c r="O1687">
        <v>2.084330747926115E-2</v>
      </c>
      <c r="P1687">
        <v>2.85264483194138E-2</v>
      </c>
      <c r="Q1687">
        <v>5.6631045290515686E-3</v>
      </c>
      <c r="R1687">
        <v>1.4560453254761018E-3</v>
      </c>
      <c r="S1687">
        <v>0.25069981378209288</v>
      </c>
      <c r="T1687">
        <v>1.3296903243160338</v>
      </c>
      <c r="U1687">
        <v>0.21029664759627792</v>
      </c>
      <c r="V1687">
        <v>0.24271807683108096</v>
      </c>
      <c r="W1687">
        <v>9.6701321180853478E-2</v>
      </c>
      <c r="X1687">
        <v>1.7533776459502142E-2</v>
      </c>
      <c r="Y1687">
        <v>3.962875390733406E-3</v>
      </c>
    </row>
    <row r="1688" spans="1:25">
      <c r="A1688" s="1010"/>
      <c r="B1688" s="1351">
        <v>1438</v>
      </c>
      <c r="C1688" s="1014">
        <v>0.97681906976202604</v>
      </c>
      <c r="D1688" s="1014">
        <v>0.97341149537250615</v>
      </c>
      <c r="E1688" s="1014">
        <v>1.0126024613115174</v>
      </c>
      <c r="F1688" s="1014">
        <v>0.99896059396836201</v>
      </c>
      <c r="G1688" s="1014">
        <v>0.97873484770374919</v>
      </c>
      <c r="H1688" s="1014">
        <v>1.0218703848488224</v>
      </c>
      <c r="I1688" s="1014">
        <v>1.0045745739249952</v>
      </c>
      <c r="K1688">
        <v>2.4434927383858387</v>
      </c>
      <c r="L1688">
        <v>0</v>
      </c>
      <c r="M1688">
        <v>1.6831386445949994E-3</v>
      </c>
      <c r="N1688">
        <v>0.15916762658385736</v>
      </c>
      <c r="O1688">
        <v>2.1619974255877326E-2</v>
      </c>
      <c r="P1688">
        <v>2.8959702690759901E-2</v>
      </c>
      <c r="Q1688">
        <v>5.729381663422007E-3</v>
      </c>
      <c r="R1688">
        <v>1.6613971048914013E-3</v>
      </c>
      <c r="S1688">
        <v>0.27162815397965329</v>
      </c>
      <c r="T1688">
        <v>1.3704855385920707</v>
      </c>
      <c r="U1688">
        <v>0.21704787687189228</v>
      </c>
      <c r="V1688">
        <v>0.24333702962613185</v>
      </c>
      <c r="W1688">
        <v>0.10378589361866362</v>
      </c>
      <c r="X1688">
        <v>1.7231526803104781E-2</v>
      </c>
      <c r="Y1688">
        <v>4.5217752401059581E-3</v>
      </c>
    </row>
    <row r="1689" spans="1:25">
      <c r="A1689" s="1010"/>
      <c r="B1689" s="1351">
        <v>1439</v>
      </c>
      <c r="C1689" s="1014">
        <v>1.0150916379855666</v>
      </c>
      <c r="D1689" s="1014">
        <v>1.0196250228441885</v>
      </c>
      <c r="E1689" s="1014">
        <v>1.0099254320020126</v>
      </c>
      <c r="F1689" s="1014">
        <v>1.0277435545199458</v>
      </c>
      <c r="G1689" s="1014">
        <v>1.0078068210136357</v>
      </c>
      <c r="H1689" s="1014">
        <v>1.0101192741302254</v>
      </c>
      <c r="I1689" s="1014">
        <v>0.97625353127576664</v>
      </c>
      <c r="K1689">
        <v>2.4351196988520214</v>
      </c>
      <c r="L1689">
        <v>0</v>
      </c>
      <c r="M1689">
        <v>1.593638254303428E-3</v>
      </c>
      <c r="N1689">
        <v>0.14946821737658988</v>
      </c>
      <c r="O1689">
        <v>2.0591858694785709E-2</v>
      </c>
      <c r="P1689">
        <v>2.9031627307614563E-2</v>
      </c>
      <c r="Q1689">
        <v>5.4423534308695619E-3</v>
      </c>
      <c r="R1689">
        <v>1.572813335987483E-3</v>
      </c>
      <c r="S1689">
        <v>0.2472241117206021</v>
      </c>
      <c r="T1689">
        <v>1.4099135743982387</v>
      </c>
      <c r="U1689">
        <v>0.20885536893080628</v>
      </c>
      <c r="V1689">
        <v>0.24590077171832928</v>
      </c>
      <c r="W1689">
        <v>9.7615173422648194E-2</v>
      </c>
      <c r="X1689">
        <v>1.681678734706997E-2</v>
      </c>
      <c r="Y1689">
        <v>4.2806794227810644E-3</v>
      </c>
    </row>
    <row r="1690" spans="1:25">
      <c r="A1690" s="1010"/>
      <c r="B1690" s="1351">
        <v>1440</v>
      </c>
      <c r="C1690" s="1014">
        <v>1.0245059409274093</v>
      </c>
      <c r="D1690" s="1014">
        <v>0.99230616021361218</v>
      </c>
      <c r="E1690" s="1014">
        <v>0.95696980727773528</v>
      </c>
      <c r="F1690" s="1014">
        <v>0.97786817444515517</v>
      </c>
      <c r="G1690" s="1014">
        <v>1.0306655621454424</v>
      </c>
      <c r="H1690" s="1014">
        <v>1.0159238640408925</v>
      </c>
      <c r="I1690" s="1014">
        <v>1.0216046718929477</v>
      </c>
      <c r="K1690">
        <v>2.3670876517900457</v>
      </c>
      <c r="L1690">
        <v>0</v>
      </c>
      <c r="M1690">
        <v>1.7825614290968865E-3</v>
      </c>
      <c r="N1690">
        <v>0.1424521064176997</v>
      </c>
      <c r="O1690">
        <v>2.0490635292997307E-2</v>
      </c>
      <c r="P1690">
        <v>2.7159289207710345E-2</v>
      </c>
      <c r="Q1690">
        <v>5.1323313988058498E-3</v>
      </c>
      <c r="R1690">
        <v>1.7594008421419934E-3</v>
      </c>
      <c r="S1690">
        <v>0.25988850514352441</v>
      </c>
      <c r="T1690">
        <v>1.3403757400804459</v>
      </c>
      <c r="U1690">
        <v>0.20675996441599565</v>
      </c>
      <c r="V1690">
        <v>0.24944055117039293</v>
      </c>
      <c r="W1690">
        <v>9.6047854295633728E-2</v>
      </c>
      <c r="X1690">
        <v>1.457532584781235E-2</v>
      </c>
      <c r="Y1690">
        <v>4.7885091059787681E-3</v>
      </c>
    </row>
    <row r="1691" spans="1:25">
      <c r="A1691" s="1010"/>
      <c r="B1691" s="1351">
        <v>1441</v>
      </c>
      <c r="C1691" s="1014">
        <v>0.99133296395684922</v>
      </c>
      <c r="D1691" s="1014">
        <v>1.0252358268151867</v>
      </c>
      <c r="E1691" s="1014">
        <v>0.99281519971716681</v>
      </c>
      <c r="F1691" s="1014">
        <v>0.98365231245912199</v>
      </c>
      <c r="G1691" s="1014">
        <v>0.98789471911602555</v>
      </c>
      <c r="H1691" s="1014">
        <v>0.99969046907435088</v>
      </c>
      <c r="I1691" s="1014">
        <v>0.98916920627263294</v>
      </c>
      <c r="K1691">
        <v>2.3837460968776232</v>
      </c>
      <c r="L1691">
        <v>0</v>
      </c>
      <c r="M1691">
        <v>1.6713260324668279E-3</v>
      </c>
      <c r="N1691">
        <v>0.14883746486374352</v>
      </c>
      <c r="O1691">
        <v>2.1048535503044113E-2</v>
      </c>
      <c r="P1691">
        <v>2.7982694172805942E-2</v>
      </c>
      <c r="Q1691">
        <v>5.4682622102100488E-3</v>
      </c>
      <c r="R1691">
        <v>1.6492580899229801E-3</v>
      </c>
      <c r="S1691">
        <v>0.25478109566438617</v>
      </c>
      <c r="T1691">
        <v>1.3490627370012334</v>
      </c>
      <c r="U1691">
        <v>0.21380186801809611</v>
      </c>
      <c r="V1691">
        <v>0.24403474189134705</v>
      </c>
      <c r="W1691">
        <v>9.8195709948905946E-2</v>
      </c>
      <c r="X1691">
        <v>1.6066318703406673E-2</v>
      </c>
      <c r="Y1691">
        <v>4.4887368429871255E-3</v>
      </c>
    </row>
    <row r="1692" spans="1:25">
      <c r="A1692" s="1010"/>
      <c r="B1692" s="1351">
        <v>1442</v>
      </c>
      <c r="C1692" s="1014">
        <v>1.010916981662126</v>
      </c>
      <c r="D1692" s="1014">
        <v>0.98605124338447669</v>
      </c>
      <c r="E1692" s="1014">
        <v>0.9729426285004994</v>
      </c>
      <c r="F1692" s="1014">
        <v>0.99582787101150194</v>
      </c>
      <c r="G1692" s="1014">
        <v>0.99778680090686223</v>
      </c>
      <c r="H1692" s="1014">
        <v>1.0065495300879355</v>
      </c>
      <c r="I1692" s="1014">
        <v>0.99399552112893008</v>
      </c>
      <c r="K1692">
        <v>2.39230351219258</v>
      </c>
      <c r="L1692">
        <v>0</v>
      </c>
      <c r="M1692">
        <v>1.7342528907920596E-3</v>
      </c>
      <c r="N1692">
        <v>0.14544390631223941</v>
      </c>
      <c r="O1692">
        <v>2.0805441746810253E-2</v>
      </c>
      <c r="P1692">
        <v>2.7755368348868766E-2</v>
      </c>
      <c r="Q1692">
        <v>5.2971989859252767E-3</v>
      </c>
      <c r="R1692">
        <v>1.7115101136833905E-3</v>
      </c>
      <c r="S1692">
        <v>0.25642017675892198</v>
      </c>
      <c r="T1692">
        <v>1.3653348054728149</v>
      </c>
      <c r="U1692">
        <v>0.20959297445213851</v>
      </c>
      <c r="V1692">
        <v>0.24457769004081364</v>
      </c>
      <c r="W1692">
        <v>9.7112536825193455E-2</v>
      </c>
      <c r="X1692">
        <v>1.5327989695671956E-2</v>
      </c>
      <c r="Y1692">
        <v>4.6581663302888441E-3</v>
      </c>
    </row>
    <row r="1693" spans="1:25">
      <c r="A1693" s="1010"/>
      <c r="B1693" s="1351">
        <v>1443</v>
      </c>
      <c r="C1693" s="1014">
        <v>0.95806489898504688</v>
      </c>
      <c r="D1693" s="1014">
        <v>1.0216462729800431</v>
      </c>
      <c r="E1693" s="1014">
        <v>1.0022158200679057</v>
      </c>
      <c r="F1693" s="1014">
        <v>1.0165238250181352</v>
      </c>
      <c r="G1693" s="1014">
        <v>1.024421813593684</v>
      </c>
      <c r="H1693" s="1014">
        <v>1.0235090549340848</v>
      </c>
      <c r="I1693" s="1014">
        <v>0.99675513505441105</v>
      </c>
      <c r="K1693">
        <v>2.4784788959786135</v>
      </c>
      <c r="L1693">
        <v>0</v>
      </c>
      <c r="M1693">
        <v>1.7377275143799248E-3</v>
      </c>
      <c r="N1693">
        <v>0.15925928248638968</v>
      </c>
      <c r="O1693">
        <v>2.1802720427328132E-2</v>
      </c>
      <c r="P1693">
        <v>2.9200197598688145E-2</v>
      </c>
      <c r="Q1693">
        <v>5.7180450299077826E-3</v>
      </c>
      <c r="R1693">
        <v>1.7153167738809712E-3</v>
      </c>
      <c r="S1693">
        <v>0.26829149744554565</v>
      </c>
      <c r="T1693">
        <v>1.3943520428745195</v>
      </c>
      <c r="U1693">
        <v>0.22125949992626087</v>
      </c>
      <c r="V1693">
        <v>0.25242458014030095</v>
      </c>
      <c r="W1693">
        <v>0.10448494935292138</v>
      </c>
      <c r="X1693">
        <v>1.703996463276684E-2</v>
      </c>
      <c r="Y1693">
        <v>4.6685268044814616E-3</v>
      </c>
    </row>
    <row r="1694" spans="1:25">
      <c r="A1694" s="1010"/>
      <c r="B1694" s="1351">
        <v>1444</v>
      </c>
      <c r="C1694" s="1014">
        <v>1.0130487170454505</v>
      </c>
      <c r="D1694" s="1014">
        <v>0.96295809746599559</v>
      </c>
      <c r="E1694" s="1014">
        <v>0.96179110568524984</v>
      </c>
      <c r="F1694" s="1014">
        <v>0.99390346312785827</v>
      </c>
      <c r="G1694" s="1014">
        <v>1.0151192238185909</v>
      </c>
      <c r="H1694" s="1014">
        <v>1.0120653875004768</v>
      </c>
      <c r="I1694" s="1014">
        <v>1.047521406256122</v>
      </c>
      <c r="K1694">
        <v>2.4086647996025858</v>
      </c>
      <c r="L1694">
        <v>0</v>
      </c>
      <c r="M1694">
        <v>1.7899020858607383E-3</v>
      </c>
      <c r="N1694">
        <v>0.14513654834806267</v>
      </c>
      <c r="O1694">
        <v>2.0862860751759155E-2</v>
      </c>
      <c r="P1694">
        <v>2.7736026897537489E-2</v>
      </c>
      <c r="Q1694">
        <v>5.2515312135235229E-3</v>
      </c>
      <c r="R1694">
        <v>1.766557459878129E-3</v>
      </c>
      <c r="S1694">
        <v>0.27328933504214803</v>
      </c>
      <c r="T1694">
        <v>1.362458255937337</v>
      </c>
      <c r="U1694">
        <v>0.20911450578343713</v>
      </c>
      <c r="V1694">
        <v>0.24745230067232296</v>
      </c>
      <c r="W1694">
        <v>9.7568669238965317E-2</v>
      </c>
      <c r="X1694">
        <v>1.5010123283195898E-2</v>
      </c>
      <c r="Y1694">
        <v>4.8079870602781294E-3</v>
      </c>
    </row>
    <row r="1695" spans="1:25">
      <c r="A1695" s="1010"/>
      <c r="B1695" s="1351">
        <v>1445</v>
      </c>
      <c r="C1695" s="1014">
        <v>1.0132385874913332</v>
      </c>
      <c r="D1695" s="1014">
        <v>0.97315970590403333</v>
      </c>
      <c r="E1695" s="1014">
        <v>1.0244605422115094</v>
      </c>
      <c r="F1695" s="1014">
        <v>0.98947370959416292</v>
      </c>
      <c r="G1695" s="1014">
        <v>0.97477523696744039</v>
      </c>
      <c r="H1695" s="1014">
        <v>0.97761021476881005</v>
      </c>
      <c r="I1695" s="1014">
        <v>1.0213106037790365</v>
      </c>
      <c r="K1695">
        <v>2.3907610470003173</v>
      </c>
      <c r="L1695">
        <v>0</v>
      </c>
      <c r="M1695">
        <v>1.5146215040795893E-3</v>
      </c>
      <c r="N1695">
        <v>0.1483608772200366</v>
      </c>
      <c r="O1695">
        <v>2.0851895134951493E-2</v>
      </c>
      <c r="P1695">
        <v>2.8759284366709346E-2</v>
      </c>
      <c r="Q1695">
        <v>5.5914186303682315E-3</v>
      </c>
      <c r="R1695">
        <v>1.4941709722711099E-3</v>
      </c>
      <c r="S1695">
        <v>0.26254141297508682</v>
      </c>
      <c r="T1695">
        <v>1.3577250691242528</v>
      </c>
      <c r="U1695">
        <v>0.20928649611790068</v>
      </c>
      <c r="V1695">
        <v>0.24032431462668372</v>
      </c>
      <c r="W1695">
        <v>9.6069719285197377E-2</v>
      </c>
      <c r="X1695">
        <v>1.7204369217742748E-2</v>
      </c>
      <c r="Y1695">
        <v>4.0666408331933284E-3</v>
      </c>
    </row>
    <row r="1696" spans="1:25">
      <c r="A1696" s="1010"/>
      <c r="B1696" s="1351">
        <v>1446</v>
      </c>
      <c r="C1696" s="1014">
        <v>0.97244469192519889</v>
      </c>
      <c r="D1696" s="1014">
        <v>0.97281276307289066</v>
      </c>
      <c r="E1696" s="1014">
        <v>0.99894376427042519</v>
      </c>
      <c r="F1696" s="1014">
        <v>1.0012433175412419</v>
      </c>
      <c r="G1696" s="1014">
        <v>0.9991209641259241</v>
      </c>
      <c r="H1696" s="1014">
        <v>1.0017921923516813</v>
      </c>
      <c r="I1696" s="1014">
        <v>0.99365701746636126</v>
      </c>
      <c r="K1696">
        <v>2.4403462165625647</v>
      </c>
      <c r="L1696">
        <v>0</v>
      </c>
      <c r="M1696">
        <v>1.7053960920240714E-3</v>
      </c>
      <c r="N1696">
        <v>0.15471493808440653</v>
      </c>
      <c r="O1696">
        <v>2.1710780954843759E-2</v>
      </c>
      <c r="P1696">
        <v>2.8723048177409602E-2</v>
      </c>
      <c r="Q1696">
        <v>5.6752421051648036E-3</v>
      </c>
      <c r="R1696">
        <v>1.6829255349520406E-3</v>
      </c>
      <c r="S1696">
        <v>0.26809571106887081</v>
      </c>
      <c r="T1696">
        <v>1.3733211113419674</v>
      </c>
      <c r="U1696">
        <v>0.21797617544806633</v>
      </c>
      <c r="V1696">
        <v>0.24715275300537898</v>
      </c>
      <c r="W1696">
        <v>0.10170104824468384</v>
      </c>
      <c r="X1696">
        <v>1.6717510158956169E-2</v>
      </c>
      <c r="Y1696">
        <v>4.5803685298859576E-3</v>
      </c>
    </row>
    <row r="1697" spans="1:25">
      <c r="A1697" s="1010"/>
      <c r="B1697" s="1351">
        <v>1447</v>
      </c>
      <c r="C1697" s="1014">
        <v>1.0314819568654376</v>
      </c>
      <c r="D1697" s="1014">
        <v>1.033705144662256</v>
      </c>
      <c r="E1697" s="1014">
        <v>1.0058213981868174</v>
      </c>
      <c r="F1697" s="1014">
        <v>1.010773887161226</v>
      </c>
      <c r="G1697" s="1014">
        <v>0.97965069013517292</v>
      </c>
      <c r="H1697" s="1014">
        <v>0.99297893474442311</v>
      </c>
      <c r="I1697" s="1014">
        <v>1.0373794763039501</v>
      </c>
      <c r="K1697">
        <v>2.3997174670723225</v>
      </c>
      <c r="L1697">
        <v>0</v>
      </c>
      <c r="M1697">
        <v>1.5502153381190722E-3</v>
      </c>
      <c r="N1697">
        <v>0.14357211200960798</v>
      </c>
      <c r="O1697">
        <v>2.0200977222493078E-2</v>
      </c>
      <c r="P1697">
        <v>2.8609074074574376E-2</v>
      </c>
      <c r="Q1697">
        <v>5.317160407044946E-3</v>
      </c>
      <c r="R1697">
        <v>1.5296081748220598E-3</v>
      </c>
      <c r="S1697">
        <v>0.25528538261641776</v>
      </c>
      <c r="T1697">
        <v>1.386543816658182</v>
      </c>
      <c r="U1697">
        <v>0.20552302583941581</v>
      </c>
      <c r="V1697">
        <v>0.24013130763958332</v>
      </c>
      <c r="W1697">
        <v>9.3992097741082706E-2</v>
      </c>
      <c r="X1697">
        <v>1.6400030810553554E-2</v>
      </c>
      <c r="Y1697">
        <v>4.1630892166663333E-3</v>
      </c>
    </row>
    <row r="1698" spans="1:25">
      <c r="A1698" s="1010"/>
      <c r="B1698" s="1351">
        <v>1448</v>
      </c>
      <c r="C1698" s="1014">
        <v>1.0391523588932321</v>
      </c>
      <c r="D1698" s="1014">
        <v>0.96696079994917061</v>
      </c>
      <c r="E1698" s="1014">
        <v>0.99279917186401434</v>
      </c>
      <c r="F1698" s="1014">
        <v>1.0215605267472849</v>
      </c>
      <c r="G1698" s="1014">
        <v>0.97321935637590862</v>
      </c>
      <c r="H1698" s="1014">
        <v>1.0306682848494673</v>
      </c>
      <c r="I1698" s="1014">
        <v>1.0138970895575827</v>
      </c>
      <c r="K1698">
        <v>2.4236883002255851</v>
      </c>
      <c r="L1698">
        <v>0</v>
      </c>
      <c r="M1698">
        <v>1.6651776007575363E-3</v>
      </c>
      <c r="N1698">
        <v>0.14834237527205887</v>
      </c>
      <c r="O1698">
        <v>2.0340108415100804E-2</v>
      </c>
      <c r="P1698">
        <v>2.8540316873418337E-2</v>
      </c>
      <c r="Q1698">
        <v>5.2841323383213947E-3</v>
      </c>
      <c r="R1698">
        <v>1.6438516763073246E-3</v>
      </c>
      <c r="S1698">
        <v>0.25914036518716438</v>
      </c>
      <c r="T1698">
        <v>1.4010528668915052</v>
      </c>
      <c r="U1698">
        <v>0.20396314648507302</v>
      </c>
      <c r="V1698">
        <v>0.2386321791077419</v>
      </c>
      <c r="W1698">
        <v>9.7870011576527319E-2</v>
      </c>
      <c r="X1698">
        <v>1.6070101635775158E-2</v>
      </c>
      <c r="Y1698">
        <v>4.4740223673490802E-3</v>
      </c>
    </row>
    <row r="1699" spans="1:25">
      <c r="A1699" s="1010"/>
      <c r="B1699" s="1351">
        <v>1449</v>
      </c>
      <c r="C1699" s="1014">
        <v>0.97817083544122241</v>
      </c>
      <c r="D1699" s="1014">
        <v>1.0086416957194082</v>
      </c>
      <c r="E1699" s="1014">
        <v>0.97982749661596746</v>
      </c>
      <c r="F1699" s="1014">
        <v>1.0245777991564022</v>
      </c>
      <c r="G1699" s="1014">
        <v>0.99384067186178893</v>
      </c>
      <c r="H1699" s="1014">
        <v>1.0262242958934291</v>
      </c>
      <c r="I1699" s="1014">
        <v>0.99919233209758151</v>
      </c>
      <c r="K1699">
        <v>2.4646291761396255</v>
      </c>
      <c r="L1699">
        <v>0</v>
      </c>
      <c r="M1699">
        <v>1.792573173935429E-3</v>
      </c>
      <c r="N1699">
        <v>0.15353943397415359</v>
      </c>
      <c r="O1699">
        <v>2.1399703688482642E-2</v>
      </c>
      <c r="P1699">
        <v>2.8663420215550444E-2</v>
      </c>
      <c r="Q1699">
        <v>5.4868403236689742E-3</v>
      </c>
      <c r="R1699">
        <v>1.7695162790906545E-3</v>
      </c>
      <c r="S1699">
        <v>0.26514892096977244</v>
      </c>
      <c r="T1699">
        <v>1.4049043604119653</v>
      </c>
      <c r="U1699">
        <v>0.21663346910272577</v>
      </c>
      <c r="V1699">
        <v>0.24594366921671476</v>
      </c>
      <c r="W1699">
        <v>0.10209137440903401</v>
      </c>
      <c r="X1699">
        <v>1.60250007315982E-2</v>
      </c>
      <c r="Y1699">
        <v>4.8160399908001297E-3</v>
      </c>
    </row>
    <row r="1700" spans="1:25">
      <c r="A1700" s="1010"/>
      <c r="B1700" s="1351">
        <v>1450</v>
      </c>
      <c r="C1700" s="1014">
        <v>0.9972779817898626</v>
      </c>
      <c r="D1700" s="1014">
        <v>1.014730496087447</v>
      </c>
      <c r="E1700" s="1014">
        <v>1.0243676511366371</v>
      </c>
      <c r="F1700" s="1014">
        <v>0.9842338691602498</v>
      </c>
      <c r="G1700" s="1014">
        <v>0.97783996160603792</v>
      </c>
      <c r="H1700" s="1014">
        <v>1.0059945763578513</v>
      </c>
      <c r="I1700" s="1014">
        <v>0.99147833529457363</v>
      </c>
      <c r="K1700">
        <v>2.3909444918242513</v>
      </c>
      <c r="L1700">
        <v>0</v>
      </c>
      <c r="M1700">
        <v>1.5693393355453264E-3</v>
      </c>
      <c r="N1700">
        <v>0.15373691193491729</v>
      </c>
      <c r="O1700">
        <v>2.099148157281135E-2</v>
      </c>
      <c r="P1700">
        <v>2.8633278360810647E-2</v>
      </c>
      <c r="Q1700">
        <v>5.6283300962184039E-3</v>
      </c>
      <c r="R1700">
        <v>1.5487478613678887E-3</v>
      </c>
      <c r="S1700">
        <v>0.25594652468456863</v>
      </c>
      <c r="T1700">
        <v>1.3505331360995811</v>
      </c>
      <c r="U1700">
        <v>0.21263563307234301</v>
      </c>
      <c r="V1700">
        <v>0.24183354305276264</v>
      </c>
      <c r="W1700">
        <v>9.9556312663464569E-2</v>
      </c>
      <c r="X1700">
        <v>1.7254750626901887E-2</v>
      </c>
      <c r="Y1700">
        <v>4.2151811340481043E-3</v>
      </c>
    </row>
    <row r="1701" spans="1:25">
      <c r="A1701" s="1010"/>
      <c r="B1701" s="1351">
        <v>1451</v>
      </c>
      <c r="C1701" s="1014">
        <v>1.0052034751266292</v>
      </c>
      <c r="D1701" s="1014">
        <v>0.99090294969135384</v>
      </c>
      <c r="E1701" s="1014">
        <v>1.0046910006930414</v>
      </c>
      <c r="F1701" s="1014">
        <v>1.0038275273120469</v>
      </c>
      <c r="G1701" s="1014">
        <v>0.99994547639881926</v>
      </c>
      <c r="H1701" s="1014">
        <v>0.99253764211842577</v>
      </c>
      <c r="I1701" s="1014">
        <v>0.98363974210013094</v>
      </c>
      <c r="K1701">
        <v>2.40834027902291</v>
      </c>
      <c r="L1701">
        <v>0</v>
      </c>
      <c r="M1701">
        <v>1.6086672295115788E-3</v>
      </c>
      <c r="N1701">
        <v>0.14847695555932436</v>
      </c>
      <c r="O1701">
        <v>2.0922082953770137E-2</v>
      </c>
      <c r="P1701">
        <v>2.8574545632047508E-2</v>
      </c>
      <c r="Q1701">
        <v>5.5007292275343189E-3</v>
      </c>
      <c r="R1701">
        <v>1.5872735519101638E-3</v>
      </c>
      <c r="S1701">
        <v>0.25364985405922036</v>
      </c>
      <c r="T1701">
        <v>1.3769904783014779</v>
      </c>
      <c r="U1701">
        <v>0.2108920541914637</v>
      </c>
      <c r="V1701">
        <v>0.24518203113089224</v>
      </c>
      <c r="W1701">
        <v>9.7268199940348285E-2</v>
      </c>
      <c r="X1701">
        <v>1.6584706340715755E-2</v>
      </c>
      <c r="Y1701">
        <v>4.320035363713704E-3</v>
      </c>
    </row>
    <row r="1702" spans="1:25">
      <c r="A1702" s="1010"/>
      <c r="B1702" s="1351">
        <v>1452</v>
      </c>
      <c r="C1702" s="1014">
        <v>1.023696498173984</v>
      </c>
      <c r="D1702" s="1014">
        <v>0.98914441170675316</v>
      </c>
      <c r="E1702" s="1014">
        <v>0.99600236336473558</v>
      </c>
      <c r="F1702" s="1014">
        <v>0.97860952165924731</v>
      </c>
      <c r="G1702" s="1014">
        <v>1.0121956501857627</v>
      </c>
      <c r="H1702" s="1014">
        <v>0.98413280885099175</v>
      </c>
      <c r="I1702" s="1014">
        <v>1.0015021668855641</v>
      </c>
      <c r="K1702">
        <v>2.3603417665866524</v>
      </c>
      <c r="L1702">
        <v>0</v>
      </c>
      <c r="M1702">
        <v>1.5953393424538121E-3</v>
      </c>
      <c r="N1702">
        <v>0.14341542820772285</v>
      </c>
      <c r="O1702">
        <v>2.0546509544155562E-2</v>
      </c>
      <c r="P1702">
        <v>2.7870192880355242E-2</v>
      </c>
      <c r="Q1702">
        <v>5.3550206952920135E-3</v>
      </c>
      <c r="R1702">
        <v>1.5739417169010964E-3</v>
      </c>
      <c r="S1702">
        <v>0.25304642235587782</v>
      </c>
      <c r="T1702">
        <v>1.3422140154176678</v>
      </c>
      <c r="U1702">
        <v>0.20705328655234348</v>
      </c>
      <c r="V1702">
        <v>0.24618417324347383</v>
      </c>
      <c r="W1702">
        <v>9.4438658447448767E-2</v>
      </c>
      <c r="X1702">
        <v>1.5955706364206006E-2</v>
      </c>
      <c r="Y1702">
        <v>4.2837505036572498E-3</v>
      </c>
    </row>
    <row r="1703" spans="1:25">
      <c r="A1703" s="1010"/>
      <c r="B1703" s="1351">
        <v>1453</v>
      </c>
      <c r="C1703" s="1014">
        <v>0.99092988401575988</v>
      </c>
      <c r="D1703" s="1014">
        <v>0.972205985769235</v>
      </c>
      <c r="E1703" s="1014">
        <v>1.0067495812748843</v>
      </c>
      <c r="F1703" s="1014">
        <v>1.008178807791241</v>
      </c>
      <c r="G1703" s="1014">
        <v>1.0246946575447726</v>
      </c>
      <c r="H1703" s="1014">
        <v>1.0021523191685062</v>
      </c>
      <c r="I1703" s="1014">
        <v>1.0245464221791529</v>
      </c>
      <c r="K1703">
        <v>2.4491940236366205</v>
      </c>
      <c r="L1703">
        <v>0</v>
      </c>
      <c r="M1703">
        <v>1.6475094318693351E-3</v>
      </c>
      <c r="N1703">
        <v>0.15303008781327784</v>
      </c>
      <c r="O1703">
        <v>2.1313967147971354E-2</v>
      </c>
      <c r="P1703">
        <v>2.9056786001860301E-2</v>
      </c>
      <c r="Q1703">
        <v>5.6153323028872611E-3</v>
      </c>
      <c r="R1703">
        <v>1.6258093989776747E-3</v>
      </c>
      <c r="S1703">
        <v>0.2714575103471133</v>
      </c>
      <c r="T1703">
        <v>1.3830042433273966</v>
      </c>
      <c r="U1703">
        <v>0.21393690122768103</v>
      </c>
      <c r="V1703">
        <v>0.25029451542317327</v>
      </c>
      <c r="W1703">
        <v>0.10012895474662964</v>
      </c>
      <c r="X1703">
        <v>1.6952508095426522E-2</v>
      </c>
      <c r="Y1703">
        <v>4.4249172360928965E-3</v>
      </c>
    </row>
    <row r="1704" spans="1:25">
      <c r="A1704" s="1010"/>
      <c r="B1704" s="1351">
        <v>1454</v>
      </c>
      <c r="C1704" s="1014">
        <v>1.044253006762053</v>
      </c>
      <c r="D1704" s="1014">
        <v>1.0049682323232376</v>
      </c>
      <c r="E1704" s="1014">
        <v>0.99967952297699525</v>
      </c>
      <c r="F1704" s="1014">
        <v>0.99168307564641567</v>
      </c>
      <c r="G1704" s="1014">
        <v>1.0025339274305105</v>
      </c>
      <c r="H1704" s="1014">
        <v>0.97724940340992139</v>
      </c>
      <c r="I1704" s="1014">
        <v>1.0104308697892772</v>
      </c>
      <c r="K1704">
        <v>2.359019144158542</v>
      </c>
      <c r="L1704">
        <v>0</v>
      </c>
      <c r="M1704">
        <v>1.5358273229670357E-3</v>
      </c>
      <c r="N1704">
        <v>0.13959477241518692</v>
      </c>
      <c r="O1704">
        <v>2.0074172402975078E-2</v>
      </c>
      <c r="P1704">
        <v>2.8025776135486315E-2</v>
      </c>
      <c r="Q1704">
        <v>5.2513130690329483E-3</v>
      </c>
      <c r="R1704">
        <v>1.5150828123427331E-3</v>
      </c>
      <c r="S1704">
        <v>0.24775088919268295</v>
      </c>
      <c r="T1704">
        <v>1.3602239115712675</v>
      </c>
      <c r="U1704">
        <v>0.20298939828943016</v>
      </c>
      <c r="V1704">
        <v>0.24332090188197561</v>
      </c>
      <c r="W1704">
        <v>9.1721747101053241E-2</v>
      </c>
      <c r="X1704">
        <v>1.5963450641792155E-2</v>
      </c>
      <c r="Y1704">
        <v>4.1235559682820597E-3</v>
      </c>
    </row>
    <row r="1705" spans="1:25">
      <c r="A1705" s="1010"/>
      <c r="B1705" s="1351">
        <v>1455</v>
      </c>
      <c r="C1705" s="1014">
        <v>0.99971528611195659</v>
      </c>
      <c r="D1705" s="1014">
        <v>1.0085923500850342</v>
      </c>
      <c r="E1705" s="1014">
        <v>0.98297989582334933</v>
      </c>
      <c r="F1705" s="1014">
        <v>0.97932900399795386</v>
      </c>
      <c r="G1705" s="1014">
        <v>0.99983207502223892</v>
      </c>
      <c r="H1705" s="1014">
        <v>1.0043936864164078</v>
      </c>
      <c r="I1705" s="1014">
        <v>1.0293389057843616</v>
      </c>
      <c r="K1705">
        <v>2.3855663556365569</v>
      </c>
      <c r="L1705">
        <v>0</v>
      </c>
      <c r="M1705">
        <v>1.705493429152613E-3</v>
      </c>
      <c r="N1705">
        <v>0.14743886894393995</v>
      </c>
      <c r="O1705">
        <v>2.0940835503973434E-2</v>
      </c>
      <c r="P1705">
        <v>2.7832548547077968E-2</v>
      </c>
      <c r="Q1705">
        <v>5.386404949763177E-3</v>
      </c>
      <c r="R1705">
        <v>1.683079794176319E-3</v>
      </c>
      <c r="S1705">
        <v>0.26538785274379717</v>
      </c>
      <c r="T1705">
        <v>1.3429255835139229</v>
      </c>
      <c r="U1705">
        <v>0.21197563735353808</v>
      </c>
      <c r="V1705">
        <v>0.24558171709890697</v>
      </c>
      <c r="W1705">
        <v>9.784876500482366E-2</v>
      </c>
      <c r="X1705">
        <v>1.5689767239146678E-2</v>
      </c>
      <c r="Y1705">
        <v>4.5807883726429023E-3</v>
      </c>
    </row>
    <row r="1706" spans="1:25">
      <c r="A1706" s="1010"/>
      <c r="B1706" s="1351">
        <v>1456</v>
      </c>
      <c r="C1706" s="1014">
        <v>0.98345429989230115</v>
      </c>
      <c r="D1706" s="1014">
        <v>1.0256621285984209</v>
      </c>
      <c r="E1706" s="1014">
        <v>1.025277653985029</v>
      </c>
      <c r="F1706" s="1014">
        <v>1.0154520118147812</v>
      </c>
      <c r="G1706" s="1014">
        <v>1.0201260457205568</v>
      </c>
      <c r="H1706" s="1014">
        <v>1.0023755173858648</v>
      </c>
      <c r="I1706" s="1014">
        <v>1.0238763106497588</v>
      </c>
      <c r="K1706">
        <v>2.4590922872353538</v>
      </c>
      <c r="L1706">
        <v>0</v>
      </c>
      <c r="M1706">
        <v>1.5789451082352636E-3</v>
      </c>
      <c r="N1706">
        <v>0.15509554241613324</v>
      </c>
      <c r="O1706">
        <v>2.1237034935323782E-2</v>
      </c>
      <c r="P1706">
        <v>2.9545966575426144E-2</v>
      </c>
      <c r="Q1706">
        <v>5.6993090011529784E-3</v>
      </c>
      <c r="R1706">
        <v>1.5581527954463676E-3</v>
      </c>
      <c r="S1706">
        <v>0.26628832783036843</v>
      </c>
      <c r="T1706">
        <v>1.3933897210708455</v>
      </c>
      <c r="U1706">
        <v>0.2156276680582831</v>
      </c>
      <c r="V1706">
        <v>0.24992640959197263</v>
      </c>
      <c r="W1706">
        <v>0.1003828731754368</v>
      </c>
      <c r="X1706">
        <v>1.7679448628923542E-2</v>
      </c>
      <c r="Y1706">
        <v>4.2407782642740382E-3</v>
      </c>
    </row>
    <row r="1707" spans="1:25">
      <c r="A1707" s="1010"/>
      <c r="B1707" s="1351">
        <v>1457</v>
      </c>
      <c r="C1707" s="1014">
        <v>0.97106586214045254</v>
      </c>
      <c r="D1707" s="1014">
        <v>1.032670926904766</v>
      </c>
      <c r="E1707" s="1014">
        <v>1.0139911450775263</v>
      </c>
      <c r="F1707" s="1014">
        <v>1.0254298760571821</v>
      </c>
      <c r="G1707" s="1014">
        <v>1.0030090850307678</v>
      </c>
      <c r="H1707" s="1014">
        <v>1.0226540672189672</v>
      </c>
      <c r="I1707" s="1014">
        <v>1.0078806176096105</v>
      </c>
      <c r="K1707">
        <v>2.4793703668931433</v>
      </c>
      <c r="L1707">
        <v>0</v>
      </c>
      <c r="M1707">
        <v>1.6677014121530176E-3</v>
      </c>
      <c r="N1707">
        <v>0.15837178473023586</v>
      </c>
      <c r="O1707">
        <v>2.146808538397919E-2</v>
      </c>
      <c r="P1707">
        <v>2.9496487670094617E-2</v>
      </c>
      <c r="Q1707">
        <v>5.6970191530656819E-3</v>
      </c>
      <c r="R1707">
        <v>1.6461757874082039E-3</v>
      </c>
      <c r="S1707">
        <v>0.26625943099048399</v>
      </c>
      <c r="T1707">
        <v>1.4068299312336467</v>
      </c>
      <c r="U1707">
        <v>0.21833870390692711</v>
      </c>
      <c r="V1707">
        <v>0.24785453399343202</v>
      </c>
      <c r="W1707">
        <v>0.10318265285466344</v>
      </c>
      <c r="X1707">
        <v>1.7412914769737286E-2</v>
      </c>
      <c r="Y1707">
        <v>4.4803478316226544E-3</v>
      </c>
    </row>
    <row r="1708" spans="1:25">
      <c r="A1708" s="1010"/>
      <c r="B1708" s="1351">
        <v>1458</v>
      </c>
      <c r="C1708" s="1014">
        <v>1.0079345826724095</v>
      </c>
      <c r="D1708" s="1014">
        <v>1.0093525110034127</v>
      </c>
      <c r="E1708" s="1014">
        <v>1.0139125329252319</v>
      </c>
      <c r="F1708" s="1014">
        <v>1.0321734386906773</v>
      </c>
      <c r="G1708" s="1014">
        <v>1.012373360650805</v>
      </c>
      <c r="H1708" s="1014">
        <v>0.98331999474042975</v>
      </c>
      <c r="I1708" s="1014">
        <v>0.98979157112767047</v>
      </c>
      <c r="K1708">
        <v>2.4452232372855693</v>
      </c>
      <c r="L1708">
        <v>0</v>
      </c>
      <c r="M1708">
        <v>1.5529373159818111E-3</v>
      </c>
      <c r="N1708">
        <v>0.14736120918106491</v>
      </c>
      <c r="O1708">
        <v>2.078694997930337E-2</v>
      </c>
      <c r="P1708">
        <v>2.9298366140979141E-2</v>
      </c>
      <c r="Q1708">
        <v>5.5158326652114398E-3</v>
      </c>
      <c r="R1708">
        <v>1.532091194029537E-3</v>
      </c>
      <c r="S1708">
        <v>0.25150548584447308</v>
      </c>
      <c r="T1708">
        <v>1.416079945715911</v>
      </c>
      <c r="U1708">
        <v>0.21035193761695867</v>
      </c>
      <c r="V1708">
        <v>0.24710253635834553</v>
      </c>
      <c r="W1708">
        <v>9.6013460902267575E-2</v>
      </c>
      <c r="X1708">
        <v>1.705851182658424E-2</v>
      </c>
      <c r="Y1708">
        <v>4.1698471764220228E-3</v>
      </c>
    </row>
    <row r="1709" spans="1:25">
      <c r="A1709" s="1010"/>
      <c r="B1709" s="1351">
        <v>1459</v>
      </c>
      <c r="C1709" s="1014">
        <v>1.0097112882574057</v>
      </c>
      <c r="D1709" s="1014">
        <v>0.9799269898823636</v>
      </c>
      <c r="E1709" s="1014">
        <v>1.0172173710946302</v>
      </c>
      <c r="F1709" s="1014">
        <v>1.0347862273007895</v>
      </c>
      <c r="G1709" s="1014">
        <v>0.98906248668252883</v>
      </c>
      <c r="H1709" s="1014">
        <v>1.001593280318047</v>
      </c>
      <c r="I1709" s="1014">
        <v>1.0096752594545886</v>
      </c>
      <c r="K1709">
        <v>2.4614461244748549</v>
      </c>
      <c r="L1709">
        <v>0</v>
      </c>
      <c r="M1709">
        <v>1.5784400401823884E-3</v>
      </c>
      <c r="N1709">
        <v>0.15132004134602592</v>
      </c>
      <c r="O1709">
        <v>2.0888064294961824E-2</v>
      </c>
      <c r="P1709">
        <v>2.9497243037853439E-2</v>
      </c>
      <c r="Q1709">
        <v>5.5609483963464899E-3</v>
      </c>
      <c r="R1709">
        <v>1.5576381449231638E-3</v>
      </c>
      <c r="S1709">
        <v>0.26153621524607862</v>
      </c>
      <c r="T1709">
        <v>1.4197387268152435</v>
      </c>
      <c r="U1709">
        <v>0.20999301348371779</v>
      </c>
      <c r="V1709">
        <v>0.24300279686855888</v>
      </c>
      <c r="W1709">
        <v>9.840173445902986E-2</v>
      </c>
      <c r="X1709">
        <v>1.7288764867091789E-2</v>
      </c>
      <c r="Y1709">
        <v>4.2393775552043763E-3</v>
      </c>
    </row>
    <row r="1710" spans="1:25">
      <c r="A1710" s="1010"/>
      <c r="B1710" s="1351">
        <v>1460</v>
      </c>
      <c r="C1710" s="1014">
        <v>1.0398589129352962</v>
      </c>
      <c r="D1710" s="1014">
        <v>1.011485399409926</v>
      </c>
      <c r="E1710" s="1014">
        <v>1.031944542802002</v>
      </c>
      <c r="F1710" s="1014">
        <v>0.99837373002097451</v>
      </c>
      <c r="G1710" s="1014">
        <v>1.0075756603529946</v>
      </c>
      <c r="H1710" s="1014">
        <v>0.99983055022533629</v>
      </c>
      <c r="I1710" s="1014">
        <v>1.0243335972428798</v>
      </c>
      <c r="K1710">
        <v>2.3905611685045818</v>
      </c>
      <c r="L1710">
        <v>0</v>
      </c>
      <c r="M1710">
        <v>1.4734671904127737E-3</v>
      </c>
      <c r="N1710">
        <v>0.14766829623851049</v>
      </c>
      <c r="O1710">
        <v>2.0150942378950921E-2</v>
      </c>
      <c r="P1710">
        <v>2.8944676903075998E-2</v>
      </c>
      <c r="Q1710">
        <v>5.4436291229568272E-3</v>
      </c>
      <c r="R1710">
        <v>1.4540144726536389E-3</v>
      </c>
      <c r="S1710">
        <v>0.25355065838989921</v>
      </c>
      <c r="T1710">
        <v>1.3700998912235589</v>
      </c>
      <c r="U1710">
        <v>0.20395348073339153</v>
      </c>
      <c r="V1710">
        <v>0.24431825315013897</v>
      </c>
      <c r="W1710">
        <v>9.520615577747843E-2</v>
      </c>
      <c r="X1710">
        <v>1.7287289225558538E-2</v>
      </c>
      <c r="Y1710">
        <v>3.957348078821114E-3</v>
      </c>
    </row>
    <row r="1711" spans="1:25">
      <c r="A1711" s="1010"/>
      <c r="B1711" s="1351">
        <v>1461</v>
      </c>
      <c r="C1711" s="1014">
        <v>0.99055553368813354</v>
      </c>
      <c r="D1711" s="1014">
        <v>0.9869165752169049</v>
      </c>
      <c r="E1711" s="1014">
        <v>1.002850027266454</v>
      </c>
      <c r="F1711" s="1014">
        <v>0.9754081007425911</v>
      </c>
      <c r="G1711" s="1014">
        <v>0.9740062947276773</v>
      </c>
      <c r="H1711" s="1014">
        <v>1.0054460039763295</v>
      </c>
      <c r="I1711" s="1014">
        <v>1.0187979836280538</v>
      </c>
      <c r="K1711">
        <v>2.3904467491415797</v>
      </c>
      <c r="L1711">
        <v>0</v>
      </c>
      <c r="M1711">
        <v>1.661489916720194E-3</v>
      </c>
      <c r="N1711">
        <v>0.15252843899720908</v>
      </c>
      <c r="O1711">
        <v>2.1249069871169087E-2</v>
      </c>
      <c r="P1711">
        <v>2.8196331335660782E-2</v>
      </c>
      <c r="Q1711">
        <v>5.5763918172599472E-3</v>
      </c>
      <c r="R1711">
        <v>1.6396774301974206E-3</v>
      </c>
      <c r="S1711">
        <v>0.26825922905748134</v>
      </c>
      <c r="T1711">
        <v>1.3379675438206682</v>
      </c>
      <c r="U1711">
        <v>0.21400428543689753</v>
      </c>
      <c r="V1711">
        <v>0.24167722244646472</v>
      </c>
      <c r="W1711">
        <v>0.10003141962266211</v>
      </c>
      <c r="X1711">
        <v>1.6515967777152779E-2</v>
      </c>
      <c r="Y1711">
        <v>4.462661445477782E-3</v>
      </c>
    </row>
    <row r="1712" spans="1:25">
      <c r="A1712" s="1010"/>
      <c r="B1712" s="1351">
        <v>1462</v>
      </c>
      <c r="C1712" s="1014">
        <v>1.0117156414667967</v>
      </c>
      <c r="D1712" s="1014">
        <v>0.95246354982443815</v>
      </c>
      <c r="E1712" s="1014">
        <v>0.98821871588455956</v>
      </c>
      <c r="F1712" s="1014">
        <v>1.0432846588103053</v>
      </c>
      <c r="G1712" s="1014">
        <v>0.98827501233779691</v>
      </c>
      <c r="H1712" s="1014">
        <v>0.98902834958998398</v>
      </c>
      <c r="I1712" s="1014">
        <v>0.99383693113555871</v>
      </c>
      <c r="K1712">
        <v>2.4609990513343045</v>
      </c>
      <c r="L1712">
        <v>0</v>
      </c>
      <c r="M1712">
        <v>1.6623968060621205E-3</v>
      </c>
      <c r="N1712">
        <v>0.14597816313645021</v>
      </c>
      <c r="O1712">
        <v>2.0958225173722127E-2</v>
      </c>
      <c r="P1712">
        <v>2.8978132065758461E-2</v>
      </c>
      <c r="Q1712">
        <v>5.4195697392059551E-3</v>
      </c>
      <c r="R1712">
        <v>1.6402101335092807E-3</v>
      </c>
      <c r="S1712">
        <v>0.25933892356203531</v>
      </c>
      <c r="T1712">
        <v>1.4307439884529782</v>
      </c>
      <c r="U1712">
        <v>0.20947897078198208</v>
      </c>
      <c r="V1712">
        <v>0.24284825558172493</v>
      </c>
      <c r="W1712">
        <v>9.657473352827245E-2</v>
      </c>
      <c r="X1712">
        <v>1.6238164696440467E-2</v>
      </c>
      <c r="Y1712">
        <v>4.4641112882870659E-3</v>
      </c>
    </row>
    <row r="1713" spans="1:25">
      <c r="A1713" s="1010"/>
      <c r="B1713" s="1351">
        <v>1463</v>
      </c>
      <c r="C1713" s="1014">
        <v>1.0105022900942295</v>
      </c>
      <c r="D1713" s="1014">
        <v>0.99285733013202526</v>
      </c>
      <c r="E1713" s="1014">
        <v>0.9872047691001451</v>
      </c>
      <c r="F1713" s="1014">
        <v>1.0068913946134259</v>
      </c>
      <c r="G1713" s="1014">
        <v>1.0185492095381785</v>
      </c>
      <c r="H1713" s="1014">
        <v>1.0293517282995766</v>
      </c>
      <c r="I1713" s="1014">
        <v>0.96169563363972299</v>
      </c>
      <c r="K1713">
        <v>2.4132350144816694</v>
      </c>
      <c r="L1713">
        <v>0</v>
      </c>
      <c r="M1713">
        <v>1.7201016716692971E-3</v>
      </c>
      <c r="N1713">
        <v>0.15066271367114187</v>
      </c>
      <c r="O1713">
        <v>2.0791857683919619E-2</v>
      </c>
      <c r="P1713">
        <v>2.8219636724949242E-2</v>
      </c>
      <c r="Q1713">
        <v>5.3710345134095972E-3</v>
      </c>
      <c r="R1713">
        <v>1.6980441589529516E-3</v>
      </c>
      <c r="S1713">
        <v>0.2492942598462671</v>
      </c>
      <c r="T1713">
        <v>1.3808128191357711</v>
      </c>
      <c r="U1713">
        <v>0.20972707756020251</v>
      </c>
      <c r="V1713">
        <v>0.24809774725577155</v>
      </c>
      <c r="W1713">
        <v>9.9734562021203649E-2</v>
      </c>
      <c r="X1713">
        <v>1.5923847141185422E-2</v>
      </c>
      <c r="Y1713">
        <v>4.621516440563374E-3</v>
      </c>
    </row>
    <row r="1714" spans="1:25">
      <c r="A1714" s="1010"/>
      <c r="B1714" s="1351">
        <v>1464</v>
      </c>
      <c r="C1714" s="1014">
        <v>0.96134046003340368</v>
      </c>
      <c r="D1714" s="1014">
        <v>0.98344570381055951</v>
      </c>
      <c r="E1714" s="1014">
        <v>1.0077990663110252</v>
      </c>
      <c r="F1714" s="1014">
        <v>0.96976330639663877</v>
      </c>
      <c r="G1714" s="1014">
        <v>0.97788298940393092</v>
      </c>
      <c r="H1714" s="1014">
        <v>0.97110524786113472</v>
      </c>
      <c r="I1714" s="1014">
        <v>1.0210054263386739</v>
      </c>
      <c r="K1714">
        <v>2.3992168441118569</v>
      </c>
      <c r="L1714">
        <v>0</v>
      </c>
      <c r="M1714">
        <v>1.6378775008870387E-3</v>
      </c>
      <c r="N1714">
        <v>0.15255317944909086</v>
      </c>
      <c r="O1714">
        <v>2.1915236569327038E-2</v>
      </c>
      <c r="P1714">
        <v>2.8404525480987049E-2</v>
      </c>
      <c r="Q1714">
        <v>5.7798110393879141E-3</v>
      </c>
      <c r="R1714">
        <v>1.6156146214463222E-3</v>
      </c>
      <c r="S1714">
        <v>0.27442985540471415</v>
      </c>
      <c r="T1714">
        <v>1.330328491243995</v>
      </c>
      <c r="U1714">
        <v>0.2205254735133742</v>
      </c>
      <c r="V1714">
        <v>0.24423659388916474</v>
      </c>
      <c r="W1714">
        <v>9.9755023373190574E-2</v>
      </c>
      <c r="X1714">
        <v>1.6913746615705293E-2</v>
      </c>
      <c r="Y1714">
        <v>4.397170412360066E-3</v>
      </c>
    </row>
    <row r="1715" spans="1:25">
      <c r="A1715" s="1010"/>
      <c r="B1715" s="1351">
        <v>1465</v>
      </c>
      <c r="C1715" s="1014">
        <v>1.0065198920621725</v>
      </c>
      <c r="D1715" s="1014">
        <v>1.0116812105390265</v>
      </c>
      <c r="E1715" s="1014">
        <v>1.0033523292162283</v>
      </c>
      <c r="F1715" s="1014">
        <v>0.99120250121356435</v>
      </c>
      <c r="G1715" s="1014">
        <v>0.99476879253756878</v>
      </c>
      <c r="H1715" s="1014">
        <v>1.0118224943553749</v>
      </c>
      <c r="I1715" s="1014">
        <v>1.0210389783882958</v>
      </c>
      <c r="K1715">
        <v>2.4007356459795441</v>
      </c>
      <c r="L1715">
        <v>0</v>
      </c>
      <c r="M1715">
        <v>1.6348545481361771E-3</v>
      </c>
      <c r="N1715">
        <v>0.15032373637259713</v>
      </c>
      <c r="O1715">
        <v>2.0798661141073406E-2</v>
      </c>
      <c r="P1715">
        <v>2.8404441253950436E-2</v>
      </c>
      <c r="Q1715">
        <v>5.4609429169137384E-3</v>
      </c>
      <c r="R1715">
        <v>1.6135269962087389E-3</v>
      </c>
      <c r="S1715">
        <v>0.26187708009542116</v>
      </c>
      <c r="T1715">
        <v>1.3596435020824176</v>
      </c>
      <c r="U1715">
        <v>0.21061168155827362</v>
      </c>
      <c r="V1715">
        <v>0.24422168330514596</v>
      </c>
      <c r="W1715">
        <v>9.8556172905947231E-2</v>
      </c>
      <c r="X1715">
        <v>1.6467583315081472E-2</v>
      </c>
      <c r="Y1715">
        <v>4.3914885846488378E-3</v>
      </c>
    </row>
    <row r="1716" spans="1:25">
      <c r="A1716" s="1010"/>
      <c r="B1716" s="1351">
        <v>1466</v>
      </c>
      <c r="C1716" s="1014">
        <v>0.98940132223090427</v>
      </c>
      <c r="D1716" s="1014">
        <v>1.0160350967108176</v>
      </c>
      <c r="E1716" s="1014">
        <v>0.98663655278476037</v>
      </c>
      <c r="F1716" s="1014">
        <v>1.007314978707579</v>
      </c>
      <c r="G1716" s="1014">
        <v>0.96952769385736193</v>
      </c>
      <c r="H1716" s="1014">
        <v>1.0332248869311671</v>
      </c>
      <c r="I1716" s="1014">
        <v>0.99357154232541545</v>
      </c>
      <c r="K1716">
        <v>2.4279571621862384</v>
      </c>
      <c r="L1716">
        <v>0</v>
      </c>
      <c r="M1716">
        <v>1.756531811350575E-3</v>
      </c>
      <c r="N1716">
        <v>0.15359693947983299</v>
      </c>
      <c r="O1716">
        <v>2.1127373413836217E-2</v>
      </c>
      <c r="P1716">
        <v>2.8330038153168119E-2</v>
      </c>
      <c r="Q1716">
        <v>5.4545672537185137E-3</v>
      </c>
      <c r="R1716">
        <v>1.7340915774444825E-3</v>
      </c>
      <c r="S1716">
        <v>0.26037201150003381</v>
      </c>
      <c r="T1716">
        <v>1.381381360038487</v>
      </c>
      <c r="U1716">
        <v>0.21419796917419448</v>
      </c>
      <c r="V1716">
        <v>0.24104181617991224</v>
      </c>
      <c r="W1716">
        <v>0.10171163939368502</v>
      </c>
      <c r="X1716">
        <v>1.6046262202606933E-2</v>
      </c>
      <c r="Y1716">
        <v>4.7196256306690091E-3</v>
      </c>
    </row>
    <row r="1717" spans="1:25">
      <c r="A1717" s="1010"/>
      <c r="B1717" s="1351">
        <v>1467</v>
      </c>
      <c r="C1717" s="1014">
        <v>0.99878631649135141</v>
      </c>
      <c r="D1717" s="1014">
        <v>1.0049666950194069</v>
      </c>
      <c r="E1717" s="1014">
        <v>1.0380891915574895</v>
      </c>
      <c r="F1717" s="1014">
        <v>1.0211421487677352</v>
      </c>
      <c r="G1717" s="1014">
        <v>1.011532403831447</v>
      </c>
      <c r="H1717" s="1014">
        <v>0.97323330927995277</v>
      </c>
      <c r="I1717" s="1014">
        <v>1.0124471195636024</v>
      </c>
      <c r="K1717">
        <v>2.4467074087045635</v>
      </c>
      <c r="L1717">
        <v>0</v>
      </c>
      <c r="M1717">
        <v>1.4763377882065819E-3</v>
      </c>
      <c r="N1717">
        <v>0.15066605176238981</v>
      </c>
      <c r="O1717">
        <v>2.1013562618864296E-2</v>
      </c>
      <c r="P1717">
        <v>2.975936034842535E-2</v>
      </c>
      <c r="Q1717">
        <v>5.7111560276311962E-3</v>
      </c>
      <c r="R1717">
        <v>1.4563145188295204E-3</v>
      </c>
      <c r="S1717">
        <v>0.25951590500679184</v>
      </c>
      <c r="T1717">
        <v>1.4014823397330689</v>
      </c>
      <c r="U1717">
        <v>0.21236169864485824</v>
      </c>
      <c r="V1717">
        <v>0.2474405246377229</v>
      </c>
      <c r="W1717">
        <v>9.6794393768154519E-2</v>
      </c>
      <c r="X1717">
        <v>1.8018831379731655E-2</v>
      </c>
      <c r="Y1717">
        <v>3.9636080463018456E-3</v>
      </c>
    </row>
    <row r="1718" spans="1:25">
      <c r="A1718" s="1010"/>
      <c r="B1718" s="1351">
        <v>1468</v>
      </c>
      <c r="C1718" s="1014">
        <v>1.007092413462739</v>
      </c>
      <c r="D1718" s="1014">
        <v>1.0059668333005218</v>
      </c>
      <c r="E1718" s="1014">
        <v>0.9817902974982331</v>
      </c>
      <c r="F1718" s="1014">
        <v>0.98238696320897434</v>
      </c>
      <c r="G1718" s="1014">
        <v>1.0113223624883425</v>
      </c>
      <c r="H1718" s="1014">
        <v>0.9669867358686175</v>
      </c>
      <c r="I1718" s="1014">
        <v>0.98344728098463641</v>
      </c>
      <c r="K1718">
        <v>2.3614332929335595</v>
      </c>
      <c r="L1718">
        <v>0</v>
      </c>
      <c r="M1718">
        <v>1.6349005574916393E-3</v>
      </c>
      <c r="N1718">
        <v>0.14075589867451976</v>
      </c>
      <c r="O1718">
        <v>2.0798583279837572E-2</v>
      </c>
      <c r="P1718">
        <v>2.764119791291187E-2</v>
      </c>
      <c r="Q1718">
        <v>5.3433587961114601E-3</v>
      </c>
      <c r="R1718">
        <v>1.6125834942870071E-3</v>
      </c>
      <c r="S1718">
        <v>0.24891553763177687</v>
      </c>
      <c r="T1718">
        <v>1.3470936904263273</v>
      </c>
      <c r="U1718">
        <v>0.21041885259412618</v>
      </c>
      <c r="V1718">
        <v>0.24709223276288858</v>
      </c>
      <c r="W1718">
        <v>9.3480565245950178E-2</v>
      </c>
      <c r="X1718">
        <v>1.5526771988869689E-2</v>
      </c>
      <c r="Y1718">
        <v>4.3889206834432093E-3</v>
      </c>
    </row>
    <row r="1719" spans="1:25">
      <c r="A1719" s="1010"/>
      <c r="B1719" s="1351">
        <v>1469</v>
      </c>
      <c r="C1719" s="1014">
        <v>1.0001240862071916</v>
      </c>
      <c r="D1719" s="1014">
        <v>1.0176937004954909</v>
      </c>
      <c r="E1719" s="1014">
        <v>1.0287790378642916</v>
      </c>
      <c r="F1719" s="1014">
        <v>1.0111184783261888</v>
      </c>
      <c r="G1719" s="1014">
        <v>0.99765696983605046</v>
      </c>
      <c r="H1719" s="1014">
        <v>1.0090175404776831</v>
      </c>
      <c r="I1719" s="1014">
        <v>1.0016025340050647</v>
      </c>
      <c r="K1719">
        <v>2.4339151811397977</v>
      </c>
      <c r="L1719">
        <v>0</v>
      </c>
      <c r="M1719">
        <v>1.5542236966206368E-3</v>
      </c>
      <c r="N1719">
        <v>0.1543010959237793</v>
      </c>
      <c r="O1719">
        <v>2.0921249359662358E-2</v>
      </c>
      <c r="P1719">
        <v>2.9302138411735734E-2</v>
      </c>
      <c r="Q1719">
        <v>5.6340647539737838E-3</v>
      </c>
      <c r="R1719">
        <v>1.5338916531938865E-3</v>
      </c>
      <c r="S1719">
        <v>0.25774279102708442</v>
      </c>
      <c r="T1719">
        <v>1.3875202788615044</v>
      </c>
      <c r="U1719">
        <v>0.212045662886193</v>
      </c>
      <c r="V1719">
        <v>0.24502198863576033</v>
      </c>
      <c r="W1719">
        <v>9.9665434716151635E-2</v>
      </c>
      <c r="X1719">
        <v>1.760606117463304E-2</v>
      </c>
      <c r="Y1719">
        <v>4.1747474327461795E-3</v>
      </c>
    </row>
    <row r="1720" spans="1:25">
      <c r="A1720" s="1010"/>
      <c r="B1720" s="1351">
        <v>1470</v>
      </c>
      <c r="C1720" s="1014">
        <v>1.0190250579711919</v>
      </c>
      <c r="D1720" s="1014">
        <v>1.0079665409109582</v>
      </c>
      <c r="E1720" s="1014">
        <v>0.97528893233232528</v>
      </c>
      <c r="F1720" s="1014">
        <v>1.0082314926485365</v>
      </c>
      <c r="G1720" s="1014">
        <v>0.96971087524859534</v>
      </c>
      <c r="H1720" s="1014">
        <v>0.98369330624822915</v>
      </c>
      <c r="I1720" s="1014">
        <v>1.0081279413342636</v>
      </c>
      <c r="K1720">
        <v>2.3907256245337614</v>
      </c>
      <c r="L1720">
        <v>0</v>
      </c>
      <c r="M1720">
        <v>1.665184285627064E-3</v>
      </c>
      <c r="N1720">
        <v>0.14060337324243116</v>
      </c>
      <c r="O1720">
        <v>2.0541844062565304E-2</v>
      </c>
      <c r="P1720">
        <v>2.7898248720608199E-2</v>
      </c>
      <c r="Q1720">
        <v>5.2426138370841565E-3</v>
      </c>
      <c r="R1720">
        <v>1.6428398800333419E-3</v>
      </c>
      <c r="S1720">
        <v>0.25327340858882758</v>
      </c>
      <c r="T1720">
        <v>1.3823917425187624</v>
      </c>
      <c r="U1720">
        <v>0.20793314360237666</v>
      </c>
      <c r="V1720">
        <v>0.23928025490279087</v>
      </c>
      <c r="W1720">
        <v>9.3746992212674587E-2</v>
      </c>
      <c r="X1720">
        <v>1.5365078659801527E-2</v>
      </c>
      <c r="Y1720">
        <v>4.4712685914298517E-3</v>
      </c>
    </row>
    <row r="1721" spans="1:25">
      <c r="A1721" s="1010"/>
      <c r="B1721" s="1351">
        <v>1471</v>
      </c>
      <c r="C1721" s="1014">
        <v>0.97232744730576748</v>
      </c>
      <c r="D1721" s="1014">
        <v>1.0031760422817968</v>
      </c>
      <c r="E1721" s="1014">
        <v>0.99794376307495325</v>
      </c>
      <c r="F1721" s="1014">
        <v>0.99670238224607788</v>
      </c>
      <c r="G1721" s="1014">
        <v>0.9782504726608221</v>
      </c>
      <c r="H1721" s="1014">
        <v>1.0005927557607175</v>
      </c>
      <c r="I1721" s="1014">
        <v>0.97473138397143089</v>
      </c>
      <c r="K1721">
        <v>2.4184963073958605</v>
      </c>
      <c r="L1721">
        <v>0</v>
      </c>
      <c r="M1721">
        <v>1.6955923428913684E-3</v>
      </c>
      <c r="N1721">
        <v>0.15335898700489153</v>
      </c>
      <c r="O1721">
        <v>2.156639434062884E-2</v>
      </c>
      <c r="P1721">
        <v>2.8442830136658392E-2</v>
      </c>
      <c r="Q1721">
        <v>5.6318304160319537E-3</v>
      </c>
      <c r="R1721">
        <v>1.6732241803063825E-3</v>
      </c>
      <c r="S1721">
        <v>0.25888216114879142</v>
      </c>
      <c r="T1721">
        <v>1.367071142723564</v>
      </c>
      <c r="U1721">
        <v>0.21799894466113576</v>
      </c>
      <c r="V1721">
        <v>0.2435997632372241</v>
      </c>
      <c r="W1721">
        <v>0.10086972833075836</v>
      </c>
      <c r="X1721">
        <v>1.6542928918167572E-2</v>
      </c>
      <c r="Y1721">
        <v>4.5539646405911745E-3</v>
      </c>
    </row>
    <row r="1722" spans="1:25">
      <c r="A1722" s="1010"/>
      <c r="B1722" s="1351">
        <v>1472</v>
      </c>
      <c r="C1722" s="1014">
        <v>1.0212457345933874</v>
      </c>
      <c r="D1722" s="1014">
        <v>0.98435200369619102</v>
      </c>
      <c r="E1722" s="1014">
        <v>0.96456703205463834</v>
      </c>
      <c r="F1722" s="1014">
        <v>1.0093643748587977</v>
      </c>
      <c r="G1722" s="1014">
        <v>0.98835485335942619</v>
      </c>
      <c r="H1722" s="1014">
        <v>0.99529701786876135</v>
      </c>
      <c r="I1722" s="1014">
        <v>0.98575393908703113</v>
      </c>
      <c r="K1722">
        <v>2.3936341343910459</v>
      </c>
      <c r="L1722">
        <v>0</v>
      </c>
      <c r="M1722">
        <v>1.7277779191800125E-3</v>
      </c>
      <c r="N1722">
        <v>0.14125079390648779</v>
      </c>
      <c r="O1722">
        <v>2.0597400144749051E-2</v>
      </c>
      <c r="P1722">
        <v>2.7691304031112186E-2</v>
      </c>
      <c r="Q1722">
        <v>5.1994976283371254E-3</v>
      </c>
      <c r="R1722">
        <v>1.704863891412646E-3</v>
      </c>
      <c r="S1722">
        <v>0.25094773904718154</v>
      </c>
      <c r="T1722">
        <v>1.3837124446996036</v>
      </c>
      <c r="U1722">
        <v>0.20744528572910831</v>
      </c>
      <c r="V1722">
        <v>0.24237247838367199</v>
      </c>
      <c r="W1722">
        <v>9.479528803745281E-2</v>
      </c>
      <c r="X1722">
        <v>1.5004739306911373E-2</v>
      </c>
      <c r="Y1722">
        <v>4.6400775041944625E-3</v>
      </c>
    </row>
    <row r="1723" spans="1:25">
      <c r="A1723" s="1010"/>
      <c r="B1723" s="1351">
        <v>1473</v>
      </c>
      <c r="C1723" s="1014">
        <v>0.99106867653647579</v>
      </c>
      <c r="D1723" s="1014">
        <v>0.9773357465285053</v>
      </c>
      <c r="E1723" s="1014">
        <v>1.0012301768146976</v>
      </c>
      <c r="F1723" s="1014">
        <v>1.0028290197341228</v>
      </c>
      <c r="G1723" s="1014">
        <v>1.0205607226576063</v>
      </c>
      <c r="H1723" s="1014">
        <v>1.0261452367001662</v>
      </c>
      <c r="I1723" s="1014">
        <v>0.996247992792064</v>
      </c>
      <c r="K1723">
        <v>2.4390689221500197</v>
      </c>
      <c r="L1723">
        <v>0</v>
      </c>
      <c r="M1723">
        <v>1.7041768211781408E-3</v>
      </c>
      <c r="N1723">
        <v>0.15572531274748233</v>
      </c>
      <c r="O1723">
        <v>2.1282606437451057E-2</v>
      </c>
      <c r="P1723">
        <v>2.8740967937367905E-2</v>
      </c>
      <c r="Q1723">
        <v>5.576116423721739E-3</v>
      </c>
      <c r="R1723">
        <v>1.682255231778624E-3</v>
      </c>
      <c r="S1723">
        <v>0.26523997897800328</v>
      </c>
      <c r="T1723">
        <v>1.37554567739066</v>
      </c>
      <c r="U1723">
        <v>0.21388789233090019</v>
      </c>
      <c r="V1723">
        <v>0.24960006029736476</v>
      </c>
      <c r="W1723">
        <v>0.10222621071775469</v>
      </c>
      <c r="X1723">
        <v>1.6687476293096113E-2</v>
      </c>
      <c r="Y1723">
        <v>4.5785441856132994E-3</v>
      </c>
    </row>
    <row r="1724" spans="1:25">
      <c r="A1724" s="1010"/>
      <c r="B1724" s="1351">
        <v>1474</v>
      </c>
      <c r="C1724" s="1014">
        <v>0.990760992312123</v>
      </c>
      <c r="D1724" s="1014">
        <v>0.97131697807157313</v>
      </c>
      <c r="E1724" s="1014">
        <v>1.0168604487775987</v>
      </c>
      <c r="F1724" s="1014">
        <v>1.0084900480607821</v>
      </c>
      <c r="G1724" s="1014">
        <v>0.98558159997668104</v>
      </c>
      <c r="H1724" s="1014">
        <v>0.99384988691995579</v>
      </c>
      <c r="I1724" s="1014">
        <v>0.96939785073228368</v>
      </c>
      <c r="K1724">
        <v>2.4280804860447565</v>
      </c>
      <c r="L1724">
        <v>0</v>
      </c>
      <c r="M1724">
        <v>1.6004841307785882E-3</v>
      </c>
      <c r="N1724">
        <v>0.15325223325355716</v>
      </c>
      <c r="O1724">
        <v>2.1328720249394563E-2</v>
      </c>
      <c r="P1724">
        <v>2.8983477390909337E-2</v>
      </c>
      <c r="Q1724">
        <v>5.6762447635532506E-3</v>
      </c>
      <c r="R1724">
        <v>1.5792273840446887E-3</v>
      </c>
      <c r="S1724">
        <v>0.25639448770613549</v>
      </c>
      <c r="T1724">
        <v>1.383652252021746</v>
      </c>
      <c r="U1724">
        <v>0.2140083174289964</v>
      </c>
      <c r="V1724">
        <v>0.24359213284799</v>
      </c>
      <c r="W1724">
        <v>9.9679078482516517E-2</v>
      </c>
      <c r="X1724">
        <v>1.7236662299488031E-2</v>
      </c>
      <c r="Y1724">
        <v>4.298136347202405E-3</v>
      </c>
    </row>
    <row r="1725" spans="1:25">
      <c r="A1725" s="1010"/>
      <c r="B1725" s="1351">
        <v>1475</v>
      </c>
      <c r="C1725" s="1014">
        <v>1.0107081628150509</v>
      </c>
      <c r="D1725" s="1014">
        <v>1.0235112078473247</v>
      </c>
      <c r="E1725" s="1014">
        <v>0.9876876829220117</v>
      </c>
      <c r="F1725" s="1014">
        <v>1.0184032445200903</v>
      </c>
      <c r="G1725" s="1014">
        <v>1.0077237777763717</v>
      </c>
      <c r="H1725" s="1014">
        <v>0.98118691091340005</v>
      </c>
      <c r="I1725" s="1014">
        <v>1.0143769567574406</v>
      </c>
      <c r="K1725">
        <v>2.4191527670569597</v>
      </c>
      <c r="L1725">
        <v>0</v>
      </c>
      <c r="M1725">
        <v>1.6267250152700648E-3</v>
      </c>
      <c r="N1725">
        <v>0.14260114381379269</v>
      </c>
      <c r="O1725">
        <v>2.064934015461329E-2</v>
      </c>
      <c r="P1725">
        <v>2.8493125178093867E-2</v>
      </c>
      <c r="Q1725">
        <v>5.3368268551683799E-3</v>
      </c>
      <c r="R1725">
        <v>1.6048409189548852E-3</v>
      </c>
      <c r="S1725">
        <v>0.2548675176983542</v>
      </c>
      <c r="T1725">
        <v>1.3966103447046261</v>
      </c>
      <c r="U1725">
        <v>0.20968598788437953</v>
      </c>
      <c r="V1725">
        <v>0.24623405936247891</v>
      </c>
      <c r="W1725">
        <v>9.4370664940685481E-2</v>
      </c>
      <c r="X1725">
        <v>1.5957792615350117E-2</v>
      </c>
      <c r="Y1725">
        <v>4.3678479457284463E-3</v>
      </c>
    </row>
    <row r="1726" spans="1:25">
      <c r="A1726" s="1010"/>
      <c r="B1726" s="1351">
        <v>1476</v>
      </c>
      <c r="C1726" s="1014">
        <v>1.0178503455510752</v>
      </c>
      <c r="D1726" s="1014">
        <v>0.99623331700922613</v>
      </c>
      <c r="E1726" s="1014">
        <v>0.96892453514533505</v>
      </c>
      <c r="F1726" s="1014">
        <v>0.97262316490766132</v>
      </c>
      <c r="G1726" s="1014">
        <v>0.99434182410475391</v>
      </c>
      <c r="H1726" s="1014">
        <v>0.98712883332562851</v>
      </c>
      <c r="I1726" s="1014">
        <v>0.97751873567161152</v>
      </c>
      <c r="K1726">
        <v>2.3401017349999367</v>
      </c>
      <c r="L1726">
        <v>0</v>
      </c>
      <c r="M1726">
        <v>1.6994337378576543E-3</v>
      </c>
      <c r="N1726">
        <v>0.14076360408521782</v>
      </c>
      <c r="O1726">
        <v>2.061446085136397E-2</v>
      </c>
      <c r="P1726">
        <v>2.7094229872356889E-2</v>
      </c>
      <c r="Q1726">
        <v>5.2270745527558966E-3</v>
      </c>
      <c r="R1726">
        <v>1.6767091185395362E-3</v>
      </c>
      <c r="S1726">
        <v>0.24754746112683987</v>
      </c>
      <c r="T1726">
        <v>1.3334358632832766</v>
      </c>
      <c r="U1726">
        <v>0.20815184487050167</v>
      </c>
      <c r="V1726">
        <v>0.24358348953063233</v>
      </c>
      <c r="W1726">
        <v>9.4217471946688933E-2</v>
      </c>
      <c r="X1726">
        <v>1.4925510005967244E-2</v>
      </c>
      <c r="Y1726">
        <v>4.5634494936522404E-3</v>
      </c>
    </row>
    <row r="1727" spans="1:25">
      <c r="A1727" s="1010"/>
      <c r="B1727" s="1351">
        <v>1477</v>
      </c>
      <c r="C1727" s="1014">
        <v>0.97221771048698791</v>
      </c>
      <c r="D1727" s="1014">
        <v>0.99217802693687962</v>
      </c>
      <c r="E1727" s="1014">
        <v>0.99983275779364222</v>
      </c>
      <c r="F1727" s="1014">
        <v>0.98837666057103402</v>
      </c>
      <c r="G1727" s="1014">
        <v>0.99579446441806285</v>
      </c>
      <c r="H1727" s="1014">
        <v>1.0328262712855945</v>
      </c>
      <c r="I1727" s="1014">
        <v>1.0039262607686417</v>
      </c>
      <c r="K1727">
        <v>2.4320366863615339</v>
      </c>
      <c r="L1727">
        <v>0</v>
      </c>
      <c r="M1727">
        <v>1.7478019541901245E-3</v>
      </c>
      <c r="N1727">
        <v>0.15905228296100044</v>
      </c>
      <c r="O1727">
        <v>2.1622492784661072E-2</v>
      </c>
      <c r="P1727">
        <v>2.853428190166734E-2</v>
      </c>
      <c r="Q1727">
        <v>5.6572181289381964E-3</v>
      </c>
      <c r="R1727">
        <v>1.7254646292075152E-3</v>
      </c>
      <c r="S1727">
        <v>0.27099551699588298</v>
      </c>
      <c r="T1727">
        <v>1.3556920034675459</v>
      </c>
      <c r="U1727">
        <v>0.2180301911706817</v>
      </c>
      <c r="V1727">
        <v>0.24659650159481888</v>
      </c>
      <c r="W1727">
        <v>0.10449692479482106</v>
      </c>
      <c r="X1727">
        <v>1.6685463965056224E-2</v>
      </c>
      <c r="Y1727">
        <v>4.6961459214407055E-3</v>
      </c>
    </row>
    <row r="1728" spans="1:25">
      <c r="A1728" s="1010"/>
      <c r="B1728" s="1351">
        <v>1478</v>
      </c>
      <c r="C1728" s="1014">
        <v>1.0037289582141069</v>
      </c>
      <c r="D1728" s="1014">
        <v>0.99596864986763889</v>
      </c>
      <c r="E1728" s="1014">
        <v>0.99696956151540439</v>
      </c>
      <c r="F1728" s="1014">
        <v>0.99675603274105562</v>
      </c>
      <c r="G1728" s="1014">
        <v>1.0107327291746415</v>
      </c>
      <c r="H1728" s="1014">
        <v>0.98795958210437296</v>
      </c>
      <c r="I1728" s="1014">
        <v>1.0105733835684667</v>
      </c>
      <c r="K1728">
        <v>2.4040462706383425</v>
      </c>
      <c r="L1728">
        <v>0</v>
      </c>
      <c r="M1728">
        <v>1.627667005539469E-3</v>
      </c>
      <c r="N1728">
        <v>0.14675760406296259</v>
      </c>
      <c r="O1728">
        <v>2.0924215470919383E-2</v>
      </c>
      <c r="P1728">
        <v>2.839139746410476E-2</v>
      </c>
      <c r="Q1728">
        <v>5.4587767064798922E-3</v>
      </c>
      <c r="R1728">
        <v>1.6059203437311061E-3</v>
      </c>
      <c r="S1728">
        <v>0.25985439569605684</v>
      </c>
      <c r="T1728">
        <v>1.3671237382667145</v>
      </c>
      <c r="U1728">
        <v>0.21117556380688512</v>
      </c>
      <c r="V1728">
        <v>0.2471432007291266</v>
      </c>
      <c r="W1728">
        <v>9.6583780402544214E-2</v>
      </c>
      <c r="X1728">
        <v>1.6284558910221417E-2</v>
      </c>
      <c r="Y1728">
        <v>4.370785784137036E-3</v>
      </c>
    </row>
    <row r="1729" spans="1:25">
      <c r="A1729" s="1010"/>
      <c r="B1729" s="1351">
        <v>1479</v>
      </c>
      <c r="C1729" s="1014">
        <v>1.0166258227793055</v>
      </c>
      <c r="D1729" s="1014">
        <v>0.99094446777309031</v>
      </c>
      <c r="E1729" s="1014">
        <v>1.0001094309870331</v>
      </c>
      <c r="F1729" s="1014">
        <v>0.98512066941042908</v>
      </c>
      <c r="G1729" s="1014">
        <v>1.0123800535996612</v>
      </c>
      <c r="H1729" s="1014">
        <v>1.0283930291919383</v>
      </c>
      <c r="I1729" s="1014">
        <v>0.98464066948697393</v>
      </c>
      <c r="K1729">
        <v>2.386309242471671</v>
      </c>
      <c r="L1729">
        <v>0</v>
      </c>
      <c r="M1729">
        <v>1.6637806936220432E-3</v>
      </c>
      <c r="N1729">
        <v>0.15152439290011516</v>
      </c>
      <c r="O1729">
        <v>2.0683823133620119E-2</v>
      </c>
      <c r="P1729">
        <v>2.8117358383051357E-2</v>
      </c>
      <c r="Q1729">
        <v>5.4131337873471906E-3</v>
      </c>
      <c r="R1729">
        <v>1.6424255166558371E-3</v>
      </c>
      <c r="S1729">
        <v>0.25397350939785757</v>
      </c>
      <c r="T1729">
        <v>1.3512318669829091</v>
      </c>
      <c r="U1729">
        <v>0.20850715598284819</v>
      </c>
      <c r="V1729">
        <v>0.24662448892450275</v>
      </c>
      <c r="W1729">
        <v>9.9534751991663645E-2</v>
      </c>
      <c r="X1729">
        <v>1.6249975333809837E-2</v>
      </c>
      <c r="Y1729">
        <v>4.4701408309111342E-3</v>
      </c>
    </row>
    <row r="1730" spans="1:25">
      <c r="A1730" s="1010"/>
      <c r="B1730" s="1351">
        <v>1480</v>
      </c>
      <c r="C1730" s="1014">
        <v>0.9883265319162261</v>
      </c>
      <c r="D1730" s="1014">
        <v>1.0038097004379227</v>
      </c>
      <c r="E1730" s="1014">
        <v>1.0402108168126498</v>
      </c>
      <c r="F1730" s="1014">
        <v>1.0030059847599284</v>
      </c>
      <c r="G1730" s="1014">
        <v>0.98266395242704041</v>
      </c>
      <c r="H1730" s="1014">
        <v>1.006182692058079</v>
      </c>
      <c r="I1730" s="1014">
        <v>1.0057126837198955</v>
      </c>
      <c r="K1730">
        <v>2.4358405953089437</v>
      </c>
      <c r="L1730">
        <v>0</v>
      </c>
      <c r="M1730">
        <v>1.5360494396273907E-3</v>
      </c>
      <c r="N1730">
        <v>0.15783603336523078</v>
      </c>
      <c r="O1730">
        <v>2.1242770321786491E-2</v>
      </c>
      <c r="P1730">
        <v>2.9483954108174396E-2</v>
      </c>
      <c r="Q1730">
        <v>5.7855136881822793E-3</v>
      </c>
      <c r="R1730">
        <v>1.5158985339523926E-3</v>
      </c>
      <c r="S1730">
        <v>0.26353986279566916</v>
      </c>
      <c r="T1730">
        <v>1.376637452458471</v>
      </c>
      <c r="U1730">
        <v>0.21461657297450421</v>
      </c>
      <c r="V1730">
        <v>0.24317026520727938</v>
      </c>
      <c r="W1730">
        <v>0.10127678839891245</v>
      </c>
      <c r="X1730">
        <v>1.8145756802805571E-2</v>
      </c>
      <c r="Y1730">
        <v>4.125776093600997E-3</v>
      </c>
    </row>
    <row r="1731" spans="1:25">
      <c r="A1731" s="1010"/>
      <c r="B1731" s="1351">
        <v>1481</v>
      </c>
      <c r="C1731" s="1014">
        <v>0.98501116008175149</v>
      </c>
      <c r="D1731" s="1014">
        <v>1.0164724651949837</v>
      </c>
      <c r="E1731" s="1014">
        <v>0.96532613859022165</v>
      </c>
      <c r="F1731" s="1014">
        <v>1.008961396610788</v>
      </c>
      <c r="G1731" s="1014">
        <v>1.0319425373028339</v>
      </c>
      <c r="H1731" s="1014">
        <v>1.0300149161760572</v>
      </c>
      <c r="I1731" s="1014">
        <v>1.0199575782642676</v>
      </c>
      <c r="K1731">
        <v>2.4450016104636596</v>
      </c>
      <c r="L1731">
        <v>0</v>
      </c>
      <c r="M1731">
        <v>1.8378914151520023E-3</v>
      </c>
      <c r="N1731">
        <v>0.15066699317237847</v>
      </c>
      <c r="O1731">
        <v>2.1205276850493501E-2</v>
      </c>
      <c r="P1731">
        <v>2.8156808227916344E-2</v>
      </c>
      <c r="Q1731">
        <v>5.3571132939142108E-3</v>
      </c>
      <c r="R1731">
        <v>1.814338614646838E-3</v>
      </c>
      <c r="S1731">
        <v>0.26795896661355895</v>
      </c>
      <c r="T1731">
        <v>1.3831764553319581</v>
      </c>
      <c r="U1731">
        <v>0.21507897748181154</v>
      </c>
      <c r="V1731">
        <v>0.252066746235239</v>
      </c>
      <c r="W1731">
        <v>0.10106773089974659</v>
      </c>
      <c r="X1731">
        <v>1.5352063544643933E-2</v>
      </c>
      <c r="Y1731">
        <v>4.9380316125051168E-3</v>
      </c>
    </row>
    <row r="1732" spans="1:25">
      <c r="A1732" s="1010"/>
      <c r="B1732" s="1351">
        <v>1482</v>
      </c>
      <c r="C1732" s="1014">
        <v>0.99004545568162627</v>
      </c>
      <c r="D1732" s="1014">
        <v>0.98317154281397456</v>
      </c>
      <c r="E1732" s="1014">
        <v>0.99328080361235727</v>
      </c>
      <c r="F1732" s="1014">
        <v>1.0099811960968834</v>
      </c>
      <c r="G1732" s="1014">
        <v>1.0236726760114645</v>
      </c>
      <c r="H1732" s="1014">
        <v>1.0289597022449282</v>
      </c>
      <c r="I1732" s="1014">
        <v>1.0025479717039119</v>
      </c>
      <c r="K1732">
        <v>2.4498084905996391</v>
      </c>
      <c r="L1732">
        <v>0</v>
      </c>
      <c r="M1732">
        <v>1.7367695681493602E-3</v>
      </c>
      <c r="N1732">
        <v>0.1549422236410343</v>
      </c>
      <c r="O1732">
        <v>2.1271370442017275E-2</v>
      </c>
      <c r="P1732">
        <v>2.8730850847795222E-2</v>
      </c>
      <c r="Q1732">
        <v>5.5287500822494623E-3</v>
      </c>
      <c r="R1732">
        <v>1.7144898315253109E-3</v>
      </c>
      <c r="S1732">
        <v>0.26657380191032004</v>
      </c>
      <c r="T1732">
        <v>1.3851825180504076</v>
      </c>
      <c r="U1732">
        <v>0.21408151322712227</v>
      </c>
      <c r="V1732">
        <v>0.2502259286953068</v>
      </c>
      <c r="W1732">
        <v>0.1021948924016538</v>
      </c>
      <c r="X1732">
        <v>1.6432644898364671E-2</v>
      </c>
      <c r="Y1732">
        <v>4.6662761399908301E-3</v>
      </c>
    </row>
    <row r="1733" spans="1:25">
      <c r="A1733" s="1010"/>
      <c r="B1733" s="1351">
        <v>1483</v>
      </c>
      <c r="C1733" s="1014">
        <v>0.98821069930707717</v>
      </c>
      <c r="D1733" s="1014">
        <v>0.95338231831011599</v>
      </c>
      <c r="E1733" s="1014">
        <v>1.0452263838147962</v>
      </c>
      <c r="F1733" s="1014">
        <v>0.97382725260891556</v>
      </c>
      <c r="G1733" s="1014">
        <v>0.99936155009850458</v>
      </c>
      <c r="H1733" s="1014">
        <v>0.96039918521742607</v>
      </c>
      <c r="I1733" s="1014">
        <v>1.0008569919974466</v>
      </c>
      <c r="K1733">
        <v>2.3920383609609455</v>
      </c>
      <c r="L1733">
        <v>0</v>
      </c>
      <c r="M1733">
        <v>1.4676013958940209E-3</v>
      </c>
      <c r="N1733">
        <v>0.15300094353066171</v>
      </c>
      <c r="O1733">
        <v>2.149096075951442E-2</v>
      </c>
      <c r="P1733">
        <v>2.9091520016437042E-2</v>
      </c>
      <c r="Q1733">
        <v>5.8820031927204431E-3</v>
      </c>
      <c r="R1733">
        <v>1.4474306224426347E-3</v>
      </c>
      <c r="S1733">
        <v>0.26523899694848274</v>
      </c>
      <c r="T1733">
        <v>1.3366958042213668</v>
      </c>
      <c r="U1733">
        <v>0.21465918794221825</v>
      </c>
      <c r="V1733">
        <v>0.24600886872142338</v>
      </c>
      <c r="W1733">
        <v>9.7891728918991353E-2</v>
      </c>
      <c r="X1733">
        <v>1.815908847366474E-2</v>
      </c>
      <c r="Y1733">
        <v>3.9394290089123981E-3</v>
      </c>
    </row>
    <row r="1734" spans="1:25">
      <c r="A1734" s="1010"/>
      <c r="B1734" s="1351">
        <v>1484</v>
      </c>
      <c r="C1734" s="1014">
        <v>0.96775586846425776</v>
      </c>
      <c r="D1734" s="1014">
        <v>1.0052593487710766</v>
      </c>
      <c r="E1734" s="1014">
        <v>1.0250646371169119</v>
      </c>
      <c r="F1734" s="1014">
        <v>0.97545068005294122</v>
      </c>
      <c r="G1734" s="1014">
        <v>0.97579626417924026</v>
      </c>
      <c r="H1734" s="1014">
        <v>1.0243621625063739</v>
      </c>
      <c r="I1734" s="1014">
        <v>1.0215225489444022</v>
      </c>
      <c r="K1734">
        <v>2.4205945752211178</v>
      </c>
      <c r="L1734">
        <v>0</v>
      </c>
      <c r="M1734">
        <v>1.6477483275872957E-3</v>
      </c>
      <c r="N1734">
        <v>0.16179628728459797</v>
      </c>
      <c r="O1734">
        <v>2.1676995163146476E-2</v>
      </c>
      <c r="P1734">
        <v>2.885276329675188E-2</v>
      </c>
      <c r="Q1734">
        <v>5.8161512786807871E-3</v>
      </c>
      <c r="R1734">
        <v>1.6265157084492871E-3</v>
      </c>
      <c r="S1734">
        <v>0.27467599745713989</v>
      </c>
      <c r="T1734">
        <v>1.3384959103853191</v>
      </c>
      <c r="U1734">
        <v>0.21912471245710716</v>
      </c>
      <c r="V1734">
        <v>0.24339175954499004</v>
      </c>
      <c r="W1734">
        <v>0.10473281162897255</v>
      </c>
      <c r="X1734">
        <v>1.7625579765910882E-2</v>
      </c>
      <c r="Y1734">
        <v>4.4268395776397712E-3</v>
      </c>
    </row>
    <row r="1735" spans="1:25">
      <c r="A1735" s="1010"/>
      <c r="B1735" s="1351">
        <v>1485</v>
      </c>
      <c r="C1735" s="1014">
        <v>1.0113304628870936</v>
      </c>
      <c r="D1735" s="1014">
        <v>0.990010584063724</v>
      </c>
      <c r="E1735" s="1014">
        <v>1.0093645450027566</v>
      </c>
      <c r="F1735" s="1014">
        <v>1.0100971661653477</v>
      </c>
      <c r="G1735" s="1014">
        <v>1.007378222906169</v>
      </c>
      <c r="H1735" s="1014">
        <v>1.0249994455495461</v>
      </c>
      <c r="I1735" s="1014">
        <v>1.001888970938803</v>
      </c>
      <c r="K1735">
        <v>2.4306831117875403</v>
      </c>
      <c r="L1735">
        <v>0</v>
      </c>
      <c r="M1735">
        <v>1.6355922892877419E-3</v>
      </c>
      <c r="N1735">
        <v>0.15317299933203421</v>
      </c>
      <c r="O1735">
        <v>2.0802529192050574E-2</v>
      </c>
      <c r="P1735">
        <v>2.8870875262808637E-2</v>
      </c>
      <c r="Q1735">
        <v>5.4949504767919698E-3</v>
      </c>
      <c r="R1735">
        <v>1.6145294146747739E-3</v>
      </c>
      <c r="S1735">
        <v>0.2596873484311939</v>
      </c>
      <c r="T1735">
        <v>1.3856930380311032</v>
      </c>
      <c r="U1735">
        <v>0.20963021111821487</v>
      </c>
      <c r="V1735">
        <v>0.24605824700454718</v>
      </c>
      <c r="W1735">
        <v>0.1000678044483246</v>
      </c>
      <c r="X1735">
        <v>1.6831954527816932E-2</v>
      </c>
      <c r="Y1735">
        <v>4.3942168372662254E-3</v>
      </c>
    </row>
    <row r="1736" spans="1:25">
      <c r="A1736" s="1010"/>
      <c r="B1736" s="1351">
        <v>1486</v>
      </c>
      <c r="C1736" s="1014">
        <v>1.0099324311454412</v>
      </c>
      <c r="D1736" s="1014">
        <v>1.0036672626116838</v>
      </c>
      <c r="E1736" s="1014">
        <v>1.0107840587173742</v>
      </c>
      <c r="F1736" s="1014">
        <v>0.99970792288992794</v>
      </c>
      <c r="G1736" s="1014">
        <v>1.025946208994275</v>
      </c>
      <c r="H1736" s="1014">
        <v>0.98353793469514839</v>
      </c>
      <c r="I1736" s="1014">
        <v>0.99088378469122917</v>
      </c>
      <c r="K1736">
        <v>2.4012274578111912</v>
      </c>
      <c r="L1736">
        <v>0</v>
      </c>
      <c r="M1736">
        <v>1.5622608791273215E-3</v>
      </c>
      <c r="N1736">
        <v>0.14685305144730093</v>
      </c>
      <c r="O1736">
        <v>2.076956730152978E-2</v>
      </c>
      <c r="P1736">
        <v>2.8648403019173322E-2</v>
      </c>
      <c r="Q1736">
        <v>5.4940338446347482E-3</v>
      </c>
      <c r="R1736">
        <v>1.5412942476951195E-3</v>
      </c>
      <c r="S1736">
        <v>0.25199101950232322</v>
      </c>
      <c r="T1736">
        <v>1.3714713989632987</v>
      </c>
      <c r="U1736">
        <v>0.20992521053666707</v>
      </c>
      <c r="V1736">
        <v>0.24930848620340806</v>
      </c>
      <c r="W1736">
        <v>9.5858719525880487E-2</v>
      </c>
      <c r="X1736">
        <v>1.673363924369042E-2</v>
      </c>
      <c r="Y1736">
        <v>4.1948948547139145E-3</v>
      </c>
    </row>
    <row r="1737" spans="1:25">
      <c r="A1737" s="1010"/>
      <c r="B1737" s="1351">
        <v>1487</v>
      </c>
      <c r="C1737" s="1014">
        <v>1.0018930765614487</v>
      </c>
      <c r="D1737" s="1014">
        <v>0.98001278559275973</v>
      </c>
      <c r="E1737" s="1014">
        <v>0.99382321568318743</v>
      </c>
      <c r="F1737" s="1014">
        <v>0.97708622320037364</v>
      </c>
      <c r="G1737" s="1014">
        <v>0.99794016806851216</v>
      </c>
      <c r="H1737" s="1014">
        <v>0.96900552489778768</v>
      </c>
      <c r="I1737" s="1014">
        <v>1.0055921577482299</v>
      </c>
      <c r="K1737">
        <v>2.3703838365327168</v>
      </c>
      <c r="L1737">
        <v>0</v>
      </c>
      <c r="M1737">
        <v>1.615560265314662E-3</v>
      </c>
      <c r="N1737">
        <v>0.14424921495925785</v>
      </c>
      <c r="O1737">
        <v>2.1035078482916279E-2</v>
      </c>
      <c r="P1737">
        <v>2.7929751577758268E-2</v>
      </c>
      <c r="Q1737">
        <v>5.4703266296027312E-3</v>
      </c>
      <c r="R1737">
        <v>1.5935531495330244E-3</v>
      </c>
      <c r="S1737">
        <v>0.25951120278985801</v>
      </c>
      <c r="T1737">
        <v>1.3400787283210553</v>
      </c>
      <c r="U1737">
        <v>0.21155179776885849</v>
      </c>
      <c r="V1737">
        <v>0.24508361871179254</v>
      </c>
      <c r="W1737">
        <v>9.5111305256290191E-2</v>
      </c>
      <c r="X1737">
        <v>1.6047692792733975E-2</v>
      </c>
      <c r="Y1737">
        <v>4.3371263583743295E-3</v>
      </c>
    </row>
    <row r="1738" spans="1:25">
      <c r="A1738" s="1010"/>
      <c r="B1738" s="1351">
        <v>1488</v>
      </c>
      <c r="C1738" s="1014">
        <v>1.0233840242644361</v>
      </c>
      <c r="D1738" s="1014">
        <v>0.99665441570145785</v>
      </c>
      <c r="E1738" s="1014">
        <v>0.97103617026591937</v>
      </c>
      <c r="F1738" s="1014">
        <v>1.0389962224237852</v>
      </c>
      <c r="G1738" s="1014">
        <v>1.0080069429322209</v>
      </c>
      <c r="H1738" s="1014">
        <v>1.0134763461434828</v>
      </c>
      <c r="I1738" s="1014">
        <v>0.97919576999117064</v>
      </c>
      <c r="K1738">
        <v>2.4403269662930795</v>
      </c>
      <c r="L1738">
        <v>0</v>
      </c>
      <c r="M1738">
        <v>1.7276496625080627E-3</v>
      </c>
      <c r="N1738">
        <v>0.14406935384225439</v>
      </c>
      <c r="O1738">
        <v>2.0502451218501708E-2</v>
      </c>
      <c r="P1738">
        <v>2.8381192625198781E-2</v>
      </c>
      <c r="Q1738">
        <v>5.2099052923082669E-3</v>
      </c>
      <c r="R1738">
        <v>1.7051483277378979E-3</v>
      </c>
      <c r="S1738">
        <v>0.24873945138060852</v>
      </c>
      <c r="T1738">
        <v>1.4244783989387033</v>
      </c>
      <c r="U1738">
        <v>0.20703333743840657</v>
      </c>
      <c r="V1738">
        <v>0.24557992459593095</v>
      </c>
      <c r="W1738">
        <v>9.6306257977716386E-2</v>
      </c>
      <c r="X1738">
        <v>1.5408342672111523E-2</v>
      </c>
      <c r="Y1738">
        <v>4.6408516461073886E-3</v>
      </c>
    </row>
    <row r="1739" spans="1:25">
      <c r="A1739" s="1010"/>
      <c r="B1739" s="1351">
        <v>1489</v>
      </c>
      <c r="C1739" s="1014">
        <v>1.0059964023580923</v>
      </c>
      <c r="D1739" s="1014">
        <v>1.0300302936029884</v>
      </c>
      <c r="E1739" s="1014">
        <v>1.0331980860049528</v>
      </c>
      <c r="F1739" s="1014">
        <v>1.0051062441424197</v>
      </c>
      <c r="G1739" s="1014">
        <v>1.0209244624981828</v>
      </c>
      <c r="H1739" s="1014">
        <v>1.0267324802062088</v>
      </c>
      <c r="I1739" s="1014">
        <v>1.0033831759703407</v>
      </c>
      <c r="K1739">
        <v>2.4301159635162008</v>
      </c>
      <c r="L1739">
        <v>0</v>
      </c>
      <c r="M1739">
        <v>1.5537409739721402E-3</v>
      </c>
      <c r="N1739">
        <v>0.15635741038996456</v>
      </c>
      <c r="O1739">
        <v>2.0746973501319554E-2</v>
      </c>
      <c r="P1739">
        <v>2.9300555388470151E-2</v>
      </c>
      <c r="Q1739">
        <v>5.6115832884409368E-3</v>
      </c>
      <c r="R1739">
        <v>1.5337659395586701E-3</v>
      </c>
      <c r="S1739">
        <v>0.25669199342859012</v>
      </c>
      <c r="T1739">
        <v>1.3793665560656938</v>
      </c>
      <c r="U1739">
        <v>0.21082297127567123</v>
      </c>
      <c r="V1739">
        <v>0.24861211044794548</v>
      </c>
      <c r="W1739">
        <v>0.10073510797906206</v>
      </c>
      <c r="X1739">
        <v>1.771627150378053E-2</v>
      </c>
      <c r="Y1739">
        <v>4.1744052816726105E-3</v>
      </c>
    </row>
    <row r="1740" spans="1:25">
      <c r="A1740" s="1010"/>
      <c r="B1740" s="1351">
        <v>1490</v>
      </c>
      <c r="C1740" s="1014">
        <v>1.0284173787435542</v>
      </c>
      <c r="D1740" s="1014">
        <v>1.0110522948704068</v>
      </c>
      <c r="E1740" s="1014">
        <v>0.98466609172307096</v>
      </c>
      <c r="F1740" s="1014">
        <v>1.0188308956968903</v>
      </c>
      <c r="G1740" s="1014">
        <v>0.97622340005186548</v>
      </c>
      <c r="H1740" s="1014">
        <v>0.99889421006969092</v>
      </c>
      <c r="I1740" s="1014">
        <v>0.98842852680737714</v>
      </c>
      <c r="K1740">
        <v>2.4011264157052032</v>
      </c>
      <c r="L1740">
        <v>0</v>
      </c>
      <c r="M1740">
        <v>1.6421944355068663E-3</v>
      </c>
      <c r="N1740">
        <v>0.14268218731742824</v>
      </c>
      <c r="O1740">
        <v>2.0346574060740447E-2</v>
      </c>
      <c r="P1740">
        <v>2.8193381411184406E-2</v>
      </c>
      <c r="Q1740">
        <v>5.2425070342756114E-3</v>
      </c>
      <c r="R1740">
        <v>1.6204938576440068E-3</v>
      </c>
      <c r="S1740">
        <v>0.24699166593589836</v>
      </c>
      <c r="T1740">
        <v>1.3971304198016758</v>
      </c>
      <c r="U1740">
        <v>0.2060652009827052</v>
      </c>
      <c r="V1740">
        <v>0.23980073920535466</v>
      </c>
      <c r="W1740">
        <v>9.4595890651999068E-2</v>
      </c>
      <c r="X1740">
        <v>1.5689099796953192E-2</v>
      </c>
      <c r="Y1740">
        <v>4.4104500848503808E-3</v>
      </c>
    </row>
    <row r="1741" spans="1:25">
      <c r="A1741" s="1010"/>
      <c r="B1741" s="1351">
        <v>1491</v>
      </c>
      <c r="C1741" s="1014">
        <v>1.0030398194069143</v>
      </c>
      <c r="D1741" s="1014">
        <v>1.0099521457686875</v>
      </c>
      <c r="E1741" s="1014">
        <v>0.97979905637318176</v>
      </c>
      <c r="F1741" s="1014">
        <v>1.0332254911217682</v>
      </c>
      <c r="G1741" s="1014">
        <v>0.98676883007016603</v>
      </c>
      <c r="H1741" s="1014">
        <v>0.99424544179536734</v>
      </c>
      <c r="I1741" s="1014">
        <v>1.0133198427022243</v>
      </c>
      <c r="K1741">
        <v>2.4470653033144707</v>
      </c>
      <c r="L1741">
        <v>0</v>
      </c>
      <c r="M1741">
        <v>1.6932700656363613E-3</v>
      </c>
      <c r="N1741">
        <v>0.14496055774530311</v>
      </c>
      <c r="O1741">
        <v>2.0863148661532004E-2</v>
      </c>
      <c r="P1741">
        <v>2.863414565995771E-2</v>
      </c>
      <c r="Q1741">
        <v>5.3491140674804764E-3</v>
      </c>
      <c r="R1741">
        <v>1.6707899344863702E-3</v>
      </c>
      <c r="S1741">
        <v>0.2593209812831257</v>
      </c>
      <c r="T1741">
        <v>1.4167614704325249</v>
      </c>
      <c r="U1741">
        <v>0.21126224548303524</v>
      </c>
      <c r="V1741">
        <v>0.24315444064676062</v>
      </c>
      <c r="W1741">
        <v>9.6388767220075347E-2</v>
      </c>
      <c r="X1741">
        <v>1.5845572819906738E-2</v>
      </c>
      <c r="Y1741">
        <v>4.5473394259180188E-3</v>
      </c>
    </row>
    <row r="1742" spans="1:25">
      <c r="A1742" s="1010"/>
      <c r="B1742" s="1351">
        <v>1492</v>
      </c>
      <c r="C1742" s="1014">
        <v>0.96649000823610665</v>
      </c>
      <c r="D1742" s="1014">
        <v>0.97148443846660959</v>
      </c>
      <c r="E1742" s="1014">
        <v>0.99983685701953318</v>
      </c>
      <c r="F1742" s="1014">
        <v>0.97991799331856488</v>
      </c>
      <c r="G1742" s="1014">
        <v>0.99861876743273736</v>
      </c>
      <c r="H1742" s="1014">
        <v>1.0216692576079314</v>
      </c>
      <c r="I1742" s="1014">
        <v>1.0153914234060972</v>
      </c>
      <c r="K1742">
        <v>2.4294029570868618</v>
      </c>
      <c r="L1742">
        <v>0</v>
      </c>
      <c r="M1742">
        <v>1.7472359751900127E-3</v>
      </c>
      <c r="N1742">
        <v>0.15898026882749247</v>
      </c>
      <c r="O1742">
        <v>2.1851728865642329E-2</v>
      </c>
      <c r="P1742">
        <v>2.8496044836781993E-2</v>
      </c>
      <c r="Q1742">
        <v>5.7172180532998997E-3</v>
      </c>
      <c r="R1742">
        <v>1.7246620305299209E-3</v>
      </c>
      <c r="S1742">
        <v>0.27763322066021712</v>
      </c>
      <c r="T1742">
        <v>1.3440898864350912</v>
      </c>
      <c r="U1742">
        <v>0.21932231630165747</v>
      </c>
      <c r="V1742">
        <v>0.24745912787749277</v>
      </c>
      <c r="W1742">
        <v>0.10444935719233364</v>
      </c>
      <c r="X1742">
        <v>1.6732400469096229E-2</v>
      </c>
      <c r="Y1742">
        <v>4.6939615124168763E-3</v>
      </c>
    </row>
    <row r="1743" spans="1:25">
      <c r="A1743" s="1010"/>
      <c r="B1743" s="1351">
        <v>1493</v>
      </c>
      <c r="C1743" s="1014">
        <v>0.99729527585698374</v>
      </c>
      <c r="D1743" s="1014">
        <v>1.000624263091852</v>
      </c>
      <c r="E1743" s="1014">
        <v>1.0072069662680059</v>
      </c>
      <c r="F1743" s="1014">
        <v>0.99454053637983919</v>
      </c>
      <c r="G1743" s="1014">
        <v>0.99198090965929209</v>
      </c>
      <c r="H1743" s="1014">
        <v>1.0121254165283429</v>
      </c>
      <c r="I1743" s="1014">
        <v>0.98680987499187378</v>
      </c>
      <c r="K1743">
        <v>2.4068308590696499</v>
      </c>
      <c r="L1743">
        <v>0</v>
      </c>
      <c r="M1743">
        <v>1.6412788845931578E-3</v>
      </c>
      <c r="N1743">
        <v>0.15268214062788421</v>
      </c>
      <c r="O1743">
        <v>2.1044419045338124E-2</v>
      </c>
      <c r="P1743">
        <v>2.8509507736896714E-2</v>
      </c>
      <c r="Q1743">
        <v>5.5468575214920662E-3</v>
      </c>
      <c r="R1743">
        <v>1.6198739320337687E-3</v>
      </c>
      <c r="S1743">
        <v>0.25690030103845257</v>
      </c>
      <c r="T1743">
        <v>1.364305323702705</v>
      </c>
      <c r="U1743">
        <v>0.21257298514846898</v>
      </c>
      <c r="V1743">
        <v>0.24430547217025575</v>
      </c>
      <c r="W1743">
        <v>9.9874284920079215E-2</v>
      </c>
      <c r="X1743">
        <v>1.6702209258938294E-2</v>
      </c>
      <c r="Y1743">
        <v>4.4087628516977359E-3</v>
      </c>
    </row>
    <row r="1744" spans="1:25">
      <c r="A1744" s="1010"/>
      <c r="B1744" s="1351">
        <v>1494</v>
      </c>
      <c r="C1744" s="1014">
        <v>1.0044149323797071</v>
      </c>
      <c r="D1744" s="1014">
        <v>1.0299929578620464</v>
      </c>
      <c r="E1744" s="1014">
        <v>1.009697019367005</v>
      </c>
      <c r="F1744" s="1014">
        <v>0.97972485065702863</v>
      </c>
      <c r="G1744" s="1014">
        <v>0.99385009068156982</v>
      </c>
      <c r="H1744" s="1014">
        <v>1.0269417970683543</v>
      </c>
      <c r="I1744" s="1014">
        <v>1.0196191323771548</v>
      </c>
      <c r="K1744">
        <v>2.3892642672985507</v>
      </c>
      <c r="L1744">
        <v>0</v>
      </c>
      <c r="M1744">
        <v>1.6345358775212687E-3</v>
      </c>
      <c r="N1744">
        <v>0.15323157628552131</v>
      </c>
      <c r="O1744">
        <v>2.0764327424005306E-2</v>
      </c>
      <c r="P1744">
        <v>2.8318537681809041E-2</v>
      </c>
      <c r="Q1744">
        <v>5.4866832406315338E-3</v>
      </c>
      <c r="R1744">
        <v>1.6135264196592038E-3</v>
      </c>
      <c r="S1744">
        <v>0.26108432850486801</v>
      </c>
      <c r="T1744">
        <v>1.3440340988123285</v>
      </c>
      <c r="U1744">
        <v>0.21107467617460179</v>
      </c>
      <c r="V1744">
        <v>0.24417230698898154</v>
      </c>
      <c r="W1744">
        <v>0.10008644138056683</v>
      </c>
      <c r="X1744">
        <v>1.6640813247626993E-2</v>
      </c>
      <c r="Y1744">
        <v>4.3914870154710631E-3</v>
      </c>
    </row>
    <row r="1745" spans="1:25">
      <c r="A1745" s="1010"/>
      <c r="B1745" s="1351">
        <v>1495</v>
      </c>
      <c r="C1745" s="1014">
        <v>0.995935337500929</v>
      </c>
      <c r="D1745" s="1014">
        <v>0.99815779807933813</v>
      </c>
      <c r="E1745" s="1014">
        <v>1.0281762781565253</v>
      </c>
      <c r="F1745" s="1014">
        <v>0.97927982358429677</v>
      </c>
      <c r="G1745" s="1014">
        <v>1.0123992006152869</v>
      </c>
      <c r="H1745" s="1014">
        <v>0.98077007006772676</v>
      </c>
      <c r="I1745" s="1014">
        <v>0.965488952292471</v>
      </c>
      <c r="K1745">
        <v>2.3797214740561197</v>
      </c>
      <c r="L1745">
        <v>0</v>
      </c>
      <c r="M1745">
        <v>1.5254643101234797E-3</v>
      </c>
      <c r="N1745">
        <v>0.15111322568217211</v>
      </c>
      <c r="O1745">
        <v>2.1098616950726914E-2</v>
      </c>
      <c r="P1745">
        <v>2.8617833582063084E-2</v>
      </c>
      <c r="Q1745">
        <v>5.6784417314541501E-3</v>
      </c>
      <c r="R1745">
        <v>1.5049337373562843E-3</v>
      </c>
      <c r="S1745">
        <v>0.24958205431623098</v>
      </c>
      <c r="T1745">
        <v>1.3438164398595547</v>
      </c>
      <c r="U1745">
        <v>0.21293541619291753</v>
      </c>
      <c r="V1745">
        <v>0.24780216206458117</v>
      </c>
      <c r="W1745">
        <v>9.7640538671467228E-2</v>
      </c>
      <c r="X1745">
        <v>1.7361342045907738E-2</v>
      </c>
      <c r="Y1745">
        <v>4.0959335318106168E-3</v>
      </c>
    </row>
    <row r="1746" spans="1:25">
      <c r="A1746" s="1010"/>
      <c r="B1746" s="1351">
        <v>1496</v>
      </c>
      <c r="C1746" s="1014">
        <v>0.9997564376626672</v>
      </c>
      <c r="D1746" s="1014">
        <v>1.0122900347192609</v>
      </c>
      <c r="E1746" s="1014">
        <v>1.0157944486133532</v>
      </c>
      <c r="F1746" s="1014">
        <v>0.97807110294772037</v>
      </c>
      <c r="G1746" s="1014">
        <v>1.0053066798250585</v>
      </c>
      <c r="H1746" s="1014">
        <v>0.97615257518556009</v>
      </c>
      <c r="I1746" s="1014">
        <v>1.0038563627271098</v>
      </c>
      <c r="K1746">
        <v>2.3761709647258176</v>
      </c>
      <c r="L1746">
        <v>0</v>
      </c>
      <c r="M1746">
        <v>1.5471699547221121E-3</v>
      </c>
      <c r="N1746">
        <v>0.14763538085470548</v>
      </c>
      <c r="O1746">
        <v>2.0944844569045724E-2</v>
      </c>
      <c r="P1746">
        <v>2.8393587485471949E-2</v>
      </c>
      <c r="Q1746">
        <v>5.5681673494868437E-3</v>
      </c>
      <c r="R1746">
        <v>1.5262487573284007E-3</v>
      </c>
      <c r="S1746">
        <v>0.25619624785955825</v>
      </c>
      <c r="T1746">
        <v>1.341894718588853</v>
      </c>
      <c r="U1746">
        <v>0.21207909445250681</v>
      </c>
      <c r="V1746">
        <v>0.24639601929158317</v>
      </c>
      <c r="W1746">
        <v>9.6085817548685226E-2</v>
      </c>
      <c r="X1746">
        <v>1.684406193363145E-2</v>
      </c>
      <c r="Y1746">
        <v>4.1539459896802727E-3</v>
      </c>
    </row>
    <row r="1747" spans="1:25">
      <c r="A1747" s="1010"/>
      <c r="B1747" s="1351">
        <v>1497</v>
      </c>
      <c r="C1747" s="1014">
        <v>1.0198927437654706</v>
      </c>
      <c r="D1747" s="1014">
        <v>1.0176698907815436</v>
      </c>
      <c r="E1747" s="1014">
        <v>1.0064185215691452</v>
      </c>
      <c r="F1747" s="1014">
        <v>1.0308728730553345</v>
      </c>
      <c r="G1747" s="1014">
        <v>1.0022325521671818</v>
      </c>
      <c r="H1747" s="1014">
        <v>1.033746920088773</v>
      </c>
      <c r="I1747" s="1014">
        <v>0.99763836753381063</v>
      </c>
      <c r="K1747">
        <v>2.447581115107746</v>
      </c>
      <c r="L1747">
        <v>0</v>
      </c>
      <c r="M1747">
        <v>1.6357942170237816E-3</v>
      </c>
      <c r="N1747">
        <v>0.15185200865342521</v>
      </c>
      <c r="O1747">
        <v>2.050130305854099E-2</v>
      </c>
      <c r="P1747">
        <v>2.9071429058176893E-2</v>
      </c>
      <c r="Q1747">
        <v>5.3994389943477104E-3</v>
      </c>
      <c r="R1747">
        <v>1.6149069961971429E-3</v>
      </c>
      <c r="S1747">
        <v>0.25362141444471537</v>
      </c>
      <c r="T1747">
        <v>1.4141282233617174</v>
      </c>
      <c r="U1747">
        <v>0.20786042181298786</v>
      </c>
      <c r="V1747">
        <v>0.24467228127705135</v>
      </c>
      <c r="W1747">
        <v>9.9377577709539672E-2</v>
      </c>
      <c r="X1747">
        <v>1.6722659468371537E-2</v>
      </c>
      <c r="Y1747">
        <v>4.3952444897003996E-3</v>
      </c>
    </row>
    <row r="1748" spans="1:25">
      <c r="A1748" s="1010"/>
      <c r="B1748" s="1351">
        <v>1498</v>
      </c>
      <c r="C1748" s="1014">
        <v>0.97704304866757929</v>
      </c>
      <c r="D1748" s="1014">
        <v>0.95585517699271427</v>
      </c>
      <c r="E1748" s="1014">
        <v>1.0092115283751595</v>
      </c>
      <c r="F1748" s="1014">
        <v>1.009631795597661</v>
      </c>
      <c r="G1748" s="1014">
        <v>1.0021227631025289</v>
      </c>
      <c r="H1748" s="1014">
        <v>0.98466799617580381</v>
      </c>
      <c r="I1748" s="1014">
        <v>0.99861562900113476</v>
      </c>
      <c r="K1748">
        <v>2.4501776755053322</v>
      </c>
      <c r="L1748">
        <v>0</v>
      </c>
      <c r="M1748">
        <v>1.6395066538848742E-3</v>
      </c>
      <c r="N1748">
        <v>0.15338665710711166</v>
      </c>
      <c r="O1748">
        <v>2.1699410162642027E-2</v>
      </c>
      <c r="P1748">
        <v>2.9107235855723657E-2</v>
      </c>
      <c r="Q1748">
        <v>5.7309829330825937E-3</v>
      </c>
      <c r="R1748">
        <v>1.6175285825155491E-3</v>
      </c>
      <c r="S1748">
        <v>0.26914264076231992</v>
      </c>
      <c r="T1748">
        <v>1.3850512759068103</v>
      </c>
      <c r="U1748">
        <v>0.2169862371321431</v>
      </c>
      <c r="V1748">
        <v>0.24732692588841812</v>
      </c>
      <c r="W1748">
        <v>0.10021643413071353</v>
      </c>
      <c r="X1748">
        <v>1.7149474114279986E-2</v>
      </c>
      <c r="Y1748">
        <v>4.402379583453405E-3</v>
      </c>
    </row>
    <row r="1749" spans="1:25">
      <c r="A1749" s="1010"/>
      <c r="B1749" s="1351">
        <v>1499</v>
      </c>
      <c r="C1749" s="1014">
        <v>0.95936053867707793</v>
      </c>
      <c r="D1749" s="1014">
        <v>0.99356300870219683</v>
      </c>
      <c r="E1749" s="1014">
        <v>1.006502629556165</v>
      </c>
      <c r="F1749" s="1014">
        <v>1.0083514314588713</v>
      </c>
      <c r="G1749" s="1014">
        <v>1.0102617181176576</v>
      </c>
      <c r="H1749" s="1014">
        <v>0.98391236724648223</v>
      </c>
      <c r="I1749" s="1014">
        <v>1.0039832425892077</v>
      </c>
      <c r="K1749">
        <v>2.4580537241687419</v>
      </c>
      <c r="L1749">
        <v>0</v>
      </c>
      <c r="M1749">
        <v>1.6636355720512635E-3</v>
      </c>
      <c r="N1749">
        <v>0.15437457557715165</v>
      </c>
      <c r="O1749">
        <v>2.1910172938942356E-2</v>
      </c>
      <c r="P1749">
        <v>2.912786745846032E-2</v>
      </c>
      <c r="Q1749">
        <v>5.770979936469048E-3</v>
      </c>
      <c r="R1749">
        <v>1.6413169181858317E-3</v>
      </c>
      <c r="S1749">
        <v>0.27014836321780272</v>
      </c>
      <c r="T1749">
        <v>1.3832356529498773</v>
      </c>
      <c r="U1749">
        <v>0.22097596801806957</v>
      </c>
      <c r="V1749">
        <v>0.24990332125808976</v>
      </c>
      <c r="W1749">
        <v>0.10102341439109293</v>
      </c>
      <c r="X1749">
        <v>1.7138603485325657E-2</v>
      </c>
      <c r="Y1749">
        <v>4.4671235913251667E-3</v>
      </c>
    </row>
    <row r="1750" spans="1:25">
      <c r="A1750" s="1010"/>
      <c r="B1750" s="1351">
        <v>1500</v>
      </c>
      <c r="C1750" s="1014">
        <v>0.99769715642741719</v>
      </c>
      <c r="D1750" s="1014">
        <v>0.99830618424986262</v>
      </c>
      <c r="E1750" s="1014">
        <v>0.97279975056097023</v>
      </c>
      <c r="F1750" s="1014">
        <v>0.98807180453280319</v>
      </c>
      <c r="G1750" s="1014">
        <v>0.97022123385326609</v>
      </c>
      <c r="H1750" s="1014">
        <v>0.96945763891245329</v>
      </c>
      <c r="I1750" s="1014">
        <v>0.98900400807535593</v>
      </c>
      <c r="K1750">
        <v>2.3712193330300062</v>
      </c>
      <c r="L1750">
        <v>0</v>
      </c>
      <c r="M1750">
        <v>1.6883826945982641E-3</v>
      </c>
      <c r="N1750">
        <v>0.14146379201273995</v>
      </c>
      <c r="O1750">
        <v>2.1023818694634926E-2</v>
      </c>
      <c r="P1750">
        <v>2.7560077586441824E-2</v>
      </c>
      <c r="Q1750">
        <v>5.3520187846795141E-3</v>
      </c>
      <c r="R1750">
        <v>1.6653943195725678E-3</v>
      </c>
      <c r="S1750">
        <v>0.25379025464816035</v>
      </c>
      <c r="T1750">
        <v>1.3546977754397891</v>
      </c>
      <c r="U1750">
        <v>0.21236966498712029</v>
      </c>
      <c r="V1750">
        <v>0.24068464034245193</v>
      </c>
      <c r="W1750">
        <v>9.4463219829229478E-2</v>
      </c>
      <c r="X1750">
        <v>1.5304404738994531E-2</v>
      </c>
      <c r="Y1750">
        <v>4.5326543407866304E-3</v>
      </c>
    </row>
    <row r="1751" spans="1:25">
      <c r="A1751" s="1010"/>
      <c r="B1751" s="1351">
        <v>1501</v>
      </c>
      <c r="C1751" s="1014">
        <v>0.99508448981346764</v>
      </c>
      <c r="D1751" s="1014">
        <v>0.99447102402129917</v>
      </c>
      <c r="E1751" s="1014">
        <v>0.9611911120115233</v>
      </c>
      <c r="F1751" s="1014">
        <v>0.96141985047278034</v>
      </c>
      <c r="G1751" s="1014">
        <v>0.98933663366675673</v>
      </c>
      <c r="H1751" s="1014">
        <v>0.96530510351610332</v>
      </c>
      <c r="I1751" s="1014">
        <v>0.97608398839320343</v>
      </c>
      <c r="K1751">
        <v>2.3324979090585312</v>
      </c>
      <c r="L1751">
        <v>0</v>
      </c>
      <c r="M1751">
        <v>1.7278905685855937E-3</v>
      </c>
      <c r="N1751">
        <v>0.13976427342808961</v>
      </c>
      <c r="O1751">
        <v>2.1089165306051722E-2</v>
      </c>
      <c r="P1751">
        <v>2.6846408757180869E-2</v>
      </c>
      <c r="Q1751">
        <v>5.3052259780588459E-3</v>
      </c>
      <c r="R1751">
        <v>1.7042630643209931E-3</v>
      </c>
      <c r="S1751">
        <v>0.25118179298219734</v>
      </c>
      <c r="T1751">
        <v>1.3179168417908957</v>
      </c>
      <c r="U1751">
        <v>0.2128875950144471</v>
      </c>
      <c r="V1751">
        <v>0.24415799810166944</v>
      </c>
      <c r="W1751">
        <v>9.3991684394483452E-2</v>
      </c>
      <c r="X1751">
        <v>1.4742108558806389E-2</v>
      </c>
      <c r="Y1751">
        <v>4.6384422509135794E-3</v>
      </c>
    </row>
    <row r="1752" spans="1:25">
      <c r="A1752" s="1010"/>
      <c r="B1752" s="1351">
        <v>1502</v>
      </c>
      <c r="C1752" s="1014">
        <v>0.98797006276616339</v>
      </c>
      <c r="D1752" s="1014">
        <v>0.96319070706720045</v>
      </c>
      <c r="E1752" s="1014">
        <v>1.0473292077466203</v>
      </c>
      <c r="F1752" s="1014">
        <v>0.95321361933085491</v>
      </c>
      <c r="G1752" s="1014">
        <v>1.00708559713958</v>
      </c>
      <c r="H1752" s="1014">
        <v>1.0280841033717332</v>
      </c>
      <c r="I1752" s="1014">
        <v>0.99553795921398081</v>
      </c>
      <c r="K1752">
        <v>2.3861483623851316</v>
      </c>
      <c r="L1752">
        <v>0</v>
      </c>
      <c r="M1752">
        <v>1.5610084209404062E-3</v>
      </c>
      <c r="N1752">
        <v>0.16392276370199113</v>
      </c>
      <c r="O1752">
        <v>2.1449278708373144E-2</v>
      </c>
      <c r="P1752">
        <v>2.8800420740396543E-2</v>
      </c>
      <c r="Q1752">
        <v>5.8827043774281615E-3</v>
      </c>
      <c r="R1752">
        <v>1.5409663396026032E-3</v>
      </c>
      <c r="S1752">
        <v>0.26839595554685625</v>
      </c>
      <c r="T1752">
        <v>1.3084448320749427</v>
      </c>
      <c r="U1752">
        <v>0.21471879691671011</v>
      </c>
      <c r="V1752">
        <v>0.24733444087402198</v>
      </c>
      <c r="W1752">
        <v>0.1047533106557523</v>
      </c>
      <c r="X1752">
        <v>1.8271898473017724E-2</v>
      </c>
      <c r="Y1752">
        <v>4.1940023969809581E-3</v>
      </c>
    </row>
    <row r="1753" spans="1:25">
      <c r="A1753" s="1010"/>
      <c r="B1753" s="1351">
        <v>1503</v>
      </c>
      <c r="C1753" s="1014">
        <v>1.0106016419182613</v>
      </c>
      <c r="D1753" s="1014">
        <v>0.99946325763890087</v>
      </c>
      <c r="E1753" s="1014">
        <v>1.0013925738444458</v>
      </c>
      <c r="F1753" s="1014">
        <v>1.0083113042049501</v>
      </c>
      <c r="G1753" s="1014">
        <v>0.98952480432195156</v>
      </c>
      <c r="H1753" s="1014">
        <v>0.97120232983368648</v>
      </c>
      <c r="I1753" s="1014">
        <v>1.0218923083770659</v>
      </c>
      <c r="K1753">
        <v>2.4085783746969667</v>
      </c>
      <c r="L1753">
        <v>0</v>
      </c>
      <c r="M1753">
        <v>1.5734534143850504E-3</v>
      </c>
      <c r="N1753">
        <v>0.14374449764452471</v>
      </c>
      <c r="O1753">
        <v>2.0768815325444327E-2</v>
      </c>
      <c r="P1753">
        <v>2.8618055272779445E-2</v>
      </c>
      <c r="Q1753">
        <v>5.4423890655752073E-3</v>
      </c>
      <c r="R1753">
        <v>1.5520683583776938E-3</v>
      </c>
      <c r="S1753">
        <v>0.25911407826308797</v>
      </c>
      <c r="T1753">
        <v>1.3830690787625906</v>
      </c>
      <c r="U1753">
        <v>0.20975440451701</v>
      </c>
      <c r="V1753">
        <v>0.24308278790307783</v>
      </c>
      <c r="W1753">
        <v>9.4352281429993634E-2</v>
      </c>
      <c r="X1753">
        <v>1.6429153136580211E-2</v>
      </c>
      <c r="Y1753">
        <v>4.2242184323072491E-3</v>
      </c>
    </row>
    <row r="1754" spans="1:25">
      <c r="A1754" s="1010"/>
      <c r="B1754" s="1351">
        <v>1504</v>
      </c>
      <c r="C1754" s="1014">
        <v>0.99721716235884916</v>
      </c>
      <c r="D1754" s="1014">
        <v>1.0030966511784329</v>
      </c>
      <c r="E1754" s="1014">
        <v>1.0156322019589414</v>
      </c>
      <c r="F1754" s="1014">
        <v>0.97572188951742367</v>
      </c>
      <c r="G1754" s="1014">
        <v>1.0139840274111724</v>
      </c>
      <c r="H1754" s="1014">
        <v>0.9891006994676077</v>
      </c>
      <c r="I1754" s="1014">
        <v>1.0046030646020883</v>
      </c>
      <c r="K1754">
        <v>2.3829077280811348</v>
      </c>
      <c r="L1754">
        <v>0</v>
      </c>
      <c r="M1754">
        <v>1.5753733231686443E-3</v>
      </c>
      <c r="N1754">
        <v>0.15028000437684089</v>
      </c>
      <c r="O1754">
        <v>2.1040257668780916E-2</v>
      </c>
      <c r="P1754">
        <v>2.841898587225309E-2</v>
      </c>
      <c r="Q1754">
        <v>5.5926285559203667E-3</v>
      </c>
      <c r="R1754">
        <v>1.5543496209560821E-3</v>
      </c>
      <c r="S1754">
        <v>0.25932774779766182</v>
      </c>
      <c r="T1754">
        <v>1.3386682084405042</v>
      </c>
      <c r="U1754">
        <v>0.2126185669887872</v>
      </c>
      <c r="V1754">
        <v>0.24803674552736898</v>
      </c>
      <c r="W1754">
        <v>9.7816338867554101E-2</v>
      </c>
      <c r="X1754">
        <v>1.6898840410644829E-2</v>
      </c>
      <c r="Y1754">
        <v>4.2304272770276163E-3</v>
      </c>
    </row>
    <row r="1755" spans="1:25">
      <c r="A1755" s="1010"/>
      <c r="B1755" s="1351">
        <v>1505</v>
      </c>
      <c r="C1755" s="1014">
        <v>1.0106035967538858</v>
      </c>
      <c r="D1755" s="1014">
        <v>1.0169705826186632</v>
      </c>
      <c r="E1755" s="1014">
        <v>1.0284641679356821</v>
      </c>
      <c r="F1755" s="1014">
        <v>0.96180137785978925</v>
      </c>
      <c r="G1755" s="1014">
        <v>1.0102743601793078</v>
      </c>
      <c r="H1755" s="1014">
        <v>1.0016117137562224</v>
      </c>
      <c r="I1755" s="1014">
        <v>0.95733194949423506</v>
      </c>
      <c r="K1755">
        <v>2.3445561488488225</v>
      </c>
      <c r="L1755">
        <v>0</v>
      </c>
      <c r="M1755">
        <v>1.528058763768271E-3</v>
      </c>
      <c r="N1755">
        <v>0.15154468205878835</v>
      </c>
      <c r="O1755">
        <v>2.0707336288979292E-2</v>
      </c>
      <c r="P1755">
        <v>2.8141120545148543E-2</v>
      </c>
      <c r="Q1755">
        <v>5.5747211954611294E-3</v>
      </c>
      <c r="R1755">
        <v>1.5079212022818084E-3</v>
      </c>
      <c r="S1755">
        <v>0.24328481225224852</v>
      </c>
      <c r="T1755">
        <v>1.3198376697909429</v>
      </c>
      <c r="U1755">
        <v>0.20984577390995635</v>
      </c>
      <c r="V1755">
        <v>0.2465288507283046</v>
      </c>
      <c r="W1755">
        <v>9.7902936769808532E-2</v>
      </c>
      <c r="X1755">
        <v>1.7104318444149523E-2</v>
      </c>
      <c r="Y1755">
        <v>4.1040644265203444E-3</v>
      </c>
    </row>
    <row r="1756" spans="1:25">
      <c r="A1756" s="1010"/>
      <c r="B1756" s="1351">
        <v>1506</v>
      </c>
      <c r="C1756" s="1014">
        <v>0.99550497418965089</v>
      </c>
      <c r="D1756" s="1014">
        <v>0.98300429410686041</v>
      </c>
      <c r="E1756" s="1014">
        <v>0.97700452844115715</v>
      </c>
      <c r="F1756" s="1014">
        <v>1.0287176646064848</v>
      </c>
      <c r="G1756" s="1014">
        <v>1.0100227508425947</v>
      </c>
      <c r="H1756" s="1014">
        <v>0.98455870403877666</v>
      </c>
      <c r="I1756" s="1014">
        <v>1.0422419190934735</v>
      </c>
      <c r="K1756">
        <v>2.4599547139432936</v>
      </c>
      <c r="L1756">
        <v>0</v>
      </c>
      <c r="M1756">
        <v>1.7093928549106057E-3</v>
      </c>
      <c r="N1756">
        <v>0.14508933564868096</v>
      </c>
      <c r="O1756">
        <v>2.1144640303681947E-2</v>
      </c>
      <c r="P1756">
        <v>2.8734389328373165E-2</v>
      </c>
      <c r="Q1756">
        <v>5.405895682801946E-3</v>
      </c>
      <c r="R1756">
        <v>1.6864753946584459E-3</v>
      </c>
      <c r="S1756">
        <v>0.27152398344555323</v>
      </c>
      <c r="T1756">
        <v>1.4105184279058345</v>
      </c>
      <c r="U1756">
        <v>0.21285169931391135</v>
      </c>
      <c r="V1756">
        <v>0.24760883239228543</v>
      </c>
      <c r="W1756">
        <v>9.6637530856176074E-2</v>
      </c>
      <c r="X1756">
        <v>1.5872866448451182E-2</v>
      </c>
      <c r="Y1756">
        <v>4.5900300777958541E-3</v>
      </c>
    </row>
    <row r="1757" spans="1:25">
      <c r="A1757" s="1010"/>
      <c r="B1757" s="1351">
        <v>1507</v>
      </c>
      <c r="C1757" s="1014">
        <v>1.0231591151617936</v>
      </c>
      <c r="D1757" s="1014">
        <v>1.0006342960009571</v>
      </c>
      <c r="E1757" s="1014">
        <v>0.98672066961197358</v>
      </c>
      <c r="F1757" s="1014">
        <v>1.0015540381483223</v>
      </c>
      <c r="G1757" s="1014">
        <v>0.98572726713396974</v>
      </c>
      <c r="H1757" s="1014">
        <v>1.0081884875211835</v>
      </c>
      <c r="I1757" s="1014">
        <v>1.0129295968434662</v>
      </c>
      <c r="K1757">
        <v>2.3946144390543704</v>
      </c>
      <c r="L1757">
        <v>0</v>
      </c>
      <c r="M1757">
        <v>1.6627077306957904E-3</v>
      </c>
      <c r="N1757">
        <v>0.14538290785043351</v>
      </c>
      <c r="O1757">
        <v>2.049912398125972E-2</v>
      </c>
      <c r="P1757">
        <v>2.8087053279511248E-2</v>
      </c>
      <c r="Q1757">
        <v>5.2928195493464484E-3</v>
      </c>
      <c r="R1757">
        <v>1.6409386343990584E-3</v>
      </c>
      <c r="S1757">
        <v>0.2565351749033507</v>
      </c>
      <c r="T1757">
        <v>1.3734829115718352</v>
      </c>
      <c r="U1757">
        <v>0.20713106857012814</v>
      </c>
      <c r="V1757">
        <v>0.24172877004744184</v>
      </c>
      <c r="W1757">
        <v>9.626745731589624E-2</v>
      </c>
      <c r="X1757">
        <v>1.5762827053908298E-2</v>
      </c>
      <c r="Y1757">
        <v>4.4660940275587854E-3</v>
      </c>
    </row>
    <row r="1758" spans="1:25">
      <c r="A1758" s="1010"/>
      <c r="B1758" s="1351">
        <v>1508</v>
      </c>
      <c r="C1758" s="1014">
        <v>0.97401648683279418</v>
      </c>
      <c r="D1758" s="1014">
        <v>0.96521751949325862</v>
      </c>
      <c r="E1758" s="1014">
        <v>1.0076854983955847</v>
      </c>
      <c r="F1758" s="1014">
        <v>1.0076446762183213</v>
      </c>
      <c r="G1758" s="1014">
        <v>1.0065195075061055</v>
      </c>
      <c r="H1758" s="1014">
        <v>0.97830272507287286</v>
      </c>
      <c r="I1758" s="1014">
        <v>0.99858175814604311</v>
      </c>
      <c r="K1758">
        <v>2.4461423221808296</v>
      </c>
      <c r="L1758">
        <v>0</v>
      </c>
      <c r="M1758">
        <v>1.6356458095842356E-3</v>
      </c>
      <c r="N1758">
        <v>0.15230852438994874</v>
      </c>
      <c r="O1758">
        <v>2.1719161601180322E-2</v>
      </c>
      <c r="P1758">
        <v>2.9044019274433317E-2</v>
      </c>
      <c r="Q1758">
        <v>5.7274481749232924E-3</v>
      </c>
      <c r="R1758">
        <v>1.6135768316472359E-3</v>
      </c>
      <c r="S1758">
        <v>0.2680654295350216</v>
      </c>
      <c r="T1758">
        <v>1.382291956246809</v>
      </c>
      <c r="U1758">
        <v>0.21765511606257157</v>
      </c>
      <c r="V1758">
        <v>0.24828145703728219</v>
      </c>
      <c r="W1758">
        <v>9.9601724440373421E-2</v>
      </c>
      <c r="X1758">
        <v>1.7077930175937017E-2</v>
      </c>
      <c r="Y1758">
        <v>4.3916242202841783E-3</v>
      </c>
    </row>
    <row r="1759" spans="1:25">
      <c r="A1759" s="1010"/>
      <c r="B1759" s="1351">
        <v>1509</v>
      </c>
      <c r="C1759" s="1014">
        <v>1.0196104226159701</v>
      </c>
      <c r="D1759" s="1014">
        <v>1.0252992922236517</v>
      </c>
      <c r="E1759" s="1014">
        <v>0.98891268350684736</v>
      </c>
      <c r="F1759" s="1014">
        <v>1.0067732306136914</v>
      </c>
      <c r="G1759" s="1014">
        <v>1.0083893433592144</v>
      </c>
      <c r="H1759" s="1014">
        <v>1.0236956807884459</v>
      </c>
      <c r="I1759" s="1014">
        <v>1.0208180493951355</v>
      </c>
      <c r="K1759">
        <v>2.4117825565621334</v>
      </c>
      <c r="L1759">
        <v>0</v>
      </c>
      <c r="M1759">
        <v>1.6774765970073112E-3</v>
      </c>
      <c r="N1759">
        <v>0.147679387841719</v>
      </c>
      <c r="O1759">
        <v>2.0461982708819128E-2</v>
      </c>
      <c r="P1759">
        <v>2.8310852302663805E-2</v>
      </c>
      <c r="Q1759">
        <v>5.2949625639849415E-3</v>
      </c>
      <c r="R1759">
        <v>1.6558468311903664E-3</v>
      </c>
      <c r="S1759">
        <v>0.25763396182978093</v>
      </c>
      <c r="T1759">
        <v>1.3806878722247249</v>
      </c>
      <c r="U1759">
        <v>0.20785931021221277</v>
      </c>
      <c r="V1759">
        <v>0.24580435794011474</v>
      </c>
      <c r="W1759">
        <v>9.7659557840221331E-2</v>
      </c>
      <c r="X1759">
        <v>1.5905271638967017E-2</v>
      </c>
      <c r="Y1759">
        <v>4.5066692247389753E-3</v>
      </c>
    </row>
    <row r="1760" spans="1:25">
      <c r="A1760" s="1010"/>
      <c r="B1760" s="1351">
        <v>1510</v>
      </c>
      <c r="C1760" s="1014">
        <v>0.99161650656687295</v>
      </c>
      <c r="D1760" s="1014">
        <v>0.98830178683376113</v>
      </c>
      <c r="E1760" s="1014">
        <v>0.99088226950917913</v>
      </c>
      <c r="F1760" s="1014">
        <v>0.99284858255838193</v>
      </c>
      <c r="G1760" s="1014">
        <v>0.99443412262578446</v>
      </c>
      <c r="H1760" s="1014">
        <v>1.0169375022238403</v>
      </c>
      <c r="I1760" s="1014">
        <v>0.98319827121702685</v>
      </c>
      <c r="K1760">
        <v>2.4084165416296131</v>
      </c>
      <c r="L1760">
        <v>0</v>
      </c>
      <c r="M1760">
        <v>1.7203241939404107E-3</v>
      </c>
      <c r="N1760">
        <v>0.15234289890177755</v>
      </c>
      <c r="O1760">
        <v>2.1211759093713128E-2</v>
      </c>
      <c r="P1760">
        <v>2.8187812430280783E-2</v>
      </c>
      <c r="Q1760">
        <v>5.4999216774530299E-3</v>
      </c>
      <c r="R1760">
        <v>1.6979945266514004E-3</v>
      </c>
      <c r="S1760">
        <v>0.25930021119433144</v>
      </c>
      <c r="T1760">
        <v>1.3616338298521142</v>
      </c>
      <c r="U1760">
        <v>0.21373407908942404</v>
      </c>
      <c r="V1760">
        <v>0.24514063037870196</v>
      </c>
      <c r="W1760">
        <v>0.10062470476739775</v>
      </c>
      <c r="X1760">
        <v>1.6141642553908861E-2</v>
      </c>
      <c r="Y1760">
        <v>4.6213813577998357E-3</v>
      </c>
    </row>
    <row r="1761" spans="1:25">
      <c r="A1761" s="1010"/>
      <c r="B1761" s="1351">
        <v>1511</v>
      </c>
      <c r="C1761" s="1014">
        <v>1.0127025408013455</v>
      </c>
      <c r="D1761" s="1014">
        <v>0.97989050521900478</v>
      </c>
      <c r="E1761" s="1014">
        <v>0.97163777710610089</v>
      </c>
      <c r="F1761" s="1014">
        <v>1.0033839344024114</v>
      </c>
      <c r="G1761" s="1014">
        <v>0.99061879267170849</v>
      </c>
      <c r="H1761" s="1014">
        <v>0.97795001830144301</v>
      </c>
      <c r="I1761" s="1014">
        <v>0.99811988833481924</v>
      </c>
      <c r="K1761">
        <v>2.392550062853902</v>
      </c>
      <c r="L1761">
        <v>0</v>
      </c>
      <c r="M1761">
        <v>1.6888718506546663E-3</v>
      </c>
      <c r="N1761">
        <v>0.1410247751254729</v>
      </c>
      <c r="O1761">
        <v>2.0796559964632172E-2</v>
      </c>
      <c r="P1761">
        <v>2.7829650973691989E-2</v>
      </c>
      <c r="Q1761">
        <v>5.2878896988707508E-3</v>
      </c>
      <c r="R1761">
        <v>1.6660765010939188E-3</v>
      </c>
      <c r="S1761">
        <v>0.25542378730087023</v>
      </c>
      <c r="T1761">
        <v>1.375666430201961</v>
      </c>
      <c r="U1761">
        <v>0.20921904344478331</v>
      </c>
      <c r="V1761">
        <v>0.24324865519433803</v>
      </c>
      <c r="W1761">
        <v>9.4236568699501533E-2</v>
      </c>
      <c r="X1761">
        <v>1.5304986585327817E-2</v>
      </c>
      <c r="Y1761">
        <v>4.5345110140066697E-3</v>
      </c>
    </row>
    <row r="1762" spans="1:25">
      <c r="A1762" s="1010"/>
      <c r="B1762" s="1351">
        <v>1512</v>
      </c>
      <c r="C1762" s="1014">
        <v>1.0383362343755096</v>
      </c>
      <c r="D1762" s="1014">
        <v>0.98933585682697744</v>
      </c>
      <c r="E1762" s="1014">
        <v>1.0100470507869053</v>
      </c>
      <c r="F1762" s="1014">
        <v>1.0065288495092852</v>
      </c>
      <c r="G1762" s="1014">
        <v>1.0037537629664277</v>
      </c>
      <c r="H1762" s="1014">
        <v>0.98724324137353647</v>
      </c>
      <c r="I1762" s="1014">
        <v>1.0142949027234214</v>
      </c>
      <c r="K1762">
        <v>2.3943171441592757</v>
      </c>
      <c r="L1762">
        <v>0</v>
      </c>
      <c r="M1762">
        <v>1.5324278973840079E-3</v>
      </c>
      <c r="N1762">
        <v>0.14373593316033975</v>
      </c>
      <c r="O1762">
        <v>2.0264959687273789E-2</v>
      </c>
      <c r="P1762">
        <v>2.8621026862436939E-2</v>
      </c>
      <c r="Q1762">
        <v>5.3566064049972387E-3</v>
      </c>
      <c r="R1762">
        <v>1.5119388343414577E-3</v>
      </c>
      <c r="S1762">
        <v>0.25301220257576224</v>
      </c>
      <c r="T1762">
        <v>1.380812760291406</v>
      </c>
      <c r="U1762">
        <v>0.2041802528842889</v>
      </c>
      <c r="V1762">
        <v>0.24383215496173771</v>
      </c>
      <c r="W1762">
        <v>9.3864783328632587E-2</v>
      </c>
      <c r="X1762">
        <v>1.6541953968867623E-2</v>
      </c>
      <c r="Y1762">
        <v>4.1149990965746574E-3</v>
      </c>
    </row>
    <row r="1763" spans="1:25">
      <c r="A1763" s="1010"/>
      <c r="B1763" s="1351">
        <v>1513</v>
      </c>
      <c r="C1763" s="1014">
        <v>0.9825214586434563</v>
      </c>
      <c r="D1763" s="1014">
        <v>0.99511233505092134</v>
      </c>
      <c r="E1763" s="1014">
        <v>1.0203972117041622</v>
      </c>
      <c r="F1763" s="1014">
        <v>1.0060481956983298</v>
      </c>
      <c r="G1763" s="1014">
        <v>1.0051963459040958</v>
      </c>
      <c r="H1763" s="1014">
        <v>1.0033589156232734</v>
      </c>
      <c r="I1763" s="1014">
        <v>0.99953302713222347</v>
      </c>
      <c r="K1763">
        <v>2.4427268847264747</v>
      </c>
      <c r="L1763">
        <v>0</v>
      </c>
      <c r="M1763">
        <v>1.6088148668640604E-3</v>
      </c>
      <c r="N1763">
        <v>0.15572241974385975</v>
      </c>
      <c r="O1763">
        <v>2.1395768535628967E-2</v>
      </c>
      <c r="P1763">
        <v>2.9200155163890674E-2</v>
      </c>
      <c r="Q1763">
        <v>5.7141595495084222E-3</v>
      </c>
      <c r="R1763">
        <v>1.5876499788359294E-3</v>
      </c>
      <c r="S1763">
        <v>0.26420648635938482</v>
      </c>
      <c r="T1763">
        <v>1.3803792603794085</v>
      </c>
      <c r="U1763">
        <v>0.21581535447138953</v>
      </c>
      <c r="V1763">
        <v>0.24745600377640212</v>
      </c>
      <c r="W1763">
        <v>0.10107616053705247</v>
      </c>
      <c r="X1763">
        <v>1.7461221224259534E-2</v>
      </c>
      <c r="Y1763">
        <v>4.3210598737165361E-3</v>
      </c>
    </row>
    <row r="1764" spans="1:25">
      <c r="A1764" s="1010"/>
      <c r="B1764" s="1351">
        <v>1514</v>
      </c>
      <c r="C1764" s="1014">
        <v>0.96497660187559142</v>
      </c>
      <c r="D1764" s="1014">
        <v>1.0001756193856179</v>
      </c>
      <c r="E1764" s="1014">
        <v>0.99765540599671554</v>
      </c>
      <c r="F1764" s="1014">
        <v>0.95783832971552318</v>
      </c>
      <c r="G1764" s="1014">
        <v>0.98741697283257368</v>
      </c>
      <c r="H1764" s="1014">
        <v>0.98459670836913693</v>
      </c>
      <c r="I1764" s="1014">
        <v>1.003437488378895</v>
      </c>
      <c r="K1764">
        <v>2.3749003092963323</v>
      </c>
      <c r="L1764">
        <v>0</v>
      </c>
      <c r="M1764">
        <v>1.6833100261071867E-3</v>
      </c>
      <c r="N1764">
        <v>0.15208246685525684</v>
      </c>
      <c r="O1764">
        <v>2.1744806148366401E-2</v>
      </c>
      <c r="P1764">
        <v>2.7878797425624879E-2</v>
      </c>
      <c r="Q1764">
        <v>5.6767730677404872E-3</v>
      </c>
      <c r="R1764">
        <v>1.6607431237896776E-3</v>
      </c>
      <c r="S1764">
        <v>0.26752215523447226</v>
      </c>
      <c r="T1764">
        <v>1.3137594651106175</v>
      </c>
      <c r="U1764">
        <v>0.21965856129001302</v>
      </c>
      <c r="V1764">
        <v>0.24565503871940264</v>
      </c>
      <c r="W1764">
        <v>0.10004728987493987</v>
      </c>
      <c r="X1764">
        <v>1.6377527153081373E-2</v>
      </c>
      <c r="Y1764">
        <v>4.5199953191318787E-3</v>
      </c>
    </row>
    <row r="1765" spans="1:25">
      <c r="A1765" s="1010"/>
      <c r="B1765" s="1351">
        <v>1515</v>
      </c>
      <c r="C1765" s="1014">
        <v>1.0104521724387669</v>
      </c>
      <c r="D1765" s="1014">
        <v>1.0014946953351571</v>
      </c>
      <c r="E1765" s="1014">
        <v>0.97268307453078773</v>
      </c>
      <c r="F1765" s="1014">
        <v>1.0189376209293257</v>
      </c>
      <c r="G1765" s="1014">
        <v>1.0246447357323127</v>
      </c>
      <c r="H1765" s="1014">
        <v>0.99702640086145777</v>
      </c>
      <c r="I1765" s="1014">
        <v>1.0448127973253127</v>
      </c>
      <c r="K1765">
        <v>2.4365920338990663</v>
      </c>
      <c r="L1765">
        <v>0</v>
      </c>
      <c r="M1765">
        <v>1.713687646614511E-3</v>
      </c>
      <c r="N1765">
        <v>0.14358808475879201</v>
      </c>
      <c r="O1765">
        <v>2.0743799308725941E-2</v>
      </c>
      <c r="P1765">
        <v>2.837408658245617E-2</v>
      </c>
      <c r="Q1765">
        <v>5.2801057080585538E-3</v>
      </c>
      <c r="R1765">
        <v>1.6909999071625967E-3</v>
      </c>
      <c r="S1765">
        <v>0.26672325002495595</v>
      </c>
      <c r="T1765">
        <v>1.3970138565161645</v>
      </c>
      <c r="U1765">
        <v>0.20968851330684862</v>
      </c>
      <c r="V1765">
        <v>0.24919713311119066</v>
      </c>
      <c r="W1765">
        <v>9.5888522191028724E-2</v>
      </c>
      <c r="X1765">
        <v>1.5515025820970769E-2</v>
      </c>
      <c r="Y1765">
        <v>4.6023443093270062E-3</v>
      </c>
    </row>
    <row r="1766" spans="1:25">
      <c r="A1766" s="1010"/>
      <c r="B1766" s="1351">
        <v>1516</v>
      </c>
      <c r="C1766" s="1014">
        <v>0.98420505334904484</v>
      </c>
      <c r="D1766" s="1014">
        <v>0.98482658176154858</v>
      </c>
      <c r="E1766" s="1014">
        <v>0.99667873151930197</v>
      </c>
      <c r="F1766" s="1014">
        <v>1.0120779749932818</v>
      </c>
      <c r="G1766" s="1014">
        <v>1.0048589764137417</v>
      </c>
      <c r="H1766" s="1014">
        <v>0.98683771803520515</v>
      </c>
      <c r="I1766" s="1014">
        <v>0.98852663245150929</v>
      </c>
      <c r="K1766">
        <v>2.4366134570792357</v>
      </c>
      <c r="L1766">
        <v>0</v>
      </c>
      <c r="M1766">
        <v>1.6631819114480595E-3</v>
      </c>
      <c r="N1766">
        <v>0.1498257408876125</v>
      </c>
      <c r="O1766">
        <v>2.1391978502906531E-2</v>
      </c>
      <c r="P1766">
        <v>2.8741527036263141E-2</v>
      </c>
      <c r="Q1766">
        <v>5.5791741276458211E-3</v>
      </c>
      <c r="R1766">
        <v>1.6409354863837773E-3</v>
      </c>
      <c r="S1766">
        <v>0.26060075438667529</v>
      </c>
      <c r="T1766">
        <v>1.3881325397010513</v>
      </c>
      <c r="U1766">
        <v>0.21536369307452008</v>
      </c>
      <c r="V1766">
        <v>0.2473741572463628</v>
      </c>
      <c r="W1766">
        <v>9.8620063770773952E-2</v>
      </c>
      <c r="X1766">
        <v>1.6539989310786048E-2</v>
      </c>
      <c r="Y1766">
        <v>4.466085459698935E-3</v>
      </c>
    </row>
    <row r="1767" spans="1:25">
      <c r="A1767" s="1010"/>
      <c r="B1767" s="1351">
        <v>1517</v>
      </c>
      <c r="C1767" s="1014">
        <v>1.0039811276229886</v>
      </c>
      <c r="D1767" s="1014">
        <v>0.99318686627585351</v>
      </c>
      <c r="E1767" s="1014">
        <v>1.0002306317708989</v>
      </c>
      <c r="F1767" s="1014">
        <v>1.0108434372161814</v>
      </c>
      <c r="G1767" s="1014">
        <v>0.98648970799055202</v>
      </c>
      <c r="H1767" s="1014">
        <v>0.98713176843262729</v>
      </c>
      <c r="I1767" s="1014">
        <v>1.0225952932845772</v>
      </c>
      <c r="K1767">
        <v>2.423560029983387</v>
      </c>
      <c r="L1767">
        <v>0</v>
      </c>
      <c r="M1767">
        <v>1.6159299182979389E-3</v>
      </c>
      <c r="N1767">
        <v>0.14714039716482405</v>
      </c>
      <c r="O1767">
        <v>2.0933994448507649E-2</v>
      </c>
      <c r="P1767">
        <v>2.8713563667283223E-2</v>
      </c>
      <c r="Q1767">
        <v>5.4792731927850395E-3</v>
      </c>
      <c r="R1767">
        <v>1.5943219660525516E-3</v>
      </c>
      <c r="S1767">
        <v>0.26320475027797097</v>
      </c>
      <c r="T1767">
        <v>1.3865169189536719</v>
      </c>
      <c r="U1767">
        <v>0.21113362340981437</v>
      </c>
      <c r="V1767">
        <v>0.24297572473178636</v>
      </c>
      <c r="W1767">
        <v>9.6647990748697774E-2</v>
      </c>
      <c r="X1767">
        <v>1.6496182516787413E-2</v>
      </c>
      <c r="Y1767">
        <v>4.3392188235001844E-3</v>
      </c>
    </row>
    <row r="1768" spans="1:25">
      <c r="A1768" s="1010"/>
      <c r="B1768" s="1351">
        <v>1518</v>
      </c>
      <c r="C1768" s="1014">
        <v>0.96951935494980845</v>
      </c>
      <c r="D1768" s="1014">
        <v>0.98691536844048333</v>
      </c>
      <c r="E1768" s="1014">
        <v>0.98696384447239216</v>
      </c>
      <c r="F1768" s="1014">
        <v>0.9719107485125964</v>
      </c>
      <c r="G1768" s="1014">
        <v>0.99928216150003057</v>
      </c>
      <c r="H1768" s="1014">
        <v>0.99715282712617304</v>
      </c>
      <c r="I1768" s="1014">
        <v>1.0349853125383235</v>
      </c>
      <c r="K1768">
        <v>2.405504687622233</v>
      </c>
      <c r="L1768">
        <v>0</v>
      </c>
      <c r="M1768">
        <v>1.7398947979173753E-3</v>
      </c>
      <c r="N1768">
        <v>0.15222151313311955</v>
      </c>
      <c r="O1768">
        <v>2.1699230565066629E-2</v>
      </c>
      <c r="P1768">
        <v>2.8058558989969614E-2</v>
      </c>
      <c r="Q1768">
        <v>5.6040635778800583E-3</v>
      </c>
      <c r="R1768">
        <v>1.716863018998107E-3</v>
      </c>
      <c r="S1768">
        <v>0.27753998949892811</v>
      </c>
      <c r="T1768">
        <v>1.3328366315681153</v>
      </c>
      <c r="U1768">
        <v>0.21859168591608188</v>
      </c>
      <c r="V1768">
        <v>0.24741669503194541</v>
      </c>
      <c r="W1768">
        <v>0.10078102240039383</v>
      </c>
      <c r="X1768">
        <v>1.6105593545681002E-2</v>
      </c>
      <c r="Y1768">
        <v>4.6727351739707414E-3</v>
      </c>
    </row>
    <row r="1769" spans="1:25">
      <c r="A1769" s="1010"/>
      <c r="B1769" s="1351">
        <v>1519</v>
      </c>
      <c r="C1769" s="1014">
        <v>0.97537636781383363</v>
      </c>
      <c r="D1769" s="1014">
        <v>0.96320859484475485</v>
      </c>
      <c r="E1769" s="1014">
        <v>1.039359819385905</v>
      </c>
      <c r="F1769" s="1014">
        <v>1.0130150258431374</v>
      </c>
      <c r="G1769" s="1014">
        <v>1.0190249398710047</v>
      </c>
      <c r="H1769" s="1014">
        <v>1.0132388224843729</v>
      </c>
      <c r="I1769" s="1014">
        <v>1.0166689942508571</v>
      </c>
      <c r="K1769">
        <v>2.4812609711896472</v>
      </c>
      <c r="L1769">
        <v>0</v>
      </c>
      <c r="M1769">
        <v>1.5844716414169602E-3</v>
      </c>
      <c r="N1769">
        <v>0.16240982488611905</v>
      </c>
      <c r="O1769">
        <v>2.1720632355924585E-2</v>
      </c>
      <c r="P1769">
        <v>2.9975730579598146E-2</v>
      </c>
      <c r="Q1769">
        <v>5.9107118279615274E-3</v>
      </c>
      <c r="R1769">
        <v>1.5638302548378359E-3</v>
      </c>
      <c r="S1769">
        <v>0.27623009923611141</v>
      </c>
      <c r="T1769">
        <v>1.3903561907591251</v>
      </c>
      <c r="U1769">
        <v>0.21746305746653805</v>
      </c>
      <c r="V1769">
        <v>0.25021448832071891</v>
      </c>
      <c r="W1769">
        <v>0.10426269729611631</v>
      </c>
      <c r="X1769">
        <v>1.8481949410847034E-2</v>
      </c>
      <c r="Y1769">
        <v>4.2562304371636297E-3</v>
      </c>
    </row>
    <row r="1770" spans="1:25">
      <c r="A1770" s="1010"/>
      <c r="B1770" s="1351">
        <v>1520</v>
      </c>
      <c r="C1770" s="1014">
        <v>0.97159415483456679</v>
      </c>
      <c r="D1770" s="1014">
        <v>1.0405792201019983</v>
      </c>
      <c r="E1770" s="1014">
        <v>0.96961109091412723</v>
      </c>
      <c r="F1770" s="1014">
        <v>1.0091808226874124</v>
      </c>
      <c r="G1770" s="1014">
        <v>0.98584083998026806</v>
      </c>
      <c r="H1770" s="1014">
        <v>1.0417013388012746</v>
      </c>
      <c r="I1770" s="1014">
        <v>1.0035951877975886</v>
      </c>
      <c r="K1770">
        <v>2.4450543044476905</v>
      </c>
      <c r="L1770">
        <v>0</v>
      </c>
      <c r="M1770">
        <v>1.8582154816269628E-3</v>
      </c>
      <c r="N1770">
        <v>0.15434527173662785</v>
      </c>
      <c r="O1770">
        <v>2.1390419811939409E-2</v>
      </c>
      <c r="P1770">
        <v>2.8165229018955417E-2</v>
      </c>
      <c r="Q1770">
        <v>5.4276382732801149E-3</v>
      </c>
      <c r="R1770">
        <v>1.8346693769638672E-3</v>
      </c>
      <c r="S1770">
        <v>0.26527380835210712</v>
      </c>
      <c r="T1770">
        <v>1.3835701550620136</v>
      </c>
      <c r="U1770">
        <v>0.21806405610174076</v>
      </c>
      <c r="V1770">
        <v>0.2450449411637195</v>
      </c>
      <c r="W1770">
        <v>0.10326492136739299</v>
      </c>
      <c r="X1770">
        <v>1.5538044419073374E-2</v>
      </c>
      <c r="Y1770">
        <v>4.9933652454980729E-3</v>
      </c>
    </row>
    <row r="1771" spans="1:25">
      <c r="A1771" s="1010"/>
      <c r="B1771" s="1351">
        <v>1521</v>
      </c>
      <c r="C1771" s="1014">
        <v>1.0294248037077152</v>
      </c>
      <c r="D1771" s="1014">
        <v>0.9620678384070962</v>
      </c>
      <c r="E1771" s="1014">
        <v>0.97952091380559192</v>
      </c>
      <c r="F1771" s="1014">
        <v>1.0013464033955732</v>
      </c>
      <c r="G1771" s="1014">
        <v>0.97567989714789216</v>
      </c>
      <c r="H1771" s="1014">
        <v>1.0405734040975425</v>
      </c>
      <c r="I1771" s="1014">
        <v>0.98817618502301408</v>
      </c>
      <c r="K1771">
        <v>2.3976054000137879</v>
      </c>
      <c r="L1771">
        <v>0</v>
      </c>
      <c r="M1771">
        <v>1.7463029110993025E-3</v>
      </c>
      <c r="N1771">
        <v>0.14946440556883411</v>
      </c>
      <c r="O1771">
        <v>2.054662574959101E-2</v>
      </c>
      <c r="P1771">
        <v>2.7880564223481442E-2</v>
      </c>
      <c r="Q1771">
        <v>5.2664712431460623E-3</v>
      </c>
      <c r="R1771">
        <v>1.7241509043652036E-3</v>
      </c>
      <c r="S1771">
        <v>0.25631196976894188</v>
      </c>
      <c r="T1771">
        <v>1.3730427841751034</v>
      </c>
      <c r="U1771">
        <v>0.20584650393738754</v>
      </c>
      <c r="V1771">
        <v>0.23966684582309547</v>
      </c>
      <c r="W1771">
        <v>9.9400212475436053E-2</v>
      </c>
      <c r="X1771">
        <v>1.5508598660013952E-2</v>
      </c>
      <c r="Y1771">
        <v>4.6925703954892126E-3</v>
      </c>
    </row>
    <row r="1772" spans="1:25">
      <c r="A1772" s="1010"/>
      <c r="B1772" s="1351">
        <v>1522</v>
      </c>
      <c r="C1772" s="1014">
        <v>1.023538935710669</v>
      </c>
      <c r="D1772" s="1014">
        <v>0.98713658925234116</v>
      </c>
      <c r="E1772" s="1014">
        <v>1.024626341785756</v>
      </c>
      <c r="F1772" s="1014">
        <v>1.0292819481106934</v>
      </c>
      <c r="G1772" s="1014">
        <v>0.9925946709571658</v>
      </c>
      <c r="H1772" s="1014">
        <v>0.97500226766342901</v>
      </c>
      <c r="I1772" s="1014">
        <v>0.99804922435229593</v>
      </c>
      <c r="K1772">
        <v>2.431587051734998</v>
      </c>
      <c r="L1772">
        <v>0</v>
      </c>
      <c r="M1772">
        <v>1.490180771673875E-3</v>
      </c>
      <c r="N1772">
        <v>0.14603450511198246</v>
      </c>
      <c r="O1772">
        <v>2.0577503300955882E-2</v>
      </c>
      <c r="P1772">
        <v>2.9378879968331047E-2</v>
      </c>
      <c r="Q1772">
        <v>5.5187479870024694E-3</v>
      </c>
      <c r="R1772">
        <v>1.4700064218210792E-3</v>
      </c>
      <c r="S1772">
        <v>0.25193996113060269</v>
      </c>
      <c r="T1772">
        <v>1.4123524053740595</v>
      </c>
      <c r="U1772">
        <v>0.20718090456788718</v>
      </c>
      <c r="V1772">
        <v>0.24274477487536777</v>
      </c>
      <c r="W1772">
        <v>9.4554158808647801E-2</v>
      </c>
      <c r="X1772">
        <v>1.732451206730597E-2</v>
      </c>
      <c r="Y1772">
        <v>4.0008728927102607E-3</v>
      </c>
    </row>
    <row r="1773" spans="1:25">
      <c r="A1773" s="1010"/>
      <c r="B1773" s="1351">
        <v>1523</v>
      </c>
      <c r="C1773" s="1014">
        <v>1.0120214876859961</v>
      </c>
      <c r="D1773" s="1014">
        <v>1.0250067064856017</v>
      </c>
      <c r="E1773" s="1014">
        <v>1.0025243255288436</v>
      </c>
      <c r="F1773" s="1014">
        <v>0.98889435518969704</v>
      </c>
      <c r="G1773" s="1014">
        <v>1.0058250165521763</v>
      </c>
      <c r="H1773" s="1014">
        <v>1.0253703045603197</v>
      </c>
      <c r="I1773" s="1014">
        <v>0.96242491469695934</v>
      </c>
      <c r="K1773">
        <v>2.3815667508292426</v>
      </c>
      <c r="L1773">
        <v>0</v>
      </c>
      <c r="M1773">
        <v>1.6458268527030538E-3</v>
      </c>
      <c r="N1773">
        <v>0.15098097970947078</v>
      </c>
      <c r="O1773">
        <v>2.0625589326461382E-2</v>
      </c>
      <c r="P1773">
        <v>2.8118108192243512E-2</v>
      </c>
      <c r="Q1773">
        <v>5.4110027064688858E-3</v>
      </c>
      <c r="R1773">
        <v>1.6246398449057441E-3</v>
      </c>
      <c r="S1773">
        <v>0.24499281836863726</v>
      </c>
      <c r="T1773">
        <v>1.3564596726351779</v>
      </c>
      <c r="U1773">
        <v>0.20946394711964725</v>
      </c>
      <c r="V1773">
        <v>0.24577557151587884</v>
      </c>
      <c r="W1773">
        <v>9.9035691445159738E-2</v>
      </c>
      <c r="X1773">
        <v>1.6302822722440262E-2</v>
      </c>
      <c r="Y1773">
        <v>4.4217340954524993E-3</v>
      </c>
    </row>
    <row r="1774" spans="1:25">
      <c r="A1774" s="1010"/>
      <c r="B1774" s="1351">
        <v>1524</v>
      </c>
      <c r="C1774" s="1014">
        <v>0.97594063581415913</v>
      </c>
      <c r="D1774" s="1014">
        <v>1.0016834486278414</v>
      </c>
      <c r="E1774" s="1014">
        <v>0.99474772242809728</v>
      </c>
      <c r="F1774" s="1014">
        <v>0.99448066905638643</v>
      </c>
      <c r="G1774" s="1014">
        <v>0.97043944996415121</v>
      </c>
      <c r="H1774" s="1014">
        <v>0.96249370494984943</v>
      </c>
      <c r="I1774" s="1014">
        <v>1.0160363184269972</v>
      </c>
      <c r="K1774">
        <v>2.4080855915425015</v>
      </c>
      <c r="L1774">
        <v>0</v>
      </c>
      <c r="M1774">
        <v>1.6363302001719245E-3</v>
      </c>
      <c r="N1774">
        <v>0.14649884934463195</v>
      </c>
      <c r="O1774">
        <v>2.1491418106165214E-2</v>
      </c>
      <c r="P1774">
        <v>2.8392319223314796E-2</v>
      </c>
      <c r="Q1774">
        <v>5.5942138254802837E-3</v>
      </c>
      <c r="R1774">
        <v>1.6138893520504436E-3</v>
      </c>
      <c r="S1774">
        <v>0.26565439706154609</v>
      </c>
      <c r="T1774">
        <v>1.3639551614328165</v>
      </c>
      <c r="U1774">
        <v>0.21718066762546612</v>
      </c>
      <c r="V1774">
        <v>0.24203918745747288</v>
      </c>
      <c r="W1774">
        <v>9.6541308954333327E-2</v>
      </c>
      <c r="X1774">
        <v>1.6368034561593376E-2</v>
      </c>
      <c r="Y1774">
        <v>4.3924747977993886E-3</v>
      </c>
    </row>
    <row r="1775" spans="1:25">
      <c r="A1775" s="1010"/>
      <c r="B1775" s="1351">
        <v>1525</v>
      </c>
      <c r="C1775" s="1014">
        <v>0.98892537580378292</v>
      </c>
      <c r="D1775" s="1014">
        <v>0.98663322439605095</v>
      </c>
      <c r="E1775" s="1014">
        <v>0.98910170998573743</v>
      </c>
      <c r="F1775" s="1014">
        <v>0.99001071404846763</v>
      </c>
      <c r="G1775" s="1014">
        <v>1.0343842510970807</v>
      </c>
      <c r="H1775" s="1014">
        <v>0.96130664752176975</v>
      </c>
      <c r="I1775" s="1014">
        <v>0.98693644090420785</v>
      </c>
      <c r="K1775">
        <v>2.3953746895527881</v>
      </c>
      <c r="L1775">
        <v>0</v>
      </c>
      <c r="M1775">
        <v>1.6372732965916573E-3</v>
      </c>
      <c r="N1775">
        <v>0.14410016424728475</v>
      </c>
      <c r="O1775">
        <v>2.127619362084179E-2</v>
      </c>
      <c r="P1775">
        <v>2.8161049729634579E-2</v>
      </c>
      <c r="Q1775">
        <v>5.5067091295304084E-3</v>
      </c>
      <c r="R1775">
        <v>1.6147917879512739E-3</v>
      </c>
      <c r="S1775">
        <v>0.2564655796944606</v>
      </c>
      <c r="T1775">
        <v>1.3577038109951292</v>
      </c>
      <c r="U1775">
        <v>0.21430956199911327</v>
      </c>
      <c r="V1775">
        <v>0.25214263036888696</v>
      </c>
      <c r="W1775">
        <v>9.5281838534534147E-2</v>
      </c>
      <c r="X1775">
        <v>1.6054701811174885E-2</v>
      </c>
      <c r="Y1775">
        <v>4.3949309308335327E-3</v>
      </c>
    </row>
    <row r="1776" spans="1:25">
      <c r="A1776" s="1010"/>
      <c r="B1776" s="1351">
        <v>1526</v>
      </c>
      <c r="C1776" s="1014">
        <v>1.0273618368599551</v>
      </c>
      <c r="D1776" s="1014">
        <v>0.99141436744188305</v>
      </c>
      <c r="E1776" s="1014">
        <v>0.98344006661380967</v>
      </c>
      <c r="F1776" s="1014">
        <v>0.99781925824473849</v>
      </c>
      <c r="G1776" s="1014">
        <v>1.027004837481603</v>
      </c>
      <c r="H1776" s="1014">
        <v>0.99589171808601085</v>
      </c>
      <c r="I1776" s="1014">
        <v>1.0146923290845689</v>
      </c>
      <c r="K1776">
        <v>2.3905519879730424</v>
      </c>
      <c r="L1776">
        <v>0</v>
      </c>
      <c r="M1776">
        <v>1.6502089751400438E-3</v>
      </c>
      <c r="N1776">
        <v>0.14284203946144092</v>
      </c>
      <c r="O1776">
        <v>2.0454766075246121E-2</v>
      </c>
      <c r="P1776">
        <v>2.8021357647588698E-2</v>
      </c>
      <c r="Q1776">
        <v>5.2638351140380357E-3</v>
      </c>
      <c r="R1776">
        <v>1.628336746230846E-3</v>
      </c>
      <c r="S1776">
        <v>0.25605782845200076</v>
      </c>
      <c r="T1776">
        <v>1.3682906319727717</v>
      </c>
      <c r="U1776">
        <v>0.20627284962966022</v>
      </c>
      <c r="V1776">
        <v>0.24854346884938039</v>
      </c>
      <c r="W1776">
        <v>9.477177899034793E-2</v>
      </c>
      <c r="X1776">
        <v>1.5623508167300728E-2</v>
      </c>
      <c r="Y1776">
        <v>4.4317958421762312E-3</v>
      </c>
    </row>
    <row r="1777" spans="1:25">
      <c r="A1777" s="1010"/>
      <c r="B1777" s="1351">
        <v>1527</v>
      </c>
      <c r="C1777" s="1014">
        <v>1.0112735128094932</v>
      </c>
      <c r="D1777" s="1014">
        <v>1.02540372461455</v>
      </c>
      <c r="E1777" s="1014">
        <v>0.97925108752000245</v>
      </c>
      <c r="F1777" s="1014">
        <v>0.98588498000790215</v>
      </c>
      <c r="G1777" s="1014">
        <v>1.0055148538159933</v>
      </c>
      <c r="H1777" s="1014">
        <v>1.0221277817262893</v>
      </c>
      <c r="I1777" s="1014">
        <v>0.97284201497076594</v>
      </c>
      <c r="K1777">
        <v>2.3733688661643262</v>
      </c>
      <c r="L1777">
        <v>0</v>
      </c>
      <c r="M1777">
        <v>1.7227755913605414E-3</v>
      </c>
      <c r="N1777">
        <v>0.14729622914814644</v>
      </c>
      <c r="O1777">
        <v>2.0623918676410682E-2</v>
      </c>
      <c r="P1777">
        <v>2.7602037487113675E-2</v>
      </c>
      <c r="Q1777">
        <v>5.2848327519705897E-3</v>
      </c>
      <c r="R1777">
        <v>1.7005276548928982E-3</v>
      </c>
      <c r="S1777">
        <v>0.24733440679116106</v>
      </c>
      <c r="T1777">
        <v>1.3518364039560338</v>
      </c>
      <c r="U1777">
        <v>0.20954032213258128</v>
      </c>
      <c r="V1777">
        <v>0.24585327286205857</v>
      </c>
      <c r="W1777">
        <v>9.7974251726317296E-2</v>
      </c>
      <c r="X1777">
        <v>1.5417162871170427E-2</v>
      </c>
      <c r="Y1777">
        <v>4.6282756978276917E-3</v>
      </c>
    </row>
    <row r="1778" spans="1:25">
      <c r="A1778" s="1010"/>
      <c r="B1778" s="1351">
        <v>1528</v>
      </c>
      <c r="C1778" s="1014">
        <v>0.99726881713485038</v>
      </c>
      <c r="D1778" s="1014">
        <v>1.0149541219069487</v>
      </c>
      <c r="E1778" s="1014">
        <v>0.97570620184017309</v>
      </c>
      <c r="F1778" s="1014">
        <v>0.97000722315451926</v>
      </c>
      <c r="G1778" s="1014">
        <v>1.0227919557161276</v>
      </c>
      <c r="H1778" s="1014">
        <v>0.97236504132707313</v>
      </c>
      <c r="I1778" s="1014">
        <v>0.99951173439214147</v>
      </c>
      <c r="K1778">
        <v>2.3568085208431109</v>
      </c>
      <c r="L1778">
        <v>0</v>
      </c>
      <c r="M1778">
        <v>1.677915298147826E-3</v>
      </c>
      <c r="N1778">
        <v>0.14183490866479762</v>
      </c>
      <c r="O1778">
        <v>2.0958379488288669E-2</v>
      </c>
      <c r="P1778">
        <v>2.7424869903579223E-2</v>
      </c>
      <c r="Q1778">
        <v>5.3511951933724565E-3</v>
      </c>
      <c r="R1778">
        <v>1.6551377530344613E-3</v>
      </c>
      <c r="S1778">
        <v>0.25474203741074919</v>
      </c>
      <c r="T1778">
        <v>1.3299909461524364</v>
      </c>
      <c r="U1778">
        <v>0.21247080100075597</v>
      </c>
      <c r="V1778">
        <v>0.24968495733252183</v>
      </c>
      <c r="W1778">
        <v>9.4544206460393118E-2</v>
      </c>
      <c r="X1778">
        <v>1.5324257433580922E-2</v>
      </c>
      <c r="Y1778">
        <v>4.5047393477461537E-3</v>
      </c>
    </row>
    <row r="1779" spans="1:25">
      <c r="A1779" s="1010"/>
      <c r="B1779" s="1351">
        <v>1529</v>
      </c>
      <c r="C1779" s="1014">
        <v>1.0013065932695688</v>
      </c>
      <c r="D1779" s="1014">
        <v>0.97094099577267534</v>
      </c>
      <c r="E1779" s="1014">
        <v>0.99384405098513529</v>
      </c>
      <c r="F1779" s="1014">
        <v>1.037983522086942</v>
      </c>
      <c r="G1779" s="1014">
        <v>1.0012860761518376</v>
      </c>
      <c r="H1779" s="1014">
        <v>0.97381032696930059</v>
      </c>
      <c r="I1779" s="1014">
        <v>1.0288085130523206</v>
      </c>
      <c r="K1779">
        <v>2.466112268967918</v>
      </c>
      <c r="L1779">
        <v>0</v>
      </c>
      <c r="M1779">
        <v>1.6277788164910263E-3</v>
      </c>
      <c r="N1779">
        <v>0.14535923522328767</v>
      </c>
      <c r="O1779">
        <v>2.1090519675319434E-2</v>
      </c>
      <c r="P1779">
        <v>2.9180929108130447E-2</v>
      </c>
      <c r="Q1779">
        <v>5.4848597812243664E-3</v>
      </c>
      <c r="R1779">
        <v>1.6057146647813453E-3</v>
      </c>
      <c r="S1779">
        <v>0.26733615537191552</v>
      </c>
      <c r="T1779">
        <v>1.4236001508639433</v>
      </c>
      <c r="U1779">
        <v>0.21167577852178582</v>
      </c>
      <c r="V1779">
        <v>0.24569149950615535</v>
      </c>
      <c r="W1779">
        <v>9.5842008972598466E-2</v>
      </c>
      <c r="X1779">
        <v>1.6502970101428007E-2</v>
      </c>
      <c r="Y1779">
        <v>4.3702259938378351E-3</v>
      </c>
    </row>
    <row r="1780" spans="1:25">
      <c r="A1780" s="1010"/>
      <c r="B1780" s="1351">
        <v>1530</v>
      </c>
      <c r="C1780" s="1014">
        <v>1.0158421364818906</v>
      </c>
      <c r="D1780" s="1014">
        <v>0.95677635795602312</v>
      </c>
      <c r="E1780" s="1014">
        <v>1.0239016096343256</v>
      </c>
      <c r="F1780" s="1014">
        <v>1.0304045315066797</v>
      </c>
      <c r="G1780" s="1014">
        <v>0.96570811218360597</v>
      </c>
      <c r="H1780" s="1014">
        <v>1.0008997388070888</v>
      </c>
      <c r="I1780" s="1014">
        <v>0.99849747357164798</v>
      </c>
      <c r="K1780">
        <v>2.4495385066377922</v>
      </c>
      <c r="L1780">
        <v>0</v>
      </c>
      <c r="M1780">
        <v>1.5543257866125319E-3</v>
      </c>
      <c r="N1780">
        <v>0.15204198890932749</v>
      </c>
      <c r="O1780">
        <v>2.0875916017772816E-2</v>
      </c>
      <c r="P1780">
        <v>2.9463746978578596E-2</v>
      </c>
      <c r="Q1780">
        <v>5.5947573129016522E-3</v>
      </c>
      <c r="R1780">
        <v>1.5338274937068319E-3</v>
      </c>
      <c r="S1780">
        <v>0.26019770662785863</v>
      </c>
      <c r="T1780">
        <v>1.4138765554521895</v>
      </c>
      <c r="U1780">
        <v>0.20874821836240956</v>
      </c>
      <c r="V1780">
        <v>0.23862095046277415</v>
      </c>
      <c r="W1780">
        <v>9.848548362898131E-2</v>
      </c>
      <c r="X1780">
        <v>1.747910836612929E-2</v>
      </c>
      <c r="Y1780">
        <v>4.1745728117725863E-3</v>
      </c>
    </row>
    <row r="1781" spans="1:25">
      <c r="A1781" s="1010"/>
      <c r="B1781" s="1351">
        <v>1531</v>
      </c>
      <c r="C1781" s="1014">
        <v>1.0230691469319115</v>
      </c>
      <c r="D1781" s="1014">
        <v>0.98933193875736092</v>
      </c>
      <c r="E1781" s="1014">
        <v>1.0096438841741384</v>
      </c>
      <c r="F1781" s="1014">
        <v>1.008533520462316</v>
      </c>
      <c r="G1781" s="1014">
        <v>1.0048242803115726</v>
      </c>
      <c r="H1781" s="1014">
        <v>1.0165079487451583</v>
      </c>
      <c r="I1781" s="1014">
        <v>1.0099494917054339</v>
      </c>
      <c r="K1781">
        <v>2.4179467311390743</v>
      </c>
      <c r="L1781">
        <v>0</v>
      </c>
      <c r="M1781">
        <v>1.6027427011526707E-3</v>
      </c>
      <c r="N1781">
        <v>0.1502069066780875</v>
      </c>
      <c r="O1781">
        <v>2.0567125607935693E-2</v>
      </c>
      <c r="P1781">
        <v>2.8777509319638538E-2</v>
      </c>
      <c r="Q1781">
        <v>5.434286709828315E-3</v>
      </c>
      <c r="R1781">
        <v>1.5819304409402754E-3</v>
      </c>
      <c r="S1781">
        <v>0.25814902627480379</v>
      </c>
      <c r="T1781">
        <v>1.3835540689513504</v>
      </c>
      <c r="U1781">
        <v>0.20722585108976596</v>
      </c>
      <c r="V1781">
        <v>0.24491322587432904</v>
      </c>
      <c r="W1781">
        <v>9.8113889433044874E-2</v>
      </c>
      <c r="X1781">
        <v>1.6720160283488803E-2</v>
      </c>
      <c r="Y1781">
        <v>4.305493177009726E-3</v>
      </c>
    </row>
    <row r="1782" spans="1:25">
      <c r="A1782" s="1010"/>
      <c r="B1782" s="1351">
        <v>1532</v>
      </c>
      <c r="C1782" s="1014">
        <v>1.0340865540404203</v>
      </c>
      <c r="D1782" s="1014">
        <v>0.96909735906358685</v>
      </c>
      <c r="E1782" s="1014">
        <v>1.0022607725078256</v>
      </c>
      <c r="F1782" s="1014">
        <v>1.027234920242454</v>
      </c>
      <c r="G1782" s="1014">
        <v>0.99170752420499453</v>
      </c>
      <c r="H1782" s="1014">
        <v>1.0047600542783903</v>
      </c>
      <c r="I1782" s="1014">
        <v>1.0044024759229739</v>
      </c>
      <c r="K1782">
        <v>2.4297310832871677</v>
      </c>
      <c r="L1782">
        <v>0</v>
      </c>
      <c r="M1782">
        <v>1.598803789630852E-3</v>
      </c>
      <c r="N1782">
        <v>0.14651136886496438</v>
      </c>
      <c r="O1782">
        <v>2.0435940676549032E-2</v>
      </c>
      <c r="P1782">
        <v>2.8864475222271677E-2</v>
      </c>
      <c r="Q1782">
        <v>5.3598312674730747E-3</v>
      </c>
      <c r="R1782">
        <v>1.577799933895676E-3</v>
      </c>
      <c r="S1782">
        <v>0.25560698461080783</v>
      </c>
      <c r="T1782">
        <v>1.4090453071366054</v>
      </c>
      <c r="U1782">
        <v>0.20499358910505824</v>
      </c>
      <c r="V1782">
        <v>0.24205024156850741</v>
      </c>
      <c r="W1782">
        <v>9.6118885189680051E-2</v>
      </c>
      <c r="X1782">
        <v>1.647121220252766E-2</v>
      </c>
      <c r="Y1782">
        <v>4.2942512984556072E-3</v>
      </c>
    </row>
    <row r="1783" spans="1:25">
      <c r="A1783" s="1010"/>
      <c r="B1783" s="1351">
        <v>1533</v>
      </c>
      <c r="C1783" s="1014">
        <v>0.98723710396925368</v>
      </c>
      <c r="D1783" s="1014">
        <v>1.020559249342001</v>
      </c>
      <c r="E1783" s="1014">
        <v>1.019162971376018</v>
      </c>
      <c r="F1783" s="1014">
        <v>1.037356867983332</v>
      </c>
      <c r="G1783" s="1014">
        <v>0.95558574417911069</v>
      </c>
      <c r="H1783" s="1014">
        <v>0.98480262317853806</v>
      </c>
      <c r="I1783" s="1014">
        <v>1.0019243197498806</v>
      </c>
      <c r="K1783">
        <v>2.4626244063701992</v>
      </c>
      <c r="L1783">
        <v>0</v>
      </c>
      <c r="M1783">
        <v>1.5668312732798346E-3</v>
      </c>
      <c r="N1783">
        <v>0.15105708708687632</v>
      </c>
      <c r="O1783">
        <v>2.1174781049616315E-2</v>
      </c>
      <c r="P1783">
        <v>2.9555616614741608E-2</v>
      </c>
      <c r="Q1783">
        <v>5.6482049955223039E-3</v>
      </c>
      <c r="R1783">
        <v>1.5458303081920257E-3</v>
      </c>
      <c r="S1783">
        <v>0.25866404636283546</v>
      </c>
      <c r="T1783">
        <v>1.4233094842239042</v>
      </c>
      <c r="U1783">
        <v>0.21478020259861863</v>
      </c>
      <c r="V1783">
        <v>0.23868938051995278</v>
      </c>
      <c r="W1783">
        <v>9.8118828734840235E-2</v>
      </c>
      <c r="X1783">
        <v>1.7440534632305577E-2</v>
      </c>
      <c r="Y1783">
        <v>4.2072405160745521E-3</v>
      </c>
    </row>
    <row r="1784" spans="1:25">
      <c r="A1784" s="1010"/>
      <c r="B1784" s="1351">
        <v>1534</v>
      </c>
      <c r="C1784" s="1014">
        <v>0.97227116938411418</v>
      </c>
      <c r="D1784" s="1014">
        <v>1.0059816914685091</v>
      </c>
      <c r="E1784" s="1014">
        <v>0.99870673416473732</v>
      </c>
      <c r="F1784" s="1014">
        <v>0.9867878391132453</v>
      </c>
      <c r="G1784" s="1014">
        <v>0.97221691747270789</v>
      </c>
      <c r="H1784" s="1014">
        <v>0.99595938012605223</v>
      </c>
      <c r="I1784" s="1014">
        <v>0.9945597014442944</v>
      </c>
      <c r="K1784">
        <v>2.4070311083198854</v>
      </c>
      <c r="L1784">
        <v>0</v>
      </c>
      <c r="M1784">
        <v>1.6841348446419305E-3</v>
      </c>
      <c r="N1784">
        <v>0.15266477818321655</v>
      </c>
      <c r="O1784">
        <v>2.1554914924339915E-2</v>
      </c>
      <c r="P1784">
        <v>2.8321629920277227E-2</v>
      </c>
      <c r="Q1784">
        <v>5.6331552332005959E-3</v>
      </c>
      <c r="R1784">
        <v>1.6618144713467897E-3</v>
      </c>
      <c r="S1784">
        <v>0.26339869834619245</v>
      </c>
      <c r="T1784">
        <v>1.3534886917271618</v>
      </c>
      <c r="U1784">
        <v>0.21801424477070955</v>
      </c>
      <c r="V1784">
        <v>0.24257044598765781</v>
      </c>
      <c r="W1784">
        <v>0.10036753812341333</v>
      </c>
      <c r="X1784">
        <v>1.6516420302999262E-2</v>
      </c>
      <c r="Y1784">
        <v>4.5229111740127097E-3</v>
      </c>
    </row>
    <row r="1785" spans="1:25">
      <c r="A1785" s="1010"/>
      <c r="B1785" s="1351">
        <v>1535</v>
      </c>
      <c r="C1785" s="1014">
        <v>1.0090401192410958</v>
      </c>
      <c r="D1785" s="1014">
        <v>1.0195627375902019</v>
      </c>
      <c r="E1785" s="1014">
        <v>1.002620898759955</v>
      </c>
      <c r="F1785" s="1014">
        <v>0.99524151372308267</v>
      </c>
      <c r="G1785" s="1014">
        <v>0.99232810519160075</v>
      </c>
      <c r="H1785" s="1014">
        <v>1.0141267463488435</v>
      </c>
      <c r="I1785" s="1014">
        <v>1.0312309768623134</v>
      </c>
      <c r="K1785">
        <v>2.4056075112660151</v>
      </c>
      <c r="L1785">
        <v>0</v>
      </c>
      <c r="M1785">
        <v>1.6341755800247609E-3</v>
      </c>
      <c r="N1785">
        <v>0.14993419910272732</v>
      </c>
      <c r="O1785">
        <v>2.07108440417537E-2</v>
      </c>
      <c r="P1785">
        <v>2.8464982810417535E-2</v>
      </c>
      <c r="Q1785">
        <v>5.4338954932466755E-3</v>
      </c>
      <c r="R1785">
        <v>1.6129053249531247E-3</v>
      </c>
      <c r="S1785">
        <v>0.26300683504204958</v>
      </c>
      <c r="T1785">
        <v>1.3651681067474526</v>
      </c>
      <c r="U1785">
        <v>0.21008316872729002</v>
      </c>
      <c r="V1785">
        <v>0.24365267946774177</v>
      </c>
      <c r="W1785">
        <v>9.8343424251369618E-2</v>
      </c>
      <c r="X1785">
        <v>1.6440849236613028E-2</v>
      </c>
      <c r="Y1785">
        <v>4.3897966004249308E-3</v>
      </c>
    </row>
    <row r="1786" spans="1:25">
      <c r="A1786" s="1010"/>
      <c r="B1786" s="1351">
        <v>1536</v>
      </c>
      <c r="C1786" s="1014">
        <v>1.0082614455587882</v>
      </c>
      <c r="D1786" s="1014">
        <v>0.99669863099757305</v>
      </c>
      <c r="E1786" s="1014">
        <v>0.99689092529995083</v>
      </c>
      <c r="F1786" s="1014">
        <v>1.0018025400593777</v>
      </c>
      <c r="G1786" s="1014">
        <v>0.97642255317261106</v>
      </c>
      <c r="H1786" s="1014">
        <v>1.0056332521032212</v>
      </c>
      <c r="I1786" s="1014">
        <v>0.98564270560265199</v>
      </c>
      <c r="K1786">
        <v>2.4007517342156173</v>
      </c>
      <c r="L1786">
        <v>0</v>
      </c>
      <c r="M1786">
        <v>1.6493396692354198E-3</v>
      </c>
      <c r="N1786">
        <v>0.14871175558705288</v>
      </c>
      <c r="O1786">
        <v>2.0826744764322773E-2</v>
      </c>
      <c r="P1786">
        <v>2.8303417547786591E-2</v>
      </c>
      <c r="Q1786">
        <v>5.432918050330437E-3</v>
      </c>
      <c r="R1786">
        <v>1.6276907261967301E-3</v>
      </c>
      <c r="S1786">
        <v>0.25368164361256851</v>
      </c>
      <c r="T1786">
        <v>1.3740436890600252</v>
      </c>
      <c r="U1786">
        <v>0.21022598942627826</v>
      </c>
      <c r="V1786">
        <v>0.24100436390760413</v>
      </c>
      <c r="W1786">
        <v>9.7874427514943005E-2</v>
      </c>
      <c r="X1786">
        <v>1.6238396099139081E-2</v>
      </c>
      <c r="Y1786">
        <v>4.4300375886038154E-3</v>
      </c>
    </row>
    <row r="1787" spans="1:25">
      <c r="A1787" s="1010"/>
      <c r="B1787" s="1351">
        <v>1537</v>
      </c>
      <c r="C1787" s="1014">
        <v>0.98597508951064827</v>
      </c>
      <c r="D1787" s="1014">
        <v>0.99348547908638929</v>
      </c>
      <c r="E1787" s="1014">
        <v>0.95905457390756776</v>
      </c>
      <c r="F1787" s="1014">
        <v>0.96114872840600851</v>
      </c>
      <c r="G1787" s="1014">
        <v>0.98474268366394457</v>
      </c>
      <c r="H1787" s="1014">
        <v>0.98477496677199461</v>
      </c>
      <c r="I1787" s="1014">
        <v>1.0308131223164927</v>
      </c>
      <c r="K1787">
        <v>2.359568091059697</v>
      </c>
      <c r="L1787">
        <v>0</v>
      </c>
      <c r="M1787">
        <v>1.787268842425854E-3</v>
      </c>
      <c r="N1787">
        <v>0.14367369593993937</v>
      </c>
      <c r="O1787">
        <v>2.1287220109287467E-2</v>
      </c>
      <c r="P1787">
        <v>2.7063119352281229E-2</v>
      </c>
      <c r="Q1787">
        <v>5.3433033283657701E-3</v>
      </c>
      <c r="R1787">
        <v>1.7633125777551312E-3</v>
      </c>
      <c r="S1787">
        <v>0.26956418219822753</v>
      </c>
      <c r="T1787">
        <v>1.3175011463095636</v>
      </c>
      <c r="U1787">
        <v>0.2148471000215964</v>
      </c>
      <c r="V1787">
        <v>0.24395934116164478</v>
      </c>
      <c r="W1787">
        <v>9.6747492949152414E-2</v>
      </c>
      <c r="X1787">
        <v>1.480629039349393E-2</v>
      </c>
      <c r="Y1787">
        <v>4.7991555608144307E-3</v>
      </c>
    </row>
    <row r="1788" spans="1:25">
      <c r="A1788" s="1010"/>
      <c r="B1788" s="1351">
        <v>1538</v>
      </c>
      <c r="C1788" s="1014">
        <v>0.98268673144563157</v>
      </c>
      <c r="D1788" s="1014">
        <v>1.0088359377902547</v>
      </c>
      <c r="E1788" s="1014">
        <v>1.01515286752567</v>
      </c>
      <c r="F1788" s="1014">
        <v>0.98147400886001257</v>
      </c>
      <c r="G1788" s="1014">
        <v>0.99756961101476482</v>
      </c>
      <c r="H1788" s="1014">
        <v>0.99381454551106352</v>
      </c>
      <c r="I1788" s="1014">
        <v>1.0068661501026248</v>
      </c>
      <c r="K1788">
        <v>2.4013771981204313</v>
      </c>
      <c r="L1788">
        <v>0</v>
      </c>
      <c r="M1788">
        <v>1.6058711849051429E-3</v>
      </c>
      <c r="N1788">
        <v>0.15297767481495914</v>
      </c>
      <c r="O1788">
        <v>2.1324261623731761E-2</v>
      </c>
      <c r="P1788">
        <v>2.859156817664537E-2</v>
      </c>
      <c r="Q1788">
        <v>5.6654113054135412E-3</v>
      </c>
      <c r="R1788">
        <v>1.5845421318286465E-3</v>
      </c>
      <c r="S1788">
        <v>0.26340845559042358</v>
      </c>
      <c r="T1788">
        <v>1.3465497790619481</v>
      </c>
      <c r="U1788">
        <v>0.21576076576701503</v>
      </c>
      <c r="V1788">
        <v>0.24616192476957965</v>
      </c>
      <c r="W1788">
        <v>9.9600265097216659E-2</v>
      </c>
      <c r="X1788">
        <v>1.7045819627907747E-2</v>
      </c>
      <c r="Y1788">
        <v>4.3126013386642018E-3</v>
      </c>
    </row>
    <row r="1789" spans="1:25">
      <c r="A1789" s="1010"/>
      <c r="B1789" s="1351">
        <v>1539</v>
      </c>
      <c r="C1789" s="1014">
        <v>1.015667046596701</v>
      </c>
      <c r="D1789" s="1014">
        <v>1.0153071681490213</v>
      </c>
      <c r="E1789" s="1014">
        <v>0.97992161367167663</v>
      </c>
      <c r="F1789" s="1014">
        <v>1.0072691172106023</v>
      </c>
      <c r="G1789" s="1014">
        <v>0.99129944755119448</v>
      </c>
      <c r="H1789" s="1014">
        <v>0.99689129249008412</v>
      </c>
      <c r="I1789" s="1014">
        <v>0.9949436638287078</v>
      </c>
      <c r="K1789">
        <v>2.3966052468266597</v>
      </c>
      <c r="L1789">
        <v>0</v>
      </c>
      <c r="M1789">
        <v>1.6742947497946272E-3</v>
      </c>
      <c r="N1789">
        <v>0.14339436653965468</v>
      </c>
      <c r="O1789">
        <v>2.0579891443078851E-2</v>
      </c>
      <c r="P1789">
        <v>2.801141408096949E-2</v>
      </c>
      <c r="Q1789">
        <v>5.27714696312048E-3</v>
      </c>
      <c r="R1789">
        <v>1.6521255339809792E-3</v>
      </c>
      <c r="S1789">
        <v>0.25100970017014995</v>
      </c>
      <c r="T1789">
        <v>1.3811726821571211</v>
      </c>
      <c r="U1789">
        <v>0.2086361498487117</v>
      </c>
      <c r="V1789">
        <v>0.24315503066214328</v>
      </c>
      <c r="W1789">
        <v>9.5340301643884948E-2</v>
      </c>
      <c r="X1789">
        <v>1.5554191453179963E-2</v>
      </c>
      <c r="Y1789">
        <v>4.4965410804603178E-3</v>
      </c>
    </row>
    <row r="1790" spans="1:25">
      <c r="A1790" s="1010"/>
      <c r="B1790" s="1351">
        <v>1540</v>
      </c>
      <c r="C1790" s="1014">
        <v>0.96390559072775661</v>
      </c>
      <c r="D1790" s="1014">
        <v>1.0154061698761752</v>
      </c>
      <c r="E1790" s="1014">
        <v>1.0227460514529896</v>
      </c>
      <c r="F1790" s="1014">
        <v>1.0342137028643872</v>
      </c>
      <c r="G1790" s="1014">
        <v>1.0333750716440564</v>
      </c>
      <c r="H1790" s="1014">
        <v>1.035593877292845</v>
      </c>
      <c r="I1790" s="1014">
        <v>0.95454902290825472</v>
      </c>
      <c r="K1790">
        <v>2.4991806600335194</v>
      </c>
      <c r="L1790">
        <v>0</v>
      </c>
      <c r="M1790">
        <v>1.6768527313018187E-3</v>
      </c>
      <c r="N1790">
        <v>0.16352991099306757</v>
      </c>
      <c r="O1790">
        <v>2.1713952793227867E-2</v>
      </c>
      <c r="P1790">
        <v>2.9833550898353635E-2</v>
      </c>
      <c r="Q1790">
        <v>5.8126824616467785E-3</v>
      </c>
      <c r="R1790">
        <v>1.6554794271064822E-3</v>
      </c>
      <c r="S1790">
        <v>0.25733388041761512</v>
      </c>
      <c r="T1790">
        <v>1.4190773697449508</v>
      </c>
      <c r="U1790">
        <v>0.21999174420298756</v>
      </c>
      <c r="V1790">
        <v>0.25348372447999629</v>
      </c>
      <c r="W1790">
        <v>0.10599825713541462</v>
      </c>
      <c r="X1790">
        <v>1.7921290938516996E-2</v>
      </c>
      <c r="Y1790">
        <v>4.5056692719373671E-3</v>
      </c>
    </row>
    <row r="1791" spans="1:25">
      <c r="A1791" s="1010"/>
      <c r="B1791" s="1351">
        <v>1541</v>
      </c>
      <c r="C1791" s="1014">
        <v>1.0323153572813966</v>
      </c>
      <c r="D1791" s="1014">
        <v>0.98987822494300903</v>
      </c>
      <c r="E1791" s="1014">
        <v>1.0209476494485643</v>
      </c>
      <c r="F1791" s="1014">
        <v>1.0103102850297347</v>
      </c>
      <c r="G1791" s="1014">
        <v>0.98578919990739999</v>
      </c>
      <c r="H1791" s="1014">
        <v>1.019650928403063</v>
      </c>
      <c r="I1791" s="1014">
        <v>1.0051268526501453</v>
      </c>
      <c r="K1791">
        <v>2.4124315749210359</v>
      </c>
      <c r="L1791">
        <v>0</v>
      </c>
      <c r="M1791">
        <v>1.5560995217939603E-3</v>
      </c>
      <c r="N1791">
        <v>0.15090237348139951</v>
      </c>
      <c r="O1791">
        <v>2.03877359682299E-2</v>
      </c>
      <c r="P1791">
        <v>2.8931466218927462E-2</v>
      </c>
      <c r="Q1791">
        <v>5.4479239495162342E-3</v>
      </c>
      <c r="R1791">
        <v>1.5359552269850812E-3</v>
      </c>
      <c r="S1791">
        <v>0.25489709043180836</v>
      </c>
      <c r="T1791">
        <v>1.3862392673196189</v>
      </c>
      <c r="U1791">
        <v>0.20540729423120305</v>
      </c>
      <c r="V1791">
        <v>0.24107767290243673</v>
      </c>
      <c r="W1791">
        <v>9.7916048650198401E-2</v>
      </c>
      <c r="X1791">
        <v>1.7064482262155265E-2</v>
      </c>
      <c r="Y1791">
        <v>4.1803638003488925E-3</v>
      </c>
    </row>
    <row r="1792" spans="1:25">
      <c r="A1792" s="1010"/>
      <c r="B1792" s="1351">
        <v>1542</v>
      </c>
      <c r="C1792" s="1014">
        <v>1.042829492146413</v>
      </c>
      <c r="D1792" s="1014">
        <v>1.0104093034887072</v>
      </c>
      <c r="E1792" s="1014">
        <v>0.99165581769702027</v>
      </c>
      <c r="F1792" s="1014">
        <v>0.98789451972250142</v>
      </c>
      <c r="G1792" s="1014">
        <v>0.97947938680667868</v>
      </c>
      <c r="H1792" s="1014">
        <v>0.99093914662792082</v>
      </c>
      <c r="I1792" s="1014">
        <v>0.9677327412450919</v>
      </c>
      <c r="K1792">
        <v>2.3415925328099907</v>
      </c>
      <c r="L1792">
        <v>0</v>
      </c>
      <c r="M1792">
        <v>1.5837398568661822E-3</v>
      </c>
      <c r="N1792">
        <v>0.14052756469220887</v>
      </c>
      <c r="O1792">
        <v>2.0072618714688392E-2</v>
      </c>
      <c r="P1792">
        <v>2.760423793216564E-2</v>
      </c>
      <c r="Q1792">
        <v>5.208626057223234E-3</v>
      </c>
      <c r="R1792">
        <v>1.5626437129521082E-3</v>
      </c>
      <c r="S1792">
        <v>0.2379802176220204</v>
      </c>
      <c r="T1792">
        <v>1.3548561207028911</v>
      </c>
      <c r="U1792">
        <v>0.20324020652294505</v>
      </c>
      <c r="V1792">
        <v>0.23949379839617738</v>
      </c>
      <c r="W1792">
        <v>9.2777544192490943E-2</v>
      </c>
      <c r="X1792">
        <v>1.559969305979694E-2</v>
      </c>
      <c r="Y1792">
        <v>4.2530010612941063E-3</v>
      </c>
    </row>
    <row r="1793" spans="1:25">
      <c r="A1793" s="1010"/>
      <c r="B1793" s="1351">
        <v>1543</v>
      </c>
      <c r="C1793" s="1014">
        <v>1.032443479405774</v>
      </c>
      <c r="D1793" s="1014">
        <v>0.97436561058489979</v>
      </c>
      <c r="E1793" s="1014">
        <v>1.008996983031075</v>
      </c>
      <c r="F1793" s="1014">
        <v>0.98500732569691341</v>
      </c>
      <c r="G1793" s="1014">
        <v>0.97577755087153961</v>
      </c>
      <c r="H1793" s="1014">
        <v>1.0356471976969732</v>
      </c>
      <c r="I1793" s="1014">
        <v>1.0009868684880336</v>
      </c>
      <c r="K1793">
        <v>2.3794473506846159</v>
      </c>
      <c r="L1793">
        <v>0</v>
      </c>
      <c r="M1793">
        <v>1.6257119137209973E-3</v>
      </c>
      <c r="N1793">
        <v>0.15209924045443632</v>
      </c>
      <c r="O1793">
        <v>2.0448423222379875E-2</v>
      </c>
      <c r="P1793">
        <v>2.820373462574717E-2</v>
      </c>
      <c r="Q1793">
        <v>5.3994288550265205E-3</v>
      </c>
      <c r="R1793">
        <v>1.6049915214808722E-3</v>
      </c>
      <c r="S1793">
        <v>0.25706385098475465</v>
      </c>
      <c r="T1793">
        <v>1.351265913086988</v>
      </c>
      <c r="U1793">
        <v>0.20534214654377897</v>
      </c>
      <c r="V1793">
        <v>0.23940263012467966</v>
      </c>
      <c r="W1793">
        <v>9.9387871737000047E-2</v>
      </c>
      <c r="X1793">
        <v>1.6486573605907419E-2</v>
      </c>
      <c r="Y1793">
        <v>4.3682578361580737E-3</v>
      </c>
    </row>
    <row r="1794" spans="1:25">
      <c r="A1794" s="1010"/>
      <c r="B1794" s="1351">
        <v>1544</v>
      </c>
      <c r="C1794" s="1014">
        <v>1.0259855349976845</v>
      </c>
      <c r="D1794" s="1014">
        <v>0.96587591413230345</v>
      </c>
      <c r="E1794" s="1014">
        <v>0.98868723763645039</v>
      </c>
      <c r="F1794" s="1014">
        <v>1.0073486555471307</v>
      </c>
      <c r="G1794" s="1014">
        <v>0.98799879570801985</v>
      </c>
      <c r="H1794" s="1014">
        <v>1.0163220633580932</v>
      </c>
      <c r="I1794" s="1014">
        <v>0.99962457203680199</v>
      </c>
      <c r="K1794">
        <v>2.4074428916437767</v>
      </c>
      <c r="L1794">
        <v>0</v>
      </c>
      <c r="M1794">
        <v>1.6777110750715641E-3</v>
      </c>
      <c r="N1794">
        <v>0.1475853921431789</v>
      </c>
      <c r="O1794">
        <v>2.0603552108631306E-2</v>
      </c>
      <c r="P1794">
        <v>2.8247630857508924E-2</v>
      </c>
      <c r="Q1794">
        <v>5.3303809860965326E-3</v>
      </c>
      <c r="R1794">
        <v>1.6559213356797204E-3</v>
      </c>
      <c r="S1794">
        <v>0.25768593819888702</v>
      </c>
      <c r="T1794">
        <v>1.3814721088324153</v>
      </c>
      <c r="U1794">
        <v>0.20656699597193487</v>
      </c>
      <c r="V1794">
        <v>0.24194179602362212</v>
      </c>
      <c r="W1794">
        <v>9.7610593513742072E-2</v>
      </c>
      <c r="X1794">
        <v>1.5913420745750025E-2</v>
      </c>
      <c r="Y1794">
        <v>4.5068720013986003E-3</v>
      </c>
    </row>
    <row r="1795" spans="1:25">
      <c r="A1795" s="1010"/>
      <c r="B1795" s="1351">
        <v>1545</v>
      </c>
      <c r="C1795" s="1014">
        <v>0.97888336826598921</v>
      </c>
      <c r="D1795" s="1014">
        <v>1.0015529000392029</v>
      </c>
      <c r="E1795" s="1014">
        <v>1.0019663904379179</v>
      </c>
      <c r="F1795" s="1014">
        <v>1.0217087492271091</v>
      </c>
      <c r="G1795" s="1014">
        <v>1.0160270023893341</v>
      </c>
      <c r="H1795" s="1014">
        <v>0.99094332847107169</v>
      </c>
      <c r="I1795" s="1014">
        <v>0.99917330526371351</v>
      </c>
      <c r="K1795">
        <v>2.4589282713639813</v>
      </c>
      <c r="L1795">
        <v>0</v>
      </c>
      <c r="M1795">
        <v>1.6547234650149938E-3</v>
      </c>
      <c r="N1795">
        <v>0.15147283970774039</v>
      </c>
      <c r="O1795">
        <v>2.1432316014696352E-2</v>
      </c>
      <c r="P1795">
        <v>2.9116835177122637E-2</v>
      </c>
      <c r="Q1795">
        <v>5.6194942137580027E-3</v>
      </c>
      <c r="R1795">
        <v>1.6326818797827627E-3</v>
      </c>
      <c r="S1795">
        <v>0.2630061289872449</v>
      </c>
      <c r="T1795">
        <v>1.4014586194318306</v>
      </c>
      <c r="U1795">
        <v>0.21655297702564699</v>
      </c>
      <c r="V1795">
        <v>0.24960688792066724</v>
      </c>
      <c r="W1795">
        <v>9.939122101781922E-2</v>
      </c>
      <c r="X1795">
        <v>1.6849371589353082E-2</v>
      </c>
      <c r="Y1795">
        <v>4.4436218633316579E-3</v>
      </c>
    </row>
    <row r="1796" spans="1:25">
      <c r="A1796" s="1010"/>
      <c r="B1796" s="1351">
        <v>1546</v>
      </c>
      <c r="C1796" s="1014">
        <v>1.0041056623747058</v>
      </c>
      <c r="D1796" s="1014">
        <v>1.0062969165670996</v>
      </c>
      <c r="E1796" s="1014">
        <v>0.97828344901498188</v>
      </c>
      <c r="F1796" s="1014">
        <v>0.99727605978078548</v>
      </c>
      <c r="G1796" s="1014">
        <v>0.97952855469788147</v>
      </c>
      <c r="H1796" s="1014">
        <v>1.0013455501627688</v>
      </c>
      <c r="I1796" s="1014">
        <v>1.0123067508947676</v>
      </c>
      <c r="K1796">
        <v>2.3971933371144818</v>
      </c>
      <c r="L1796">
        <v>0</v>
      </c>
      <c r="M1796">
        <v>1.7102619178255151E-3</v>
      </c>
      <c r="N1796">
        <v>0.14575920349387414</v>
      </c>
      <c r="O1796">
        <v>2.0856636624104849E-2</v>
      </c>
      <c r="P1796">
        <v>2.7925638610678507E-2</v>
      </c>
      <c r="Q1796">
        <v>5.3392088692521883E-3</v>
      </c>
      <c r="R1796">
        <v>1.6877171964865064E-3</v>
      </c>
      <c r="S1796">
        <v>0.25985184768953284</v>
      </c>
      <c r="T1796">
        <v>1.3674349677799205</v>
      </c>
      <c r="U1796">
        <v>0.21103285168878441</v>
      </c>
      <c r="V1796">
        <v>0.24185670174903359</v>
      </c>
      <c r="W1796">
        <v>9.7008616682151466E-2</v>
      </c>
      <c r="X1796">
        <v>1.55567987954753E-2</v>
      </c>
      <c r="Y1796">
        <v>4.5934098530119715E-3</v>
      </c>
    </row>
    <row r="1797" spans="1:25">
      <c r="A1797" s="1010"/>
      <c r="B1797" s="1351">
        <v>1547</v>
      </c>
      <c r="C1797" s="1014">
        <v>0.95485857692105847</v>
      </c>
      <c r="D1797" s="1014">
        <v>0.97559743552809786</v>
      </c>
      <c r="E1797" s="1014">
        <v>0.98284441080200535</v>
      </c>
      <c r="F1797" s="1014">
        <v>1.0251957239151894</v>
      </c>
      <c r="G1797" s="1014">
        <v>0.99041333871714121</v>
      </c>
      <c r="H1797" s="1014">
        <v>0.96354778445413458</v>
      </c>
      <c r="I1797" s="1014">
        <v>1.0156620990790057</v>
      </c>
      <c r="K1797">
        <v>2.4754427581720533</v>
      </c>
      <c r="L1797">
        <v>0</v>
      </c>
      <c r="M1797">
        <v>1.7260614097851744E-3</v>
      </c>
      <c r="N1797">
        <v>0.14907161311511999</v>
      </c>
      <c r="O1797">
        <v>2.2085504898863011E-2</v>
      </c>
      <c r="P1797">
        <v>2.8959216582140332E-2</v>
      </c>
      <c r="Q1797">
        <v>5.6800560192316963E-3</v>
      </c>
      <c r="R1797">
        <v>1.7024158715459846E-3</v>
      </c>
      <c r="S1797">
        <v>0.27505899943152584</v>
      </c>
      <c r="T1797">
        <v>1.4058182984723981</v>
      </c>
      <c r="U1797">
        <v>0.22193320373852524</v>
      </c>
      <c r="V1797">
        <v>0.24690410254585204</v>
      </c>
      <c r="W1797">
        <v>9.8940421533618955E-2</v>
      </c>
      <c r="X1797">
        <v>1.6381572571910554E-2</v>
      </c>
      <c r="Y1797">
        <v>4.6334148011069418E-3</v>
      </c>
    </row>
    <row r="1798" spans="1:25">
      <c r="A1798" s="1010"/>
      <c r="B1798" s="1351">
        <v>1548</v>
      </c>
      <c r="C1798" s="1014">
        <v>0.98341878734152788</v>
      </c>
      <c r="D1798" s="1014">
        <v>1.0318248851494125</v>
      </c>
      <c r="E1798" s="1014">
        <v>1.0150077419676944</v>
      </c>
      <c r="F1798" s="1014">
        <v>1.0234039962734436</v>
      </c>
      <c r="G1798" s="1014">
        <v>0.96903835429010299</v>
      </c>
      <c r="H1798" s="1014">
        <v>0.99656942188949782</v>
      </c>
      <c r="I1798" s="1014">
        <v>0.97707136488502377</v>
      </c>
      <c r="K1798">
        <v>2.4430234255221781</v>
      </c>
      <c r="L1798">
        <v>0</v>
      </c>
      <c r="M1798">
        <v>1.6016504732554368E-3</v>
      </c>
      <c r="N1798">
        <v>0.1525144694644083</v>
      </c>
      <c r="O1798">
        <v>2.1202925960879835E-2</v>
      </c>
      <c r="P1798">
        <v>2.9165792425431308E-2</v>
      </c>
      <c r="Q1798">
        <v>5.6323600752657436E-3</v>
      </c>
      <c r="R1798">
        <v>1.5804362855423857E-3</v>
      </c>
      <c r="S1798">
        <v>0.25279910798620597</v>
      </c>
      <c r="T1798">
        <v>1.4040731088724834</v>
      </c>
      <c r="U1798">
        <v>0.21559964807685728</v>
      </c>
      <c r="V1798">
        <v>0.24124488174404682</v>
      </c>
      <c r="W1798">
        <v>9.9307146811233052E-2</v>
      </c>
      <c r="X1798">
        <v>1.7203771714515287E-2</v>
      </c>
      <c r="Y1798">
        <v>4.3014265785648641E-3</v>
      </c>
    </row>
    <row r="1799" spans="1:25">
      <c r="A1799" s="1010"/>
      <c r="B1799" s="1351">
        <v>1549</v>
      </c>
      <c r="C1799" s="1014">
        <v>1.0106201160529764</v>
      </c>
      <c r="D1799" s="1014">
        <v>1.014636757653949</v>
      </c>
      <c r="E1799" s="1014">
        <v>0.96129670918314825</v>
      </c>
      <c r="F1799" s="1014">
        <v>0.99554638089227132</v>
      </c>
      <c r="G1799" s="1014">
        <v>0.95402723615723672</v>
      </c>
      <c r="H1799" s="1014">
        <v>0.97652342272397619</v>
      </c>
      <c r="I1799" s="1014">
        <v>1.0221475856667959</v>
      </c>
      <c r="K1799">
        <v>2.3733886335279348</v>
      </c>
      <c r="L1799">
        <v>0</v>
      </c>
      <c r="M1799">
        <v>1.7131433803702762E-3</v>
      </c>
      <c r="N1799">
        <v>0.13863783322536888</v>
      </c>
      <c r="O1799">
        <v>2.0673537284885787E-2</v>
      </c>
      <c r="P1799">
        <v>2.7414178431278812E-2</v>
      </c>
      <c r="Q1799">
        <v>5.2012339746917401E-3</v>
      </c>
      <c r="R1799">
        <v>1.6899866485434957E-3</v>
      </c>
      <c r="S1799">
        <v>0.25734940317079885</v>
      </c>
      <c r="T1799">
        <v>1.3646998339568295</v>
      </c>
      <c r="U1799">
        <v>0.20961536304447595</v>
      </c>
      <c r="V1799">
        <v>0.23715786958420859</v>
      </c>
      <c r="W1799">
        <v>9.3228117852260428E-2</v>
      </c>
      <c r="X1799">
        <v>1.4834833181575937E-2</v>
      </c>
      <c r="Y1799">
        <v>4.5995865533864288E-3</v>
      </c>
    </row>
    <row r="1800" spans="1:25">
      <c r="A1800" s="1010"/>
      <c r="B1800" s="1351">
        <v>1550</v>
      </c>
      <c r="C1800" s="1014">
        <v>1.0220763056747089</v>
      </c>
      <c r="D1800" s="1014">
        <v>1.0010589642288901</v>
      </c>
      <c r="E1800" s="1014">
        <v>0.95820884337547485</v>
      </c>
      <c r="F1800" s="1014">
        <v>0.99999755596254036</v>
      </c>
      <c r="G1800" s="1014">
        <v>1.0078153368191471</v>
      </c>
      <c r="H1800" s="1014">
        <v>1.0241179379913654</v>
      </c>
      <c r="I1800" s="1014">
        <v>0.98208343237328999</v>
      </c>
      <c r="K1800">
        <v>2.3869953735365113</v>
      </c>
      <c r="L1800">
        <v>0</v>
      </c>
      <c r="M1800">
        <v>1.7931505461020181E-3</v>
      </c>
      <c r="N1800">
        <v>0.14385258786053365</v>
      </c>
      <c r="O1800">
        <v>2.0500498973920995E-2</v>
      </c>
      <c r="P1800">
        <v>2.7412882250069198E-2</v>
      </c>
      <c r="Q1800">
        <v>5.141354065178013E-3</v>
      </c>
      <c r="R1800">
        <v>1.7700387872149105E-3</v>
      </c>
      <c r="S1800">
        <v>0.25001019752436399</v>
      </c>
      <c r="T1800">
        <v>1.3707353087719263</v>
      </c>
      <c r="U1800">
        <v>0.20725557997684174</v>
      </c>
      <c r="V1800">
        <v>0.24567357150245034</v>
      </c>
      <c r="W1800">
        <v>9.6918283387438769E-2</v>
      </c>
      <c r="X1800">
        <v>1.4700758897006732E-2</v>
      </c>
      <c r="Y1800">
        <v>4.8174620856695988E-3</v>
      </c>
    </row>
    <row r="1801" spans="1:25">
      <c r="A1801" s="1010"/>
      <c r="B1801" s="1351">
        <v>1551</v>
      </c>
      <c r="C1801" s="1014">
        <v>1.0062086633299945</v>
      </c>
      <c r="D1801" s="1014">
        <v>1.0132491097956389</v>
      </c>
      <c r="E1801" s="1014">
        <v>1.0086229351507805</v>
      </c>
      <c r="F1801" s="1014">
        <v>1.0077773775665648</v>
      </c>
      <c r="G1801" s="1014">
        <v>0.97461779497170242</v>
      </c>
      <c r="H1801" s="1014">
        <v>0.96475515710654136</v>
      </c>
      <c r="I1801" s="1014">
        <v>0.98148644507855232</v>
      </c>
      <c r="K1801">
        <v>2.3953993336753574</v>
      </c>
      <c r="L1801">
        <v>0</v>
      </c>
      <c r="M1801">
        <v>1.5417919606819938E-3</v>
      </c>
      <c r="N1801">
        <v>0.14394831160374144</v>
      </c>
      <c r="O1801">
        <v>2.0801477018462921E-2</v>
      </c>
      <c r="P1801">
        <v>2.8589523244724847E-2</v>
      </c>
      <c r="Q1801">
        <v>5.490598363481169E-3</v>
      </c>
      <c r="R1801">
        <v>1.5206971862189447E-3</v>
      </c>
      <c r="S1801">
        <v>0.24776308033585431</v>
      </c>
      <c r="T1801">
        <v>1.3824944626883537</v>
      </c>
      <c r="U1801">
        <v>0.21069474716746808</v>
      </c>
      <c r="V1801">
        <v>0.24078181007838403</v>
      </c>
      <c r="W1801">
        <v>9.4082489746958542E-2</v>
      </c>
      <c r="X1801">
        <v>1.6635091759195975E-2</v>
      </c>
      <c r="Y1801">
        <v>4.1388364431952564E-3</v>
      </c>
    </row>
    <row r="1802" spans="1:25">
      <c r="A1802" s="1010"/>
      <c r="B1802" s="1351">
        <v>1552</v>
      </c>
      <c r="C1802" s="1014">
        <v>1.0042808857805021</v>
      </c>
      <c r="D1802" s="1014">
        <v>0.99804551429396748</v>
      </c>
      <c r="E1802" s="1014">
        <v>1.0079614545792264</v>
      </c>
      <c r="F1802" s="1014">
        <v>0.98221832103989892</v>
      </c>
      <c r="G1802" s="1014">
        <v>1.000707019238859</v>
      </c>
      <c r="H1802" s="1014">
        <v>0.96609249154921373</v>
      </c>
      <c r="I1802" s="1014">
        <v>0.99317042440560144</v>
      </c>
      <c r="K1802">
        <v>2.3719430249238176</v>
      </c>
      <c r="L1802">
        <v>0</v>
      </c>
      <c r="M1802">
        <v>1.5541802601849563E-3</v>
      </c>
      <c r="N1802">
        <v>0.14481819428608486</v>
      </c>
      <c r="O1802">
        <v>2.0910404229858855E-2</v>
      </c>
      <c r="P1802">
        <v>2.8237265772425076E-2</v>
      </c>
      <c r="Q1802">
        <v>5.5156980968907553E-3</v>
      </c>
      <c r="R1802">
        <v>1.5329454247214498E-3</v>
      </c>
      <c r="S1802">
        <v>0.25322006043470913</v>
      </c>
      <c r="T1802">
        <v>1.3474178277958269</v>
      </c>
      <c r="U1802">
        <v>0.21109693405270999</v>
      </c>
      <c r="V1802">
        <v>0.24535742284697915</v>
      </c>
      <c r="W1802">
        <v>9.4688008672025412E-2</v>
      </c>
      <c r="X1802">
        <v>1.6530271461000678E-2</v>
      </c>
      <c r="Y1802">
        <v>4.1721721107683372E-3</v>
      </c>
    </row>
    <row r="1803" spans="1:25">
      <c r="A1803" s="1010"/>
      <c r="B1803" s="1351">
        <v>1553</v>
      </c>
      <c r="C1803" s="1014">
        <v>0.96967973627470838</v>
      </c>
      <c r="D1803" s="1014">
        <v>0.9862397916711253</v>
      </c>
      <c r="E1803" s="1014">
        <v>0.96736535068258167</v>
      </c>
      <c r="F1803" s="1014">
        <v>0.9726294482775576</v>
      </c>
      <c r="G1803" s="1014">
        <v>0.9843397164550528</v>
      </c>
      <c r="H1803" s="1014">
        <v>1.0003298927182569</v>
      </c>
      <c r="I1803" s="1014">
        <v>1.0161203850979004</v>
      </c>
      <c r="K1803">
        <v>2.3946496379132229</v>
      </c>
      <c r="L1803">
        <v>0</v>
      </c>
      <c r="M1803">
        <v>1.8175654259732126E-3</v>
      </c>
      <c r="N1803">
        <v>0.14986605142068685</v>
      </c>
      <c r="O1803">
        <v>2.1685505133705211E-2</v>
      </c>
      <c r="P1803">
        <v>2.7551153304637428E-2</v>
      </c>
      <c r="Q1803">
        <v>5.4898875057455441E-3</v>
      </c>
      <c r="R1803">
        <v>1.7935819004179163E-3</v>
      </c>
      <c r="S1803">
        <v>0.27264536124238581</v>
      </c>
      <c r="T1803">
        <v>1.33341189653182</v>
      </c>
      <c r="U1803">
        <v>0.21848669962015335</v>
      </c>
      <c r="V1803">
        <v>0.24492316195929081</v>
      </c>
      <c r="W1803">
        <v>0.10040540098605916</v>
      </c>
      <c r="X1803">
        <v>1.5326965055470279E-2</v>
      </c>
      <c r="Y1803">
        <v>4.8815386788229982E-3</v>
      </c>
    </row>
    <row r="1804" spans="1:25">
      <c r="A1804" s="1010"/>
      <c r="B1804" s="1351">
        <v>1554</v>
      </c>
      <c r="C1804" s="1014">
        <v>1.0191118540159396</v>
      </c>
      <c r="D1804" s="1014">
        <v>0.97938871426160212</v>
      </c>
      <c r="E1804" s="1014">
        <v>0.96945675579176238</v>
      </c>
      <c r="F1804" s="1014">
        <v>0.96028139044041561</v>
      </c>
      <c r="G1804" s="1014">
        <v>1.0052113885329019</v>
      </c>
      <c r="H1804" s="1014">
        <v>0.98897670998997977</v>
      </c>
      <c r="I1804" s="1014">
        <v>1.0052133771699552</v>
      </c>
      <c r="K1804">
        <v>2.3349104672974326</v>
      </c>
      <c r="L1804">
        <v>0</v>
      </c>
      <c r="M1804">
        <v>1.7050249247527345E-3</v>
      </c>
      <c r="N1804">
        <v>0.14145808712549651</v>
      </c>
      <c r="O1804">
        <v>2.0666676857935024E-2</v>
      </c>
      <c r="P1804">
        <v>2.7020828256005824E-2</v>
      </c>
      <c r="Q1804">
        <v>5.2431672647098009E-3</v>
      </c>
      <c r="R1804">
        <v>1.6822681408120801E-3</v>
      </c>
      <c r="S1804">
        <v>0.25659841704804881</v>
      </c>
      <c r="T1804">
        <v>1.3165266601630394</v>
      </c>
      <c r="U1804">
        <v>0.20789596011159381</v>
      </c>
      <c r="V1804">
        <v>0.24536349958747625</v>
      </c>
      <c r="W1804">
        <v>9.4651626189841742E-2</v>
      </c>
      <c r="X1804">
        <v>1.4929722157477515E-2</v>
      </c>
      <c r="Y1804">
        <v>4.5785793197469045E-3</v>
      </c>
    </row>
    <row r="1805" spans="1:25">
      <c r="A1805" s="1010"/>
      <c r="B1805" s="1351">
        <v>1555</v>
      </c>
      <c r="C1805" s="1014">
        <v>0.97478627362883941</v>
      </c>
      <c r="D1805" s="1014">
        <v>0.99500672395875589</v>
      </c>
      <c r="E1805" s="1014">
        <v>1.0137022524239891</v>
      </c>
      <c r="F1805" s="1014">
        <v>0.99463292381721791</v>
      </c>
      <c r="G1805" s="1014">
        <v>1.0093422319744647</v>
      </c>
      <c r="H1805" s="1014">
        <v>0.98255721817468189</v>
      </c>
      <c r="I1805" s="1014">
        <v>0.96099911499443513</v>
      </c>
      <c r="K1805">
        <v>2.414666140922737</v>
      </c>
      <c r="L1805">
        <v>0</v>
      </c>
      <c r="M1805">
        <v>1.6102651374788374E-3</v>
      </c>
      <c r="N1805">
        <v>0.15270259758208649</v>
      </c>
      <c r="O1805">
        <v>2.1561477951703892E-2</v>
      </c>
      <c r="P1805">
        <v>2.8742117268745562E-2</v>
      </c>
      <c r="Q1805">
        <v>5.72015423441306E-3</v>
      </c>
      <c r="R1805">
        <v>1.5886326849965078E-3</v>
      </c>
      <c r="S1805">
        <v>0.25424868711758997</v>
      </c>
      <c r="T1805">
        <v>1.3645720787388347</v>
      </c>
      <c r="U1805">
        <v>0.21750436775368062</v>
      </c>
      <c r="V1805">
        <v>0.24869137016903137</v>
      </c>
      <c r="W1805">
        <v>9.9505952897212771E-2</v>
      </c>
      <c r="X1805">
        <v>1.7115235185985046E-2</v>
      </c>
      <c r="Y1805">
        <v>4.3237344759366313E-3</v>
      </c>
    </row>
    <row r="1806" spans="1:25">
      <c r="A1806" s="1010"/>
      <c r="B1806" s="1351">
        <v>1556</v>
      </c>
      <c r="C1806" s="1014">
        <v>1.0079674798778624</v>
      </c>
      <c r="D1806" s="1014">
        <v>1.0006509350415476</v>
      </c>
      <c r="E1806" s="1014">
        <v>1.0234263233120027</v>
      </c>
      <c r="F1806" s="1014">
        <v>0.98948814948693986</v>
      </c>
      <c r="G1806" s="1014">
        <v>0.96748039988858303</v>
      </c>
      <c r="H1806" s="1014">
        <v>0.99783613027718865</v>
      </c>
      <c r="I1806" s="1014">
        <v>1.0231426844127125</v>
      </c>
      <c r="K1806">
        <v>2.395569121585297</v>
      </c>
      <c r="L1806">
        <v>0</v>
      </c>
      <c r="M1806">
        <v>1.5478762670932749E-3</v>
      </c>
      <c r="N1806">
        <v>0.15118801727791029</v>
      </c>
      <c r="O1806">
        <v>2.0832184803126663E-2</v>
      </c>
      <c r="P1806">
        <v>2.8738487929470268E-2</v>
      </c>
      <c r="Q1806">
        <v>5.5804052533255637E-3</v>
      </c>
      <c r="R1806">
        <v>1.5274003560196954E-3</v>
      </c>
      <c r="S1806">
        <v>0.26243619989322714</v>
      </c>
      <c r="T1806">
        <v>1.3577226460709626</v>
      </c>
      <c r="U1806">
        <v>0.21037742772277326</v>
      </c>
      <c r="V1806">
        <v>0.23940502664348384</v>
      </c>
      <c r="W1806">
        <v>9.7959479174712094E-2</v>
      </c>
      <c r="X1806">
        <v>1.7192642465686307E-2</v>
      </c>
      <c r="Y1806">
        <v>4.1570802616935684E-3</v>
      </c>
    </row>
    <row r="1807" spans="1:25">
      <c r="A1807" s="1010"/>
      <c r="B1807" s="1351">
        <v>1557</v>
      </c>
      <c r="C1807" s="1014">
        <v>0.98245633562201262</v>
      </c>
      <c r="D1807" s="1014">
        <v>1.0238547945073992</v>
      </c>
      <c r="E1807" s="1014">
        <v>0.97540631323364113</v>
      </c>
      <c r="F1807" s="1014">
        <v>1.0147069377274596</v>
      </c>
      <c r="G1807" s="1014">
        <v>1.0033852024673822</v>
      </c>
      <c r="H1807" s="1014">
        <v>1.0109605345628967</v>
      </c>
      <c r="I1807" s="1014">
        <v>0.97237966709003565</v>
      </c>
      <c r="K1807">
        <v>2.4323224114170006</v>
      </c>
      <c r="L1807">
        <v>0</v>
      </c>
      <c r="M1807">
        <v>1.7685150799449868E-3</v>
      </c>
      <c r="N1807">
        <v>0.14943619018536872</v>
      </c>
      <c r="O1807">
        <v>2.1233341539222076E-2</v>
      </c>
      <c r="P1807">
        <v>2.8236589927509357E-2</v>
      </c>
      <c r="Q1807">
        <v>5.419743522631794E-3</v>
      </c>
      <c r="R1807">
        <v>1.7454241840311022E-3</v>
      </c>
      <c r="S1807">
        <v>0.25369342150086266</v>
      </c>
      <c r="T1807">
        <v>1.3912728237850729</v>
      </c>
      <c r="U1807">
        <v>0.21567318125721158</v>
      </c>
      <c r="V1807">
        <v>0.24731258587003588</v>
      </c>
      <c r="W1807">
        <v>9.9629165828273386E-2</v>
      </c>
      <c r="X1807">
        <v>1.5687989646719181E-2</v>
      </c>
      <c r="Y1807">
        <v>4.7504692500050317E-3</v>
      </c>
    </row>
    <row r="1808" spans="1:25">
      <c r="A1808" s="1010"/>
      <c r="B1808" s="1351">
        <v>1558</v>
      </c>
      <c r="C1808" s="1014">
        <v>0.97213836630574413</v>
      </c>
      <c r="D1808" s="1014">
        <v>0.99082291902492647</v>
      </c>
      <c r="E1808" s="1014">
        <v>0.96260779087375481</v>
      </c>
      <c r="F1808" s="1014">
        <v>0.99264228862726556</v>
      </c>
      <c r="G1808" s="1014">
        <v>0.9624284133769978</v>
      </c>
      <c r="H1808" s="1014">
        <v>1.0055222335114371</v>
      </c>
      <c r="I1808" s="1014">
        <v>1.0033333356311667</v>
      </c>
      <c r="K1808">
        <v>2.4127305289333703</v>
      </c>
      <c r="L1808">
        <v>0</v>
      </c>
      <c r="M1808">
        <v>1.8384754105006285E-3</v>
      </c>
      <c r="N1808">
        <v>0.14943163507207197</v>
      </c>
      <c r="O1808">
        <v>2.1605372758953276E-2</v>
      </c>
      <c r="P1808">
        <v>2.769661130849577E-2</v>
      </c>
      <c r="Q1808">
        <v>5.4429951843892269E-3</v>
      </c>
      <c r="R1808">
        <v>1.8143412405827806E-3</v>
      </c>
      <c r="S1808">
        <v>0.26832501227778394</v>
      </c>
      <c r="T1808">
        <v>1.3607468124311914</v>
      </c>
      <c r="U1808">
        <v>0.21791749345554826</v>
      </c>
      <c r="V1808">
        <v>0.24103188418821725</v>
      </c>
      <c r="W1808">
        <v>0.10040582893361796</v>
      </c>
      <c r="X1808">
        <v>1.5212978733579831E-2</v>
      </c>
      <c r="Y1808">
        <v>4.9380387594371135E-3</v>
      </c>
    </row>
    <row r="1809" spans="1:25">
      <c r="A1809" s="1010"/>
      <c r="B1809" s="1351">
        <v>1559</v>
      </c>
      <c r="C1809" s="1014">
        <v>0.99583148700070634</v>
      </c>
      <c r="D1809" s="1014">
        <v>0.99261084218225726</v>
      </c>
      <c r="E1809" s="1014">
        <v>1.0045840346405381</v>
      </c>
      <c r="F1809" s="1014">
        <v>1.0090324963820605</v>
      </c>
      <c r="G1809" s="1014">
        <v>0.9652135487076261</v>
      </c>
      <c r="H1809" s="1014">
        <v>1.0024891547364243</v>
      </c>
      <c r="I1809" s="1014">
        <v>1.0283442578830091</v>
      </c>
      <c r="K1809">
        <v>2.4322302724340341</v>
      </c>
      <c r="L1809">
        <v>0</v>
      </c>
      <c r="M1809">
        <v>1.6398303975911665E-3</v>
      </c>
      <c r="N1809">
        <v>0.15132461329922323</v>
      </c>
      <c r="O1809">
        <v>2.1110914189264682E-2</v>
      </c>
      <c r="P1809">
        <v>2.8824871038595167E-2</v>
      </c>
      <c r="Q1809">
        <v>5.5497805739492092E-3</v>
      </c>
      <c r="R1809">
        <v>1.6182387656679628E-3</v>
      </c>
      <c r="S1809">
        <v>0.26831664680182882</v>
      </c>
      <c r="T1809">
        <v>1.3841280065658204</v>
      </c>
      <c r="U1809">
        <v>0.21287643805000622</v>
      </c>
      <c r="V1809">
        <v>0.23983616968864813</v>
      </c>
      <c r="W1809">
        <v>9.9139998255666467E-2</v>
      </c>
      <c r="X1809">
        <v>1.6740113135072655E-2</v>
      </c>
      <c r="Y1809">
        <v>4.4043124678824616E-3</v>
      </c>
    </row>
    <row r="1810" spans="1:25">
      <c r="A1810" s="1010"/>
      <c r="B1810" s="1351">
        <v>1560</v>
      </c>
      <c r="C1810" s="1014">
        <v>0.98703765963543755</v>
      </c>
      <c r="D1810" s="1014">
        <v>0.95745844235359368</v>
      </c>
      <c r="E1810" s="1014">
        <v>1.0047074175992035</v>
      </c>
      <c r="F1810" s="1014">
        <v>0.99100820058437356</v>
      </c>
      <c r="G1810" s="1014">
        <v>0.99841480753661582</v>
      </c>
      <c r="H1810" s="1014">
        <v>0.98582542627763481</v>
      </c>
      <c r="I1810" s="1014">
        <v>1.0133526704849907</v>
      </c>
      <c r="K1810">
        <v>2.4177541432261505</v>
      </c>
      <c r="L1810">
        <v>0</v>
      </c>
      <c r="M1810">
        <v>1.6394763762245261E-3</v>
      </c>
      <c r="N1810">
        <v>0.1513141973820756</v>
      </c>
      <c r="O1810">
        <v>2.1468705815943245E-2</v>
      </c>
      <c r="P1810">
        <v>2.862574517676332E-2</v>
      </c>
      <c r="Q1810">
        <v>5.6445374750206008E-3</v>
      </c>
      <c r="R1810">
        <v>1.617524514099468E-3</v>
      </c>
      <c r="S1810">
        <v>0.27018253794833391</v>
      </c>
      <c r="T1810">
        <v>1.3594060459105561</v>
      </c>
      <c r="U1810">
        <v>0.21477344844780008</v>
      </c>
      <c r="V1810">
        <v>0.24606307419279652</v>
      </c>
      <c r="W1810">
        <v>9.9125931515116866E-2</v>
      </c>
      <c r="X1810">
        <v>1.6769502713305837E-2</v>
      </c>
      <c r="Y1810">
        <v>4.4023685105659856E-3</v>
      </c>
    </row>
    <row r="1811" spans="1:25">
      <c r="A1811" s="1010"/>
      <c r="B1811" s="1351">
        <v>1561</v>
      </c>
      <c r="C1811" s="1014">
        <v>0.96749115909055572</v>
      </c>
      <c r="D1811" s="1014">
        <v>1.0262246035729214</v>
      </c>
      <c r="E1811" s="1014">
        <v>1.0306523310130338</v>
      </c>
      <c r="F1811" s="1014">
        <v>0.98538967636485475</v>
      </c>
      <c r="G1811" s="1014">
        <v>0.98191367500927562</v>
      </c>
      <c r="H1811" s="1014">
        <v>1.0051686405379052</v>
      </c>
      <c r="I1811" s="1014">
        <v>1.0123014983028005</v>
      </c>
      <c r="K1811">
        <v>2.4236871274983223</v>
      </c>
      <c r="L1811">
        <v>0</v>
      </c>
      <c r="M1811">
        <v>1.5913578046434086E-3</v>
      </c>
      <c r="N1811">
        <v>0.15887438013005101</v>
      </c>
      <c r="O1811">
        <v>2.1588513698462646E-2</v>
      </c>
      <c r="P1811">
        <v>2.9082511757395034E-2</v>
      </c>
      <c r="Q1811">
        <v>5.824537565927556E-3</v>
      </c>
      <c r="R1811">
        <v>1.5704602665338257E-3</v>
      </c>
      <c r="S1811">
        <v>0.2678420364907878</v>
      </c>
      <c r="T1811">
        <v>1.3522537558263668</v>
      </c>
      <c r="U1811">
        <v>0.21920449079501775</v>
      </c>
      <c r="V1811">
        <v>0.24443457661269918</v>
      </c>
      <c r="W1811">
        <v>0.10250783617230416</v>
      </c>
      <c r="X1811">
        <v>1.7821110843999143E-2</v>
      </c>
      <c r="Y1811">
        <v>4.2742751434173458E-3</v>
      </c>
    </row>
    <row r="1812" spans="1:25">
      <c r="A1812" s="1010"/>
      <c r="B1812" s="1351">
        <v>1562</v>
      </c>
      <c r="C1812" s="1014">
        <v>0.98854153404865641</v>
      </c>
      <c r="D1812" s="1014">
        <v>1.008580271412153</v>
      </c>
      <c r="E1812" s="1014">
        <v>0.96506923737626316</v>
      </c>
      <c r="F1812" s="1014">
        <v>1.0350867703145412</v>
      </c>
      <c r="G1812" s="1014">
        <v>0.99119326544810427</v>
      </c>
      <c r="H1812" s="1014">
        <v>1.0208500815320343</v>
      </c>
      <c r="I1812" s="1014">
        <v>0.96680429617955288</v>
      </c>
      <c r="K1812">
        <v>2.4555269564569091</v>
      </c>
      <c r="L1812">
        <v>0</v>
      </c>
      <c r="M1812">
        <v>1.8191119209546192E-3</v>
      </c>
      <c r="N1812">
        <v>0.14899412076953505</v>
      </c>
      <c r="O1812">
        <v>2.1165639633050938E-2</v>
      </c>
      <c r="P1812">
        <v>2.8326643507467015E-2</v>
      </c>
      <c r="Q1812">
        <v>5.3456921121828047E-3</v>
      </c>
      <c r="R1812">
        <v>1.7955904937133915E-3</v>
      </c>
      <c r="S1812">
        <v>0.25330671659873211</v>
      </c>
      <c r="T1812">
        <v>1.4189857949678175</v>
      </c>
      <c r="U1812">
        <v>0.21430998362450859</v>
      </c>
      <c r="V1812">
        <v>0.2448759439438922</v>
      </c>
      <c r="W1812">
        <v>9.9961252954450935E-2</v>
      </c>
      <c r="X1812">
        <v>1.5391684364869596E-2</v>
      </c>
      <c r="Y1812">
        <v>4.8870054076406797E-3</v>
      </c>
    </row>
    <row r="1813" spans="1:25">
      <c r="A1813" s="1010"/>
      <c r="B1813" s="1351">
        <v>1563</v>
      </c>
      <c r="C1813" s="1014">
        <v>0.96696522182333833</v>
      </c>
      <c r="D1813" s="1014">
        <v>1.0150401768638428</v>
      </c>
      <c r="E1813" s="1014">
        <v>1.0140200555022274</v>
      </c>
      <c r="F1813" s="1014">
        <v>0.99147925616146015</v>
      </c>
      <c r="G1813" s="1014">
        <v>0.98550148923564684</v>
      </c>
      <c r="H1813" s="1014">
        <v>1.0343936966913316</v>
      </c>
      <c r="I1813" s="1014">
        <v>1.0144454505213651</v>
      </c>
      <c r="K1813">
        <v>2.4420048381148121</v>
      </c>
      <c r="L1813">
        <v>0</v>
      </c>
      <c r="M1813">
        <v>1.7003270420079839E-3</v>
      </c>
      <c r="N1813">
        <v>0.16150810340812205</v>
      </c>
      <c r="O1813">
        <v>2.1640976923753642E-2</v>
      </c>
      <c r="P1813">
        <v>2.8916033873202639E-2</v>
      </c>
      <c r="Q1813">
        <v>5.7430652551779303E-3</v>
      </c>
      <c r="R1813">
        <v>1.6786293862387858E-3</v>
      </c>
      <c r="S1813">
        <v>0.27248234152552969</v>
      </c>
      <c r="T1813">
        <v>1.3602522842546474</v>
      </c>
      <c r="U1813">
        <v>0.21926472224493362</v>
      </c>
      <c r="V1813">
        <v>0.24513835119808924</v>
      </c>
      <c r="W1813">
        <v>0.10522424429484023</v>
      </c>
      <c r="X1813">
        <v>1.728773696296913E-2</v>
      </c>
      <c r="Y1813">
        <v>4.5686758293135201E-3</v>
      </c>
    </row>
    <row r="1814" spans="1:25">
      <c r="A1814" s="1010"/>
      <c r="B1814" s="1351">
        <v>1564</v>
      </c>
      <c r="C1814" s="1014">
        <v>1.0017237626830533</v>
      </c>
      <c r="D1814" s="1014">
        <v>1.0074042791919577</v>
      </c>
      <c r="E1814" s="1014">
        <v>1.0253657446320361</v>
      </c>
      <c r="F1814" s="1014">
        <v>1.0010935920021178</v>
      </c>
      <c r="G1814" s="1014">
        <v>0.99740779428060333</v>
      </c>
      <c r="H1814" s="1014">
        <v>0.9890587901489778</v>
      </c>
      <c r="I1814" s="1014">
        <v>1.0117711873170234</v>
      </c>
      <c r="K1814">
        <v>2.4153258076870014</v>
      </c>
      <c r="L1814">
        <v>0</v>
      </c>
      <c r="M1814">
        <v>1.5353286282888691E-3</v>
      </c>
      <c r="N1814">
        <v>0.15082417743740228</v>
      </c>
      <c r="O1814">
        <v>2.0932322573406322E-2</v>
      </c>
      <c r="P1814">
        <v>2.9055211370649318E-2</v>
      </c>
      <c r="Q1814">
        <v>5.618024945187307E-3</v>
      </c>
      <c r="R1814">
        <v>1.514838463113014E-3</v>
      </c>
      <c r="S1814">
        <v>0.2595218431050404</v>
      </c>
      <c r="T1814">
        <v>1.3736892054862904</v>
      </c>
      <c r="U1814">
        <v>0.21169534705907167</v>
      </c>
      <c r="V1814">
        <v>0.24489165000726568</v>
      </c>
      <c r="W1814">
        <v>9.7613297111505529E-2</v>
      </c>
      <c r="X1814">
        <v>1.7382327826129688E-2</v>
      </c>
      <c r="Y1814">
        <v>4.1228909302284669E-3</v>
      </c>
    </row>
    <row r="1815" spans="1:25">
      <c r="A1815" s="1010"/>
      <c r="B1815" s="1351">
        <v>1565</v>
      </c>
      <c r="C1815" s="1014">
        <v>1.0253920346481753</v>
      </c>
      <c r="D1815" s="1014">
        <v>0.98398194372635861</v>
      </c>
      <c r="E1815" s="1014">
        <v>0.99707219351021115</v>
      </c>
      <c r="F1815" s="1014">
        <v>0.99729589993993273</v>
      </c>
      <c r="G1815" s="1014">
        <v>1.0281123665474996</v>
      </c>
      <c r="H1815" s="1014">
        <v>1.0436312050777321</v>
      </c>
      <c r="I1815" s="1014">
        <v>1.0211332378550801</v>
      </c>
      <c r="K1815">
        <v>2.4142483998145288</v>
      </c>
      <c r="L1815">
        <v>0</v>
      </c>
      <c r="M1815">
        <v>1.6871916500635956E-3</v>
      </c>
      <c r="N1815">
        <v>0.15228171806385329</v>
      </c>
      <c r="O1815">
        <v>2.0536857320421383E-2</v>
      </c>
      <c r="P1815">
        <v>2.8412736782839804E-2</v>
      </c>
      <c r="Q1815">
        <v>5.3582751275380288E-3</v>
      </c>
      <c r="R1815">
        <v>1.6658521824836317E-3</v>
      </c>
      <c r="S1815">
        <v>0.26332659199534125</v>
      </c>
      <c r="T1815">
        <v>1.3678664179995685</v>
      </c>
      <c r="U1815">
        <v>0.20671447812512952</v>
      </c>
      <c r="V1815">
        <v>0.24879779885890957</v>
      </c>
      <c r="W1815">
        <v>0.10021317026459353</v>
      </c>
      <c r="X1815">
        <v>1.6227794251214782E-2</v>
      </c>
      <c r="Y1815">
        <v>4.5339004926960779E-3</v>
      </c>
    </row>
    <row r="1816" spans="1:25">
      <c r="A1816" s="1010"/>
      <c r="B1816" s="1351">
        <v>1566</v>
      </c>
      <c r="C1816" s="1014">
        <v>0.9693475387409406</v>
      </c>
      <c r="D1816" s="1014">
        <v>0.99367475015524431</v>
      </c>
      <c r="E1816" s="1014">
        <v>1.009158791515451</v>
      </c>
      <c r="F1816" s="1014">
        <v>1.0054237978306557</v>
      </c>
      <c r="G1816" s="1014">
        <v>1.0031771399335778</v>
      </c>
      <c r="H1816" s="1014">
        <v>1.011509543991842</v>
      </c>
      <c r="I1816" s="1014">
        <v>0.99705798344199525</v>
      </c>
      <c r="K1816">
        <v>2.452496473335561</v>
      </c>
      <c r="L1816">
        <v>0</v>
      </c>
      <c r="M1816">
        <v>1.6833236854225471E-3</v>
      </c>
      <c r="N1816">
        <v>0.15751772987358006</v>
      </c>
      <c r="O1816">
        <v>2.1685723516412299E-2</v>
      </c>
      <c r="P1816">
        <v>2.9043451070466315E-2</v>
      </c>
      <c r="Q1816">
        <v>5.7270661212172752E-3</v>
      </c>
      <c r="R1816">
        <v>1.6613570335291988E-3</v>
      </c>
      <c r="S1816">
        <v>0.26794689598961746</v>
      </c>
      <c r="T1816">
        <v>1.3792774357200868</v>
      </c>
      <c r="U1816">
        <v>0.2187086732572093</v>
      </c>
      <c r="V1816">
        <v>0.24801417204987569</v>
      </c>
      <c r="W1816">
        <v>0.10291870704096504</v>
      </c>
      <c r="X1816">
        <v>1.7156919168952393E-2</v>
      </c>
      <c r="Y1816">
        <v>4.5216661790675643E-3</v>
      </c>
    </row>
    <row r="1817" spans="1:25">
      <c r="A1817" s="1010"/>
      <c r="B1817" s="1351">
        <v>1567</v>
      </c>
      <c r="C1817" s="1014">
        <v>1.0059719980413726</v>
      </c>
      <c r="D1817" s="1014">
        <v>0.97176434128117162</v>
      </c>
      <c r="E1817" s="1014">
        <v>1.0177549931826335</v>
      </c>
      <c r="F1817" s="1014">
        <v>0.9800753388698028</v>
      </c>
      <c r="G1817" s="1014">
        <v>1.0144004757102161</v>
      </c>
      <c r="H1817" s="1014">
        <v>0.99169688969326431</v>
      </c>
      <c r="I1817" s="1014">
        <v>1.0310177086061627</v>
      </c>
      <c r="K1817">
        <v>2.3964995231842501</v>
      </c>
      <c r="L1817">
        <v>0</v>
      </c>
      <c r="M1817">
        <v>1.5697863311048884E-3</v>
      </c>
      <c r="N1817">
        <v>0.15071467119100279</v>
      </c>
      <c r="O1817">
        <v>2.100468255305963E-2</v>
      </c>
      <c r="P1817">
        <v>2.8638803014795704E-2</v>
      </c>
      <c r="Q1817">
        <v>5.594988938809011E-3</v>
      </c>
      <c r="R1817">
        <v>1.5488920318551206E-3</v>
      </c>
      <c r="S1817">
        <v>0.26832508852018544</v>
      </c>
      <c r="T1817">
        <v>1.344686187698714</v>
      </c>
      <c r="U1817">
        <v>0.21077540848435705</v>
      </c>
      <c r="V1817">
        <v>0.24755554274995673</v>
      </c>
      <c r="W1817">
        <v>9.797718565225462E-2</v>
      </c>
      <c r="X1817">
        <v>1.7032285161778005E-2</v>
      </c>
      <c r="Y1817">
        <v>4.2155735185885621E-3</v>
      </c>
    </row>
    <row r="1818" spans="1:25">
      <c r="A1818" s="1010"/>
      <c r="B1818" s="1351">
        <v>1568</v>
      </c>
      <c r="C1818" s="1014">
        <v>0.96748086168528569</v>
      </c>
      <c r="D1818" s="1014">
        <v>0.99319823826619458</v>
      </c>
      <c r="E1818" s="1014">
        <v>1.0068988482184467</v>
      </c>
      <c r="F1818" s="1014">
        <v>0.98835397308205697</v>
      </c>
      <c r="G1818" s="1014">
        <v>1.000342526813812</v>
      </c>
      <c r="H1818" s="1014">
        <v>1.04231822026678</v>
      </c>
      <c r="I1818" s="1014">
        <v>1.011972177860754</v>
      </c>
      <c r="K1818">
        <v>2.4444006198896746</v>
      </c>
      <c r="L1818">
        <v>0</v>
      </c>
      <c r="M1818">
        <v>1.7463020065401577E-3</v>
      </c>
      <c r="N1818">
        <v>0.16236310269012116</v>
      </c>
      <c r="O1818">
        <v>2.1728302760948909E-2</v>
      </c>
      <c r="P1818">
        <v>2.8774404168761678E-2</v>
      </c>
      <c r="Q1818">
        <v>5.7253480113310861E-3</v>
      </c>
      <c r="R1818">
        <v>1.724187093199178E-3</v>
      </c>
      <c r="S1818">
        <v>0.27527153687630579</v>
      </c>
      <c r="T1818">
        <v>1.3558120339285793</v>
      </c>
      <c r="U1818">
        <v>0.21912265956465565</v>
      </c>
      <c r="V1818">
        <v>0.24766239235520496</v>
      </c>
      <c r="W1818">
        <v>0.10622625603945411</v>
      </c>
      <c r="X1818">
        <v>1.7044029518086628E-2</v>
      </c>
      <c r="Y1818">
        <v>4.6926688895656448E-3</v>
      </c>
    </row>
    <row r="1819" spans="1:25">
      <c r="A1819" s="1010"/>
      <c r="B1819" s="1351">
        <v>1569</v>
      </c>
      <c r="C1819" s="1014">
        <v>1.005721480329685</v>
      </c>
      <c r="D1819" s="1014">
        <v>0.97910488908550741</v>
      </c>
      <c r="E1819" s="1014">
        <v>0.99267260380677202</v>
      </c>
      <c r="F1819" s="1014">
        <v>0.99395013651301722</v>
      </c>
      <c r="G1819" s="1014">
        <v>1.0115872941651751</v>
      </c>
      <c r="H1819" s="1014">
        <v>0.99983185949248354</v>
      </c>
      <c r="I1819" s="1014">
        <v>1.018833538174186</v>
      </c>
      <c r="K1819">
        <v>2.4071112726303343</v>
      </c>
      <c r="L1819">
        <v>0</v>
      </c>
      <c r="M1819">
        <v>1.6649129637060518E-3</v>
      </c>
      <c r="N1819">
        <v>0.14820274359232563</v>
      </c>
      <c r="O1819">
        <v>2.095851710114581E-2</v>
      </c>
      <c r="P1819">
        <v>2.8307253022118752E-2</v>
      </c>
      <c r="Q1819">
        <v>5.4440925338857726E-3</v>
      </c>
      <c r="R1819">
        <v>1.6429328071224814E-3</v>
      </c>
      <c r="S1819">
        <v>0.26470912503147825</v>
      </c>
      <c r="T1819">
        <v>1.3631829699731048</v>
      </c>
      <c r="U1819">
        <v>0.21074259305420814</v>
      </c>
      <c r="V1819">
        <v>0.24718174332546966</v>
      </c>
      <c r="W1819">
        <v>9.7785286480576189E-2</v>
      </c>
      <c r="X1819">
        <v>1.6147407164272504E-2</v>
      </c>
      <c r="Y1819">
        <v>4.4715215083330848E-3</v>
      </c>
    </row>
    <row r="1820" spans="1:25">
      <c r="A1820" s="1010"/>
      <c r="B1820" s="1351">
        <v>1570</v>
      </c>
      <c r="C1820" s="1014">
        <v>1.0081023654610404</v>
      </c>
      <c r="D1820" s="1014">
        <v>1.0099541349028962</v>
      </c>
      <c r="E1820" s="1014">
        <v>1.0032514875287799</v>
      </c>
      <c r="F1820" s="1014">
        <v>1.0052327087290847</v>
      </c>
      <c r="G1820" s="1014">
        <v>1.0014335709919566</v>
      </c>
      <c r="H1820" s="1014">
        <v>0.97196157744976819</v>
      </c>
      <c r="I1820" s="1014">
        <v>0.99390110464320203</v>
      </c>
      <c r="K1820">
        <v>2.3998764405447184</v>
      </c>
      <c r="L1820">
        <v>0</v>
      </c>
      <c r="M1820">
        <v>1.5689017709735588E-3</v>
      </c>
      <c r="N1820">
        <v>0.14413731484634659</v>
      </c>
      <c r="O1820">
        <v>2.0773753280726795E-2</v>
      </c>
      <c r="P1820">
        <v>2.8531863768952451E-2</v>
      </c>
      <c r="Q1820">
        <v>5.4538512104719697E-3</v>
      </c>
      <c r="R1820">
        <v>1.5475952336860676E-3</v>
      </c>
      <c r="S1820">
        <v>0.25139648886162463</v>
      </c>
      <c r="T1820">
        <v>1.3788866999770437</v>
      </c>
      <c r="U1820">
        <v>0.21028073078080245</v>
      </c>
      <c r="V1820">
        <v>0.24526277586685727</v>
      </c>
      <c r="W1820">
        <v>9.4505842439230672E-2</v>
      </c>
      <c r="X1820">
        <v>1.6456381988485917E-2</v>
      </c>
      <c r="Y1820">
        <v>4.2120440614618008E-3</v>
      </c>
    </row>
    <row r="1821" spans="1:25">
      <c r="A1821" s="1010"/>
      <c r="B1821" s="1351">
        <v>1571</v>
      </c>
      <c r="C1821" s="1014">
        <v>0.99607105563860154</v>
      </c>
      <c r="D1821" s="1014">
        <v>1.0142172052579255</v>
      </c>
      <c r="E1821" s="1014">
        <v>0.97004971633056214</v>
      </c>
      <c r="F1821" s="1014">
        <v>1.0247109030247354</v>
      </c>
      <c r="G1821" s="1014">
        <v>1.0047312401464905</v>
      </c>
      <c r="H1821" s="1014">
        <v>1.0305279007189305</v>
      </c>
      <c r="I1821" s="1014">
        <v>1.0040759468776641</v>
      </c>
      <c r="K1821">
        <v>2.4505244683429743</v>
      </c>
      <c r="L1821">
        <v>0</v>
      </c>
      <c r="M1821">
        <v>1.801630161299914E-3</v>
      </c>
      <c r="N1821">
        <v>0.14982326591704115</v>
      </c>
      <c r="O1821">
        <v>2.0983194215576376E-2</v>
      </c>
      <c r="P1821">
        <v>2.8355399421587071E-2</v>
      </c>
      <c r="Q1821">
        <v>5.3266959147363112E-3</v>
      </c>
      <c r="R1821">
        <v>1.7785535461291534E-3</v>
      </c>
      <c r="S1821">
        <v>0.26122792156012448</v>
      </c>
      <c r="T1821">
        <v>1.4048712973462367</v>
      </c>
      <c r="U1821">
        <v>0.21270696809174464</v>
      </c>
      <c r="V1821">
        <v>0.24669474109110875</v>
      </c>
      <c r="W1821">
        <v>0.10021270684504621</v>
      </c>
      <c r="X1821">
        <v>1.5504718102400521E-2</v>
      </c>
      <c r="Y1821">
        <v>4.8406364525446456E-3</v>
      </c>
    </row>
    <row r="1822" spans="1:25">
      <c r="A1822" s="1010"/>
      <c r="B1822" s="1351">
        <v>1572</v>
      </c>
      <c r="C1822" s="1014">
        <v>1.0063008996805323</v>
      </c>
      <c r="D1822" s="1014">
        <v>1.005871353506353</v>
      </c>
      <c r="E1822" s="1014">
        <v>0.96145758647971447</v>
      </c>
      <c r="F1822" s="1014">
        <v>0.98599752742914837</v>
      </c>
      <c r="G1822" s="1014">
        <v>1.0156092121572691</v>
      </c>
      <c r="H1822" s="1014">
        <v>1.0209656382309136</v>
      </c>
      <c r="I1822" s="1014">
        <v>0.98173383520055058</v>
      </c>
      <c r="K1822">
        <v>2.3802181099292006</v>
      </c>
      <c r="L1822">
        <v>0</v>
      </c>
      <c r="M1822">
        <v>1.8016366450360817E-3</v>
      </c>
      <c r="N1822">
        <v>0.14595732792555077</v>
      </c>
      <c r="O1822">
        <v>2.0802046401736326E-2</v>
      </c>
      <c r="P1822">
        <v>2.734137913453201E-2</v>
      </c>
      <c r="Q1822">
        <v>5.234430226557593E-3</v>
      </c>
      <c r="R1822">
        <v>1.7783438127595449E-3</v>
      </c>
      <c r="S1822">
        <v>0.25299833537876004</v>
      </c>
      <c r="T1822">
        <v>1.3516136219223696</v>
      </c>
      <c r="U1822">
        <v>0.21051561120104889</v>
      </c>
      <c r="V1822">
        <v>0.2479500808098378</v>
      </c>
      <c r="W1822">
        <v>9.81404944843937E-2</v>
      </c>
      <c r="X1822">
        <v>1.4848009649239118E-2</v>
      </c>
      <c r="Y1822">
        <v>4.840065627451158E-3</v>
      </c>
    </row>
    <row r="1823" spans="1:25">
      <c r="A1823" s="1010"/>
      <c r="B1823" s="1351">
        <v>1573</v>
      </c>
      <c r="C1823" s="1014">
        <v>1.0131308902327165</v>
      </c>
      <c r="D1823" s="1014">
        <v>1.0120915344706647</v>
      </c>
      <c r="E1823" s="1014">
        <v>1.0034414618255827</v>
      </c>
      <c r="F1823" s="1014">
        <v>1.0108160991436841</v>
      </c>
      <c r="G1823" s="1014">
        <v>0.96676183579780262</v>
      </c>
      <c r="H1823" s="1014">
        <v>0.99902503089647887</v>
      </c>
      <c r="I1823" s="1014">
        <v>0.9959335239043734</v>
      </c>
      <c r="K1823">
        <v>2.4069512119910463</v>
      </c>
      <c r="L1823">
        <v>0</v>
      </c>
      <c r="M1823">
        <v>1.6032043500748023E-3</v>
      </c>
      <c r="N1823">
        <v>0.14742824796034071</v>
      </c>
      <c r="O1823">
        <v>2.0661158314516689E-2</v>
      </c>
      <c r="P1823">
        <v>2.8558477535604837E-2</v>
      </c>
      <c r="Q1823">
        <v>5.425325011329557E-3</v>
      </c>
      <c r="R1823">
        <v>1.5820217761248648E-3</v>
      </c>
      <c r="S1823">
        <v>0.25265321692666148</v>
      </c>
      <c r="T1823">
        <v>1.3865496426086732</v>
      </c>
      <c r="U1823">
        <v>0.20923767488517106</v>
      </c>
      <c r="V1823">
        <v>0.23903452455766996</v>
      </c>
      <c r="W1823">
        <v>9.665270832263495E-2</v>
      </c>
      <c r="X1823">
        <v>1.6465676681119236E-2</v>
      </c>
      <c r="Y1823">
        <v>4.3057417612735417E-3</v>
      </c>
    </row>
    <row r="1824" spans="1:25">
      <c r="A1824" s="1010"/>
      <c r="B1824" s="1351">
        <v>1574</v>
      </c>
      <c r="C1824" s="1014">
        <v>1.0036236827873779</v>
      </c>
      <c r="D1824" s="1014">
        <v>1.0291088174649508</v>
      </c>
      <c r="E1824" s="1014">
        <v>0.99872510483178301</v>
      </c>
      <c r="F1824" s="1014">
        <v>1.0098676305718621</v>
      </c>
      <c r="G1824" s="1014">
        <v>1.0327189065556723</v>
      </c>
      <c r="H1824" s="1014">
        <v>0.99248233647531314</v>
      </c>
      <c r="I1824" s="1014">
        <v>1.0052457229377536</v>
      </c>
      <c r="K1824">
        <v>2.4205755032864258</v>
      </c>
      <c r="L1824">
        <v>0</v>
      </c>
      <c r="M1824">
        <v>1.6176565231777295E-3</v>
      </c>
      <c r="N1824">
        <v>0.14663983830552646</v>
      </c>
      <c r="O1824">
        <v>2.0777409691271054E-2</v>
      </c>
      <c r="P1824">
        <v>2.8655733443010603E-2</v>
      </c>
      <c r="Q1824">
        <v>5.4300625813144942E-3</v>
      </c>
      <c r="R1824">
        <v>1.5961420980770394E-3</v>
      </c>
      <c r="S1824">
        <v>0.25470933569686988</v>
      </c>
      <c r="T1824">
        <v>1.385145580220476</v>
      </c>
      <c r="U1824">
        <v>0.21120369230376526</v>
      </c>
      <c r="V1824">
        <v>0.2508980576809266</v>
      </c>
      <c r="W1824">
        <v>9.6405463507155217E-2</v>
      </c>
      <c r="X1824">
        <v>1.6387671658345974E-2</v>
      </c>
      <c r="Y1824">
        <v>4.3441726228644808E-3</v>
      </c>
    </row>
    <row r="1825" spans="1:25">
      <c r="A1825" s="1010"/>
      <c r="B1825" s="1351">
        <v>1575</v>
      </c>
      <c r="C1825" s="1014">
        <v>0.97818372410332877</v>
      </c>
      <c r="D1825" s="1014">
        <v>0.99276652160070855</v>
      </c>
      <c r="E1825" s="1014">
        <v>0.99886831104348361</v>
      </c>
      <c r="F1825" s="1014">
        <v>1.0035805058021239</v>
      </c>
      <c r="G1825" s="1014">
        <v>1.0005071279997126</v>
      </c>
      <c r="H1825" s="1014">
        <v>0.98424440571068794</v>
      </c>
      <c r="I1825" s="1014">
        <v>1.0141050900207835</v>
      </c>
      <c r="K1825">
        <v>2.4340952203048452</v>
      </c>
      <c r="L1825">
        <v>0</v>
      </c>
      <c r="M1825">
        <v>1.6585290576249028E-3</v>
      </c>
      <c r="N1825">
        <v>0.15039301404176289</v>
      </c>
      <c r="O1825">
        <v>2.148715700590759E-2</v>
      </c>
      <c r="P1825">
        <v>2.8740291499983986E-2</v>
      </c>
      <c r="Q1825">
        <v>5.6163601105837643E-3</v>
      </c>
      <c r="R1825">
        <v>1.6362864168355605E-3</v>
      </c>
      <c r="S1825">
        <v>0.26769373396500978</v>
      </c>
      <c r="T1825">
        <v>1.3765251981833104</v>
      </c>
      <c r="U1825">
        <v>0.21669703930354806</v>
      </c>
      <c r="V1825">
        <v>0.24701331331757923</v>
      </c>
      <c r="W1825">
        <v>9.8864491614551506E-2</v>
      </c>
      <c r="X1825">
        <v>1.6633431678444333E-2</v>
      </c>
      <c r="Y1825">
        <v>4.4534322249540539E-3</v>
      </c>
    </row>
    <row r="1826" spans="1:25">
      <c r="A1826" s="1010"/>
      <c r="B1826" s="1351">
        <v>1576</v>
      </c>
      <c r="C1826" s="1014">
        <v>1.0075896312862884</v>
      </c>
      <c r="D1826" s="1014">
        <v>0.96773419966640495</v>
      </c>
      <c r="E1826" s="1014">
        <v>0.99006822141943052</v>
      </c>
      <c r="F1826" s="1014">
        <v>1.00029848895739</v>
      </c>
      <c r="G1826" s="1014">
        <v>1.0342834635599349</v>
      </c>
      <c r="H1826" s="1014">
        <v>0.99780198056605329</v>
      </c>
      <c r="I1826" s="1014">
        <v>1.0050290623657916</v>
      </c>
      <c r="K1826">
        <v>2.415660203938506</v>
      </c>
      <c r="L1826">
        <v>0</v>
      </c>
      <c r="M1826">
        <v>1.6717143630532374E-3</v>
      </c>
      <c r="N1826">
        <v>0.14763712932230033</v>
      </c>
      <c r="O1826">
        <v>2.0971763173382365E-2</v>
      </c>
      <c r="P1826">
        <v>2.8377822804727008E-2</v>
      </c>
      <c r="Q1826">
        <v>5.433222808282981E-3</v>
      </c>
      <c r="R1826">
        <v>1.6495995164848287E-3</v>
      </c>
      <c r="S1826">
        <v>0.26198318292655587</v>
      </c>
      <c r="T1826">
        <v>1.3718333637165008</v>
      </c>
      <c r="U1826">
        <v>0.21034303634785889</v>
      </c>
      <c r="V1826">
        <v>0.25095324617170822</v>
      </c>
      <c r="W1826">
        <v>9.7564024406101804E-2</v>
      </c>
      <c r="X1826">
        <v>1.6095861014119858E-2</v>
      </c>
      <c r="Y1826">
        <v>4.4896660935372429E-3</v>
      </c>
    </row>
    <row r="1827" spans="1:25">
      <c r="A1827" s="1010"/>
      <c r="B1827" s="1351">
        <v>1577</v>
      </c>
      <c r="C1827" s="1014">
        <v>0.99302045940421535</v>
      </c>
      <c r="D1827" s="1014">
        <v>1.0173532494575337</v>
      </c>
      <c r="E1827" s="1014">
        <v>0.99576270935371114</v>
      </c>
      <c r="F1827" s="1014">
        <v>1.0072796576946765</v>
      </c>
      <c r="G1827" s="1014">
        <v>0.97127718514029238</v>
      </c>
      <c r="H1827" s="1014">
        <v>0.99249824014489318</v>
      </c>
      <c r="I1827" s="1014">
        <v>0.97553946500730448</v>
      </c>
      <c r="K1827">
        <v>2.4086682738557093</v>
      </c>
      <c r="L1827">
        <v>0</v>
      </c>
      <c r="M1827">
        <v>1.6491920454326054E-3</v>
      </c>
      <c r="N1827">
        <v>0.14816623562405021</v>
      </c>
      <c r="O1827">
        <v>2.105043763108945E-2</v>
      </c>
      <c r="P1827">
        <v>2.839297555876464E-2</v>
      </c>
      <c r="Q1827">
        <v>5.4850345832508527E-3</v>
      </c>
      <c r="R1827">
        <v>1.6272585572786858E-3</v>
      </c>
      <c r="S1827">
        <v>0.25123450537489944</v>
      </c>
      <c r="T1827">
        <v>1.3815313860960821</v>
      </c>
      <c r="U1827">
        <v>0.2134486794400893</v>
      </c>
      <c r="V1827">
        <v>0.24107923390124805</v>
      </c>
      <c r="W1827">
        <v>9.7580995289926475E-2</v>
      </c>
      <c r="X1827">
        <v>1.6291862477188102E-2</v>
      </c>
      <c r="Y1827">
        <v>4.428861367273342E-3</v>
      </c>
    </row>
    <row r="1828" spans="1:25">
      <c r="A1828" s="1010"/>
      <c r="B1828" s="1351">
        <v>1578</v>
      </c>
      <c r="C1828" s="1014">
        <v>0.99300769074153783</v>
      </c>
      <c r="D1828" s="1014">
        <v>0.99860782043279095</v>
      </c>
      <c r="E1828" s="1014">
        <v>0.97685044454278402</v>
      </c>
      <c r="F1828" s="1014">
        <v>0.97109895938048729</v>
      </c>
      <c r="G1828" s="1014">
        <v>1.0109691102712948</v>
      </c>
      <c r="H1828" s="1014">
        <v>1.0253522086555091</v>
      </c>
      <c r="I1828" s="1014">
        <v>1.0025213916179359</v>
      </c>
      <c r="K1828">
        <v>2.3820337312930753</v>
      </c>
      <c r="L1828">
        <v>0</v>
      </c>
      <c r="M1828">
        <v>1.7790893709137626E-3</v>
      </c>
      <c r="N1828">
        <v>0.15101621741340412</v>
      </c>
      <c r="O1828">
        <v>2.1124396645099044E-2</v>
      </c>
      <c r="P1828">
        <v>2.7572231310117063E-2</v>
      </c>
      <c r="Q1828">
        <v>5.3998729433686488E-3</v>
      </c>
      <c r="R1828">
        <v>1.7561864479568091E-3</v>
      </c>
      <c r="S1828">
        <v>0.26326573766753786</v>
      </c>
      <c r="T1828">
        <v>1.3315117561946859</v>
      </c>
      <c r="U1828">
        <v>0.21338646485129883</v>
      </c>
      <c r="V1828">
        <v>0.2479286831373112</v>
      </c>
      <c r="W1828">
        <v>0.1005945439238364</v>
      </c>
      <c r="X1828">
        <v>1.5476969544740557E-2</v>
      </c>
      <c r="Y1828">
        <v>4.7797605846314536E-3</v>
      </c>
    </row>
    <row r="1829" spans="1:25">
      <c r="A1829" s="1010"/>
      <c r="B1829" s="1351">
        <v>1579</v>
      </c>
      <c r="C1829" s="1014">
        <v>1.0015954140395862</v>
      </c>
      <c r="D1829" s="1014">
        <v>1.0321423992547782</v>
      </c>
      <c r="E1829" s="1014">
        <v>0.99947918370440636</v>
      </c>
      <c r="F1829" s="1014">
        <v>0.99591330399182354</v>
      </c>
      <c r="G1829" s="1014">
        <v>0.99097443464521251</v>
      </c>
      <c r="H1829" s="1014">
        <v>1.025842414703102</v>
      </c>
      <c r="I1829" s="1014">
        <v>1.0158023399673592</v>
      </c>
      <c r="K1829">
        <v>2.4092270725960563</v>
      </c>
      <c r="L1829">
        <v>0</v>
      </c>
      <c r="M1829">
        <v>1.6717152230926416E-3</v>
      </c>
      <c r="N1829">
        <v>0.15195247248990809</v>
      </c>
      <c r="O1829">
        <v>2.0806503436925902E-2</v>
      </c>
      <c r="P1829">
        <v>2.8398870340973534E-2</v>
      </c>
      <c r="Q1829">
        <v>5.4417913519721984E-3</v>
      </c>
      <c r="R1829">
        <v>1.6502048539151523E-3</v>
      </c>
      <c r="S1829">
        <v>0.26039208335411151</v>
      </c>
      <c r="T1829">
        <v>1.3660219118138199</v>
      </c>
      <c r="U1829">
        <v>0.21163396095064613</v>
      </c>
      <c r="V1829">
        <v>0.24389227103956312</v>
      </c>
      <c r="W1829">
        <v>9.9853355476594186E-2</v>
      </c>
      <c r="X1829">
        <v>1.636404908824185E-2</v>
      </c>
      <c r="Y1829">
        <v>4.4913136224731514E-3</v>
      </c>
    </row>
    <row r="1830" spans="1:25">
      <c r="A1830" s="1010"/>
      <c r="B1830" s="1351">
        <v>1580</v>
      </c>
      <c r="C1830" s="1014">
        <v>0.96207968896329243</v>
      </c>
      <c r="D1830" s="1014">
        <v>1.003844654469281</v>
      </c>
      <c r="E1830" s="1014">
        <v>0.99294265379077862</v>
      </c>
      <c r="F1830" s="1014">
        <v>0.96103891238981898</v>
      </c>
      <c r="G1830" s="1014">
        <v>1.0033488859623074</v>
      </c>
      <c r="H1830" s="1014">
        <v>0.96245646681949348</v>
      </c>
      <c r="I1830" s="1014">
        <v>1.0255337665335287</v>
      </c>
      <c r="K1830">
        <v>2.3808176375024286</v>
      </c>
      <c r="L1830">
        <v>0</v>
      </c>
      <c r="M1830">
        <v>1.6652718080621615E-3</v>
      </c>
      <c r="N1830">
        <v>0.14827866500460593</v>
      </c>
      <c r="O1830">
        <v>2.1789473311794802E-2</v>
      </c>
      <c r="P1830">
        <v>2.7943971550746956E-2</v>
      </c>
      <c r="Q1830">
        <v>5.6614808035177202E-3</v>
      </c>
      <c r="R1830">
        <v>1.6424331673048243E-3</v>
      </c>
      <c r="S1830">
        <v>0.27168659654098731</v>
      </c>
      <c r="T1830">
        <v>1.3180514814285289</v>
      </c>
      <c r="U1830">
        <v>0.2203032421644939</v>
      </c>
      <c r="V1830">
        <v>0.24858747146341559</v>
      </c>
      <c r="W1830">
        <v>9.7819588926749801E-2</v>
      </c>
      <c r="X1830">
        <v>1.62483432948884E-2</v>
      </c>
      <c r="Y1830">
        <v>4.470161653455644E-3</v>
      </c>
    </row>
    <row r="1831" spans="1:25">
      <c r="A1831" s="1010"/>
      <c r="B1831" s="1351">
        <v>1581</v>
      </c>
      <c r="C1831" s="1014">
        <v>1.0193533693212564</v>
      </c>
      <c r="D1831" s="1014">
        <v>0.98879762737145804</v>
      </c>
      <c r="E1831" s="1014">
        <v>0.99022811763177254</v>
      </c>
      <c r="F1831" s="1014">
        <v>0.99124550152730206</v>
      </c>
      <c r="G1831" s="1014">
        <v>1.0304230541651009</v>
      </c>
      <c r="H1831" s="1014">
        <v>1.0205290556180104</v>
      </c>
      <c r="I1831" s="1014">
        <v>1.0006419802092119</v>
      </c>
      <c r="K1831">
        <v>2.3951737960781845</v>
      </c>
      <c r="L1831">
        <v>0</v>
      </c>
      <c r="M1831">
        <v>1.6815155930499333E-3</v>
      </c>
      <c r="N1831">
        <v>0.148618888770288</v>
      </c>
      <c r="O1831">
        <v>2.0631878578741873E-2</v>
      </c>
      <c r="P1831">
        <v>2.8093416203024326E-2</v>
      </c>
      <c r="Q1831">
        <v>5.3460316741245541E-3</v>
      </c>
      <c r="R1831">
        <v>1.6597664703551706E-3</v>
      </c>
      <c r="S1831">
        <v>0.25695064771965226</v>
      </c>
      <c r="T1831">
        <v>1.359421300526396</v>
      </c>
      <c r="U1831">
        <v>0.20791613048461585</v>
      </c>
      <c r="V1831">
        <v>0.24957869957938583</v>
      </c>
      <c r="W1831">
        <v>9.820340100859884E-2</v>
      </c>
      <c r="X1831">
        <v>1.5917813465614137E-2</v>
      </c>
      <c r="Y1831">
        <v>4.5173371904368691E-3</v>
      </c>
    </row>
    <row r="1832" spans="1:25">
      <c r="A1832" s="1010"/>
      <c r="B1832" s="1351">
        <v>1582</v>
      </c>
      <c r="C1832" s="1014">
        <v>1.0166083601302234</v>
      </c>
      <c r="D1832" s="1014">
        <v>1.0078113876024097</v>
      </c>
      <c r="E1832" s="1014">
        <v>0.99710266208152554</v>
      </c>
      <c r="F1832" s="1014">
        <v>0.98316264936492748</v>
      </c>
      <c r="G1832" s="1014">
        <v>0.96971456545212742</v>
      </c>
      <c r="H1832" s="1014">
        <v>1.0135200336454766</v>
      </c>
      <c r="I1832" s="1014">
        <v>0.97776409214327742</v>
      </c>
      <c r="K1832">
        <v>2.3653784099815183</v>
      </c>
      <c r="L1832">
        <v>0</v>
      </c>
      <c r="M1832">
        <v>1.6438881195615779E-3</v>
      </c>
      <c r="N1832">
        <v>0.14833043819663461</v>
      </c>
      <c r="O1832">
        <v>2.0605558854570338E-2</v>
      </c>
      <c r="P1832">
        <v>2.7848071374346646E-2</v>
      </c>
      <c r="Q1832">
        <v>5.3763649789232114E-3</v>
      </c>
      <c r="R1832">
        <v>1.6224786386489849E-3</v>
      </c>
      <c r="S1832">
        <v>0.24885351998883704</v>
      </c>
      <c r="T1832">
        <v>1.3484822481810241</v>
      </c>
      <c r="U1832">
        <v>0.20850062986872617</v>
      </c>
      <c r="V1832">
        <v>0.23934993540654395</v>
      </c>
      <c r="W1832">
        <v>9.7611150228913326E-2</v>
      </c>
      <c r="X1832">
        <v>1.6026050379449618E-2</v>
      </c>
      <c r="Y1832">
        <v>4.4158520044630519E-3</v>
      </c>
    </row>
    <row r="1833" spans="1:25">
      <c r="A1833" s="1010"/>
      <c r="B1833" s="1351">
        <v>1583</v>
      </c>
      <c r="C1833" s="1014">
        <v>0.98293884647741414</v>
      </c>
      <c r="D1833" s="1014">
        <v>1.0023546192840604</v>
      </c>
      <c r="E1833" s="1014">
        <v>1.0151322055211043</v>
      </c>
      <c r="F1833" s="1014">
        <v>0.99345374291617583</v>
      </c>
      <c r="G1833" s="1014">
        <v>1.013054511606617</v>
      </c>
      <c r="H1833" s="1014">
        <v>1.0028796120632648</v>
      </c>
      <c r="I1833" s="1014">
        <v>1.0220413774979402</v>
      </c>
      <c r="K1833">
        <v>2.429132008952589</v>
      </c>
      <c r="L1833">
        <v>0</v>
      </c>
      <c r="M1833">
        <v>1.6224720411296759E-3</v>
      </c>
      <c r="N1833">
        <v>0.15456826412041039</v>
      </c>
      <c r="O1833">
        <v>2.1349028825403276E-2</v>
      </c>
      <c r="P1833">
        <v>2.8930243420782941E-2</v>
      </c>
      <c r="Q1833">
        <v>5.6718746146894976E-3</v>
      </c>
      <c r="R1833">
        <v>1.6011172839461103E-3</v>
      </c>
      <c r="S1833">
        <v>0.26897548127286292</v>
      </c>
      <c r="T1833">
        <v>1.3629851314623409</v>
      </c>
      <c r="U1833">
        <v>0.21570535303770266</v>
      </c>
      <c r="V1833">
        <v>0.24878896537168677</v>
      </c>
      <c r="W1833">
        <v>0.10063708260168</v>
      </c>
      <c r="X1833">
        <v>1.718422554347844E-2</v>
      </c>
      <c r="Y1833">
        <v>4.3577134387305112E-3</v>
      </c>
    </row>
    <row r="1834" spans="1:25">
      <c r="A1834" s="1010"/>
      <c r="B1834" s="1351">
        <v>1584</v>
      </c>
      <c r="C1834" s="1014">
        <v>0.99567136723309124</v>
      </c>
      <c r="D1834" s="1014">
        <v>0.95946661394431931</v>
      </c>
      <c r="E1834" s="1014">
        <v>0.98306575085595382</v>
      </c>
      <c r="F1834" s="1014">
        <v>0.95349314938935859</v>
      </c>
      <c r="G1834" s="1014">
        <v>1.0082843938778392</v>
      </c>
      <c r="H1834" s="1014">
        <v>1.0192409860099805</v>
      </c>
      <c r="I1834" s="1014">
        <v>0.97969778544812924</v>
      </c>
      <c r="K1834">
        <v>2.3560585562004031</v>
      </c>
      <c r="L1834">
        <v>0</v>
      </c>
      <c r="M1834">
        <v>1.7566167089699829E-3</v>
      </c>
      <c r="N1834">
        <v>0.15192735630116969</v>
      </c>
      <c r="O1834">
        <v>2.1258194339138826E-2</v>
      </c>
      <c r="P1834">
        <v>2.7336598817244349E-2</v>
      </c>
      <c r="Q1834">
        <v>5.4685124141880216E-3</v>
      </c>
      <c r="R1834">
        <v>1.733867497461353E-3</v>
      </c>
      <c r="S1834">
        <v>0.26131329951198834</v>
      </c>
      <c r="T1834">
        <v>1.3074993865022797</v>
      </c>
      <c r="U1834">
        <v>0.21283687027124751</v>
      </c>
      <c r="V1834">
        <v>0.24727892101875174</v>
      </c>
      <c r="W1834">
        <v>0.10082236446344708</v>
      </c>
      <c r="X1834">
        <v>1.5620786013630511E-2</v>
      </c>
      <c r="Y1834">
        <v>4.7190157588228787E-3</v>
      </c>
    </row>
    <row r="1835" spans="1:25">
      <c r="A1835" s="1010"/>
      <c r="B1835" s="1351">
        <v>1585</v>
      </c>
      <c r="C1835" s="1014">
        <v>1.0113713926969494</v>
      </c>
      <c r="D1835" s="1014">
        <v>0.99433887774616359</v>
      </c>
      <c r="E1835" s="1014">
        <v>0.96625984731499881</v>
      </c>
      <c r="F1835" s="1014">
        <v>1.0266558513516328</v>
      </c>
      <c r="G1835" s="1014">
        <v>1.027431499677204</v>
      </c>
      <c r="H1835" s="1014">
        <v>1.036344352123246</v>
      </c>
      <c r="I1835" s="1014">
        <v>1.0076969906565814</v>
      </c>
      <c r="K1835">
        <v>2.4503055760733998</v>
      </c>
      <c r="L1835">
        <v>0</v>
      </c>
      <c r="M1835">
        <v>1.8062497193214507E-3</v>
      </c>
      <c r="N1835">
        <v>0.14850418693801781</v>
      </c>
      <c r="O1835">
        <v>2.075346718524149E-2</v>
      </c>
      <c r="P1835">
        <v>2.8303544926354802E-2</v>
      </c>
      <c r="Q1835">
        <v>5.2479897488115724E-3</v>
      </c>
      <c r="R1835">
        <v>1.7832437823259589E-3</v>
      </c>
      <c r="S1835">
        <v>0.2612209294025809</v>
      </c>
      <c r="T1835">
        <v>1.4074542145069657</v>
      </c>
      <c r="U1835">
        <v>0.20947632928965534</v>
      </c>
      <c r="V1835">
        <v>0.24964198408109847</v>
      </c>
      <c r="W1835">
        <v>9.9560131733402113E-2</v>
      </c>
      <c r="X1835">
        <v>1.5312402468931775E-2</v>
      </c>
      <c r="Y1835">
        <v>4.8534017293364031E-3</v>
      </c>
    </row>
    <row r="1836" spans="1:25">
      <c r="A1836" s="1010"/>
      <c r="B1836" s="1351">
        <v>1586</v>
      </c>
      <c r="C1836" s="1014">
        <v>1.0015981505042209</v>
      </c>
      <c r="D1836" s="1014">
        <v>0.97906140683130616</v>
      </c>
      <c r="E1836" s="1014">
        <v>1.0038766518926563</v>
      </c>
      <c r="F1836" s="1014">
        <v>1.0123628082034453</v>
      </c>
      <c r="G1836" s="1014">
        <v>1.0316029933283717</v>
      </c>
      <c r="H1836" s="1014">
        <v>0.95790831102198515</v>
      </c>
      <c r="I1836" s="1014">
        <v>1.0022637311681062</v>
      </c>
      <c r="K1836">
        <v>2.4238212401657102</v>
      </c>
      <c r="L1836">
        <v>0</v>
      </c>
      <c r="M1836">
        <v>1.5648993109874485E-3</v>
      </c>
      <c r="N1836">
        <v>0.14401224058812473</v>
      </c>
      <c r="O1836">
        <v>2.1052460344668813E-2</v>
      </c>
      <c r="P1836">
        <v>2.8864046709582505E-2</v>
      </c>
      <c r="Q1836">
        <v>5.5304891947403068E-3</v>
      </c>
      <c r="R1836">
        <v>1.5433353430995916E-3</v>
      </c>
      <c r="S1836">
        <v>0.25798884221860469</v>
      </c>
      <c r="T1836">
        <v>1.3886808193932358</v>
      </c>
      <c r="U1836">
        <v>0.21164839426895493</v>
      </c>
      <c r="V1836">
        <v>0.25081398466072863</v>
      </c>
      <c r="W1836">
        <v>9.4388856162257131E-2</v>
      </c>
      <c r="X1836">
        <v>1.6662220549141096E-2</v>
      </c>
      <c r="Y1836">
        <v>4.2004500435579677E-3</v>
      </c>
    </row>
    <row r="1837" spans="1:25">
      <c r="A1837" s="1010"/>
      <c r="B1837" s="1351">
        <v>1587</v>
      </c>
      <c r="C1837" s="1014">
        <v>0.99914580041299283</v>
      </c>
      <c r="D1837" s="1014">
        <v>1.0219819498759175</v>
      </c>
      <c r="E1837" s="1014">
        <v>0.99009121792326238</v>
      </c>
      <c r="F1837" s="1014">
        <v>1.0094536157995824</v>
      </c>
      <c r="G1837" s="1014">
        <v>1.0360707706807224</v>
      </c>
      <c r="H1837" s="1014">
        <v>0.98916283675767958</v>
      </c>
      <c r="I1837" s="1014">
        <v>1.0100627692388968</v>
      </c>
      <c r="K1837">
        <v>2.4234559418232005</v>
      </c>
      <c r="L1837">
        <v>0</v>
      </c>
      <c r="M1837">
        <v>1.6512334260557191E-3</v>
      </c>
      <c r="N1837">
        <v>0.14582142308482288</v>
      </c>
      <c r="O1837">
        <v>2.0896757968238443E-2</v>
      </c>
      <c r="P1837">
        <v>2.8524500571990023E-2</v>
      </c>
      <c r="Q1837">
        <v>5.4139168005915258E-3</v>
      </c>
      <c r="R1837">
        <v>1.6291987384100244E-3</v>
      </c>
      <c r="S1837">
        <v>0.25761417161736866</v>
      </c>
      <c r="T1837">
        <v>1.3843894255332494</v>
      </c>
      <c r="U1837">
        <v>0.21212073436476553</v>
      </c>
      <c r="V1837">
        <v>0.25178170205085243</v>
      </c>
      <c r="W1837">
        <v>9.6362811748931229E-2</v>
      </c>
      <c r="X1837">
        <v>1.6118390869304146E-2</v>
      </c>
      <c r="Y1837">
        <v>4.4341419007323073E-3</v>
      </c>
    </row>
    <row r="1838" spans="1:25">
      <c r="A1838" s="1010"/>
      <c r="B1838" s="1351">
        <v>1588</v>
      </c>
      <c r="C1838" s="1014">
        <v>0.95269242473690829</v>
      </c>
      <c r="D1838" s="1014">
        <v>1.0081014699188509</v>
      </c>
      <c r="E1838" s="1014">
        <v>1.0156524342821109</v>
      </c>
      <c r="F1838" s="1014">
        <v>1.0362266405860681</v>
      </c>
      <c r="G1838" s="1014">
        <v>1.0319870898780497</v>
      </c>
      <c r="H1838" s="1014">
        <v>0.99693773299380206</v>
      </c>
      <c r="I1838" s="1014">
        <v>1.0035298786393962</v>
      </c>
      <c r="K1838">
        <v>2.5109438232906758</v>
      </c>
      <c r="L1838">
        <v>0</v>
      </c>
      <c r="M1838">
        <v>1.6601764576595725E-3</v>
      </c>
      <c r="N1838">
        <v>0.15839616197356321</v>
      </c>
      <c r="O1838">
        <v>2.1999501596799337E-2</v>
      </c>
      <c r="P1838">
        <v>2.9949049314601458E-2</v>
      </c>
      <c r="Q1838">
        <v>5.8477193322497081E-3</v>
      </c>
      <c r="R1838">
        <v>1.6381952051358005E-3</v>
      </c>
      <c r="S1838">
        <v>0.27118371780992473</v>
      </c>
      <c r="T1838">
        <v>1.4216798036379803</v>
      </c>
      <c r="U1838">
        <v>0.22255551514526059</v>
      </c>
      <c r="V1838">
        <v>0.25403462693178003</v>
      </c>
      <c r="W1838">
        <v>0.10309787181247732</v>
      </c>
      <c r="X1838">
        <v>1.7763209671087306E-2</v>
      </c>
      <c r="Y1838">
        <v>4.4586273174754129E-3</v>
      </c>
    </row>
    <row r="1839" spans="1:25">
      <c r="A1839" s="1010"/>
      <c r="B1839" s="1351">
        <v>1589</v>
      </c>
      <c r="C1839" s="1014">
        <v>1.0130011905943803</v>
      </c>
      <c r="D1839" s="1014">
        <v>1.0207719241567654</v>
      </c>
      <c r="E1839" s="1014">
        <v>0.99622612169805014</v>
      </c>
      <c r="F1839" s="1014">
        <v>0.96422043215851194</v>
      </c>
      <c r="G1839" s="1014">
        <v>1.0061630468681952</v>
      </c>
      <c r="H1839" s="1014">
        <v>1.0138693548760573</v>
      </c>
      <c r="I1839" s="1014">
        <v>1.0233839690286486</v>
      </c>
      <c r="K1839">
        <v>2.357420080036182</v>
      </c>
      <c r="L1839">
        <v>0</v>
      </c>
      <c r="M1839">
        <v>1.6486709545662846E-3</v>
      </c>
      <c r="N1839">
        <v>0.14836914575469254</v>
      </c>
      <c r="O1839">
        <v>2.0620310691253547E-2</v>
      </c>
      <c r="P1839">
        <v>2.7722192458177114E-2</v>
      </c>
      <c r="Q1839">
        <v>5.3754669333894636E-3</v>
      </c>
      <c r="R1839">
        <v>1.6272065814583864E-3</v>
      </c>
      <c r="S1839">
        <v>0.2597572820735411</v>
      </c>
      <c r="T1839">
        <v>1.3224832911366211</v>
      </c>
      <c r="U1839">
        <v>0.20924011811383042</v>
      </c>
      <c r="V1839">
        <v>0.24579651447142736</v>
      </c>
      <c r="W1839">
        <v>9.768763535046468E-2</v>
      </c>
      <c r="X1839">
        <v>1.5960867519666945E-2</v>
      </c>
      <c r="Y1839">
        <v>4.4287199062243128E-3</v>
      </c>
    </row>
    <row r="1840" spans="1:25">
      <c r="A1840" s="1010"/>
      <c r="B1840" s="1351">
        <v>1590</v>
      </c>
      <c r="C1840" s="1014">
        <v>1.0130783633446327</v>
      </c>
      <c r="D1840" s="1014">
        <v>1.0090865589880671</v>
      </c>
      <c r="E1840" s="1014">
        <v>1.022107313336561</v>
      </c>
      <c r="F1840" s="1014">
        <v>0.95923518994982759</v>
      </c>
      <c r="G1840" s="1014">
        <v>1.005999330702178</v>
      </c>
      <c r="H1840" s="1014">
        <v>0.99490078174565777</v>
      </c>
      <c r="I1840" s="1014">
        <v>0.99103876127944945</v>
      </c>
      <c r="K1840">
        <v>2.3444839084057221</v>
      </c>
      <c r="L1840">
        <v>0</v>
      </c>
      <c r="M1840">
        <v>1.5369175515777735E-3</v>
      </c>
      <c r="N1840">
        <v>0.14951568082085384</v>
      </c>
      <c r="O1840">
        <v>2.0687978427935908E-2</v>
      </c>
      <c r="P1840">
        <v>2.8056480171498879E-2</v>
      </c>
      <c r="Q1840">
        <v>5.5345250327007199E-3</v>
      </c>
      <c r="R1840">
        <v>1.516526622385696E-3</v>
      </c>
      <c r="S1840">
        <v>0.25160443031249879</v>
      </c>
      <c r="T1840">
        <v>1.3161836680501764</v>
      </c>
      <c r="U1840">
        <v>0.20931162781987478</v>
      </c>
      <c r="V1840">
        <v>0.24567093147586239</v>
      </c>
      <c r="W1840">
        <v>9.6950544278700673E-2</v>
      </c>
      <c r="X1840">
        <v>1.6860947401543428E-2</v>
      </c>
      <c r="Y1840">
        <v>4.1274855432671519E-3</v>
      </c>
    </row>
    <row r="1841" spans="1:25">
      <c r="A1841" s="1010"/>
      <c r="B1841" s="1351">
        <v>1591</v>
      </c>
      <c r="C1841" s="1014">
        <v>1.0470093506788787</v>
      </c>
      <c r="D1841" s="1014">
        <v>0.99246406769768847</v>
      </c>
      <c r="E1841" s="1014">
        <v>1.021670097035736</v>
      </c>
      <c r="F1841" s="1014">
        <v>1.0080323097689572</v>
      </c>
      <c r="G1841" s="1014">
        <v>1.0027274041975585</v>
      </c>
      <c r="H1841" s="1014">
        <v>1.0003719551535031</v>
      </c>
      <c r="I1841" s="1014">
        <v>0.99504973849519895</v>
      </c>
      <c r="K1841">
        <v>2.3914650831668616</v>
      </c>
      <c r="L1841">
        <v>0</v>
      </c>
      <c r="M1841">
        <v>1.5021281135742023E-3</v>
      </c>
      <c r="N1841">
        <v>0.14594940638528825</v>
      </c>
      <c r="O1841">
        <v>2.0090535466126384E-2</v>
      </c>
      <c r="P1841">
        <v>2.8781323371579706E-2</v>
      </c>
      <c r="Q1841">
        <v>5.372361656870126E-3</v>
      </c>
      <c r="R1841">
        <v>1.4823077468942561E-3</v>
      </c>
      <c r="S1841">
        <v>0.24691915409680734</v>
      </c>
      <c r="T1841">
        <v>1.3831294910580156</v>
      </c>
      <c r="U1841">
        <v>0.20252692271777634</v>
      </c>
      <c r="V1841">
        <v>0.24311744335517135</v>
      </c>
      <c r="W1841">
        <v>9.466223785658967E-2</v>
      </c>
      <c r="X1841">
        <v>1.690167452488852E-2</v>
      </c>
      <c r="Y1841">
        <v>4.0343530444287273E-3</v>
      </c>
    </row>
    <row r="1842" spans="1:25">
      <c r="A1842" s="1010"/>
      <c r="B1842" s="1351">
        <v>1592</v>
      </c>
      <c r="C1842" s="1014">
        <v>1.0257532147177293</v>
      </c>
      <c r="D1842" s="1014">
        <v>1.0008486045718548</v>
      </c>
      <c r="E1842" s="1014">
        <v>0.99574515398298336</v>
      </c>
      <c r="F1842" s="1014">
        <v>1.0177355100942769</v>
      </c>
      <c r="G1842" s="1014">
        <v>0.98938117923364144</v>
      </c>
      <c r="H1842" s="1014">
        <v>1.0331637793324158</v>
      </c>
      <c r="I1842" s="1014">
        <v>0.99489035826033234</v>
      </c>
      <c r="K1842">
        <v>2.4217605418218104</v>
      </c>
      <c r="L1842">
        <v>0</v>
      </c>
      <c r="M1842">
        <v>1.6680325376257816E-3</v>
      </c>
      <c r="N1842">
        <v>0.14993044727477939</v>
      </c>
      <c r="O1842">
        <v>2.0452148777803651E-2</v>
      </c>
      <c r="P1842">
        <v>2.8539702417896922E-2</v>
      </c>
      <c r="Q1842">
        <v>5.3290464120961719E-3</v>
      </c>
      <c r="R1842">
        <v>1.6467216487679108E-3</v>
      </c>
      <c r="S1842">
        <v>0.25343401980867791</v>
      </c>
      <c r="T1842">
        <v>1.3958716929245745</v>
      </c>
      <c r="U1842">
        <v>0.20663727172127036</v>
      </c>
      <c r="V1842">
        <v>0.24216640174304147</v>
      </c>
      <c r="W1842">
        <v>9.8743923497821143E-2</v>
      </c>
      <c r="X1842">
        <v>1.6195364646403063E-2</v>
      </c>
      <c r="Y1842">
        <v>4.4818334863006284E-3</v>
      </c>
    </row>
    <row r="1843" spans="1:25">
      <c r="A1843" s="1010"/>
      <c r="B1843" s="1351">
        <v>1593</v>
      </c>
      <c r="C1843" s="1014">
        <v>1.0181718853685666</v>
      </c>
      <c r="D1843" s="1014">
        <v>0.97124801547798445</v>
      </c>
      <c r="E1843" s="1014">
        <v>1.006170879404805</v>
      </c>
      <c r="F1843" s="1014">
        <v>1.0210877911459924</v>
      </c>
      <c r="G1843" s="1014">
        <v>0.98449259357431407</v>
      </c>
      <c r="H1843" s="1014">
        <v>0.98025890795035331</v>
      </c>
      <c r="I1843" s="1014">
        <v>0.98385028128244756</v>
      </c>
      <c r="K1843">
        <v>2.4194301998947276</v>
      </c>
      <c r="L1843">
        <v>0</v>
      </c>
      <c r="M1843">
        <v>1.5706262022865188E-3</v>
      </c>
      <c r="N1843">
        <v>0.14559059482531489</v>
      </c>
      <c r="O1843">
        <v>2.0747814413750686E-2</v>
      </c>
      <c r="P1843">
        <v>2.8824647343280541E-2</v>
      </c>
      <c r="Q1843">
        <v>5.4630074994301506E-3</v>
      </c>
      <c r="R1843">
        <v>1.5494767921532535E-3</v>
      </c>
      <c r="S1843">
        <v>0.25201032041428556</v>
      </c>
      <c r="T1843">
        <v>1.4006997921551934</v>
      </c>
      <c r="U1843">
        <v>0.20821090391758482</v>
      </c>
      <c r="V1843">
        <v>0.24174762905316621</v>
      </c>
      <c r="W1843">
        <v>9.5293831942579788E-2</v>
      </c>
      <c r="X1843">
        <v>1.6645642696922567E-2</v>
      </c>
      <c r="Y1843">
        <v>4.2171650433538996E-3</v>
      </c>
    </row>
    <row r="1844" spans="1:25">
      <c r="A1844" s="1010"/>
      <c r="B1844" s="1351">
        <v>1594</v>
      </c>
      <c r="C1844" s="1014">
        <v>1.0080813884571058</v>
      </c>
      <c r="D1844" s="1014">
        <v>1.028597023819102</v>
      </c>
      <c r="E1844" s="1014">
        <v>0.98098534211673327</v>
      </c>
      <c r="F1844" s="1014">
        <v>0.99303553355203977</v>
      </c>
      <c r="G1844" s="1014">
        <v>1.0078966563402001</v>
      </c>
      <c r="H1844" s="1014">
        <v>1.0002483554094559</v>
      </c>
      <c r="I1844" s="1014">
        <v>1.0026367636840106</v>
      </c>
      <c r="K1844">
        <v>2.3866023285861466</v>
      </c>
      <c r="L1844">
        <v>0</v>
      </c>
      <c r="M1844">
        <v>1.6840302126181139E-3</v>
      </c>
      <c r="N1844">
        <v>0.14469960091681239</v>
      </c>
      <c r="O1844">
        <v>2.0676208338168536E-2</v>
      </c>
      <c r="P1844">
        <v>2.7870732549108625E-2</v>
      </c>
      <c r="Q1844">
        <v>5.3075786360540613E-3</v>
      </c>
      <c r="R1844">
        <v>1.661806927858076E-3</v>
      </c>
      <c r="S1844">
        <v>0.25349841080329377</v>
      </c>
      <c r="T1844">
        <v>1.3616782721505341</v>
      </c>
      <c r="U1844">
        <v>0.21020970053965932</v>
      </c>
      <c r="V1844">
        <v>0.24644913554976416</v>
      </c>
      <c r="W1844">
        <v>9.6146375357460401E-2</v>
      </c>
      <c r="X1844">
        <v>1.5565646386924554E-2</v>
      </c>
      <c r="Y1844">
        <v>4.5228906431231423E-3</v>
      </c>
    </row>
    <row r="1845" spans="1:25">
      <c r="A1845" s="1010"/>
      <c r="B1845" s="1351">
        <v>1595</v>
      </c>
      <c r="C1845" s="1014">
        <v>0.98325170589503141</v>
      </c>
      <c r="D1845" s="1014">
        <v>1.0011571927112517</v>
      </c>
      <c r="E1845" s="1014">
        <v>1.0009833203490359</v>
      </c>
      <c r="F1845" s="1014">
        <v>1.0086907611371634</v>
      </c>
      <c r="G1845" s="1014">
        <v>0.98301082535427875</v>
      </c>
      <c r="H1845" s="1014">
        <v>1.0045030873419838</v>
      </c>
      <c r="I1845" s="1014">
        <v>1.0113852655028106</v>
      </c>
      <c r="K1845">
        <v>2.4390813457414811</v>
      </c>
      <c r="L1845">
        <v>0</v>
      </c>
      <c r="M1845">
        <v>1.6734690776762128E-3</v>
      </c>
      <c r="N1845">
        <v>0.1527623843214945</v>
      </c>
      <c r="O1845">
        <v>2.1338289217677074E-2</v>
      </c>
      <c r="P1845">
        <v>2.8801985455650887E-2</v>
      </c>
      <c r="Q1845">
        <v>5.5893192761641685E-3</v>
      </c>
      <c r="R1845">
        <v>1.651478702727737E-3</v>
      </c>
      <c r="S1845">
        <v>0.2662683437899665</v>
      </c>
      <c r="T1845">
        <v>1.3835806374592643</v>
      </c>
      <c r="U1845">
        <v>0.21558746875228846</v>
      </c>
      <c r="V1845">
        <v>0.24368922151967273</v>
      </c>
      <c r="W1845">
        <v>0.1002958913702728</v>
      </c>
      <c r="X1845">
        <v>1.6695014334964668E-2</v>
      </c>
      <c r="Y1845">
        <v>4.4947806190168589E-3</v>
      </c>
    </row>
    <row r="1846" spans="1:25">
      <c r="A1846" s="1010"/>
      <c r="B1846" s="1351">
        <v>1596</v>
      </c>
      <c r="C1846" s="1014">
        <v>1.029506194365942</v>
      </c>
      <c r="D1846" s="1014">
        <v>1.0071074399919859</v>
      </c>
      <c r="E1846" s="1014">
        <v>0.98445601920354397</v>
      </c>
      <c r="F1846" s="1014">
        <v>0.97193240535639236</v>
      </c>
      <c r="G1846" s="1014">
        <v>0.98079598596639339</v>
      </c>
      <c r="H1846" s="1014">
        <v>0.97567501176636351</v>
      </c>
      <c r="I1846" s="1014">
        <v>1.0230369533435095</v>
      </c>
      <c r="K1846">
        <v>2.3373856111365243</v>
      </c>
      <c r="L1846">
        <v>0</v>
      </c>
      <c r="M1846">
        <v>1.6044013284167056E-3</v>
      </c>
      <c r="N1846">
        <v>0.13926558893785296</v>
      </c>
      <c r="O1846">
        <v>2.0342408733859806E-2</v>
      </c>
      <c r="P1846">
        <v>2.7421454054741022E-2</v>
      </c>
      <c r="Q1846">
        <v>5.2403176115518807E-3</v>
      </c>
      <c r="R1846">
        <v>1.5826956157839935E-3</v>
      </c>
      <c r="S1846">
        <v>0.25390835651791155</v>
      </c>
      <c r="T1846">
        <v>1.3328137675816647</v>
      </c>
      <c r="U1846">
        <v>0.20584656867444884</v>
      </c>
      <c r="V1846">
        <v>0.24051854471208312</v>
      </c>
      <c r="W1846">
        <v>9.2342413725624892E-2</v>
      </c>
      <c r="X1846">
        <v>1.5400320568725236E-2</v>
      </c>
      <c r="Y1846">
        <v>4.3075757306945059E-3</v>
      </c>
    </row>
    <row r="1847" spans="1:25">
      <c r="A1847" s="1010"/>
      <c r="B1847" s="1351">
        <v>1597</v>
      </c>
      <c r="C1847" s="1014">
        <v>0.98314442926317647</v>
      </c>
      <c r="D1847" s="1014">
        <v>0.99898706760572142</v>
      </c>
      <c r="E1847" s="1014">
        <v>1.0187777593223215</v>
      </c>
      <c r="F1847" s="1014">
        <v>0.98994164053269618</v>
      </c>
      <c r="G1847" s="1014">
        <v>1.0041908306833127</v>
      </c>
      <c r="H1847" s="1014">
        <v>1.0063980706126807</v>
      </c>
      <c r="I1847" s="1014">
        <v>1.0013747593351203</v>
      </c>
      <c r="K1847">
        <v>2.4198578729170932</v>
      </c>
      <c r="L1847">
        <v>0</v>
      </c>
      <c r="M1847">
        <v>1.6167253447425785E-3</v>
      </c>
      <c r="N1847">
        <v>0.1557316826836519</v>
      </c>
      <c r="O1847">
        <v>2.1362841119875294E-2</v>
      </c>
      <c r="P1847">
        <v>2.8855209711342242E-2</v>
      </c>
      <c r="Q1847">
        <v>5.6961854837231868E-3</v>
      </c>
      <c r="R1847">
        <v>1.5955206185234497E-3</v>
      </c>
      <c r="S1847">
        <v>0.26426116316499731</v>
      </c>
      <c r="T1847">
        <v>1.3582449603712345</v>
      </c>
      <c r="U1847">
        <v>0.21567295539450135</v>
      </c>
      <c r="V1847">
        <v>0.24724982472434923</v>
      </c>
      <c r="W1847">
        <v>0.10117802128930206</v>
      </c>
      <c r="X1847">
        <v>1.728375253994301E-2</v>
      </c>
      <c r="Y1847">
        <v>4.3424811603902901E-3</v>
      </c>
    </row>
    <row r="1848" spans="1:25">
      <c r="A1848" s="1010"/>
      <c r="B1848" s="1351">
        <v>1598</v>
      </c>
      <c r="C1848" s="1014">
        <v>1.0278912206079935</v>
      </c>
      <c r="D1848" s="1014">
        <v>1.0236041623170811</v>
      </c>
      <c r="E1848" s="1014">
        <v>1.0115382250609342</v>
      </c>
      <c r="F1848" s="1014">
        <v>1.0068688547889117</v>
      </c>
      <c r="G1848" s="1014">
        <v>0.99652412791739664</v>
      </c>
      <c r="H1848" s="1014">
        <v>0.99944163868793956</v>
      </c>
      <c r="I1848" s="1014">
        <v>0.97883460399692912</v>
      </c>
      <c r="K1848">
        <v>2.3906906967002715</v>
      </c>
      <c r="L1848">
        <v>0</v>
      </c>
      <c r="M1848">
        <v>1.5506192607867828E-3</v>
      </c>
      <c r="N1848">
        <v>0.14612257580615259</v>
      </c>
      <c r="O1848">
        <v>2.0319063175119754E-2</v>
      </c>
      <c r="P1848">
        <v>2.854803375738935E-2</v>
      </c>
      <c r="Q1848">
        <v>5.3789160285116298E-3</v>
      </c>
      <c r="R1848">
        <v>1.5301400152250642E-3</v>
      </c>
      <c r="S1848">
        <v>0.24346921365895566</v>
      </c>
      <c r="T1848">
        <v>1.3813117413884681</v>
      </c>
      <c r="U1848">
        <v>0.20626001696145579</v>
      </c>
      <c r="V1848">
        <v>0.24320330004439197</v>
      </c>
      <c r="W1848">
        <v>9.5339530151739821E-2</v>
      </c>
      <c r="X1848">
        <v>1.6594248262722835E-2</v>
      </c>
      <c r="Y1848">
        <v>4.1645367109221683E-3</v>
      </c>
    </row>
    <row r="1849" spans="1:25">
      <c r="A1849" s="1010"/>
      <c r="B1849" s="1351">
        <v>1599</v>
      </c>
      <c r="C1849" s="1014">
        <v>0.96058996260722351</v>
      </c>
      <c r="D1849" s="1014">
        <v>0.99720090553091401</v>
      </c>
      <c r="E1849" s="1014">
        <v>1.0114500629261471</v>
      </c>
      <c r="F1849" s="1014">
        <v>1.0000961136914386</v>
      </c>
      <c r="G1849" s="1014">
        <v>1.0002098463093492</v>
      </c>
      <c r="H1849" s="1014">
        <v>1.0140927385058354</v>
      </c>
      <c r="I1849" s="1014">
        <v>0.97512760073183857</v>
      </c>
      <c r="K1849">
        <v>2.4471682107594868</v>
      </c>
      <c r="L1849">
        <v>0</v>
      </c>
      <c r="M1849">
        <v>1.69360039467103E-3</v>
      </c>
      <c r="N1849">
        <v>0.15958478405910778</v>
      </c>
      <c r="O1849">
        <v>2.1867968709627778E-2</v>
      </c>
      <c r="P1849">
        <v>2.896994411523689E-2</v>
      </c>
      <c r="Q1849">
        <v>5.7884366507959285E-3</v>
      </c>
      <c r="R1849">
        <v>1.6715559333078606E-3</v>
      </c>
      <c r="S1849">
        <v>0.26421664977647052</v>
      </c>
      <c r="T1849">
        <v>1.372018384842306</v>
      </c>
      <c r="U1849">
        <v>0.22071077874694719</v>
      </c>
      <c r="V1849">
        <v>0.24808645440017757</v>
      </c>
      <c r="W1849">
        <v>0.10412852571118318</v>
      </c>
      <c r="X1849">
        <v>1.7268903986797722E-2</v>
      </c>
      <c r="Y1849">
        <v>4.5494242221986751E-3</v>
      </c>
    </row>
    <row r="1850" spans="1:25">
      <c r="A1850" s="1010"/>
      <c r="B1850" s="1351">
        <v>1600</v>
      </c>
      <c r="C1850" s="1014">
        <v>0.97468892631253701</v>
      </c>
      <c r="D1850" s="1014">
        <v>1.0149470461206638</v>
      </c>
      <c r="E1850" s="1014">
        <v>1.0157595319611241</v>
      </c>
      <c r="F1850" s="1014">
        <v>1.0067891712610868</v>
      </c>
      <c r="G1850" s="1014">
        <v>1.004677688497237</v>
      </c>
      <c r="H1850" s="1014">
        <v>0.96497848465679181</v>
      </c>
      <c r="I1850" s="1014">
        <v>0.98106622682523281</v>
      </c>
      <c r="K1850">
        <v>2.4268005951152585</v>
      </c>
      <c r="L1850">
        <v>0</v>
      </c>
      <c r="M1850">
        <v>1.5680041390226023E-3</v>
      </c>
      <c r="N1850">
        <v>0.14958392645735114</v>
      </c>
      <c r="O1850">
        <v>2.1471104506162932E-2</v>
      </c>
      <c r="P1850">
        <v>2.9023577225361318E-2</v>
      </c>
      <c r="Q1850">
        <v>5.7078744642441292E-3</v>
      </c>
      <c r="R1850">
        <v>1.5465556949487689E-3</v>
      </c>
      <c r="S1850">
        <v>0.25552768581241786</v>
      </c>
      <c r="T1850">
        <v>1.3812945926065328</v>
      </c>
      <c r="U1850">
        <v>0.21753332227985167</v>
      </c>
      <c r="V1850">
        <v>0.24789424901216919</v>
      </c>
      <c r="W1850">
        <v>9.735598860794463E-2</v>
      </c>
      <c r="X1850">
        <v>1.7220507807592825E-2</v>
      </c>
      <c r="Y1850">
        <v>4.2092147797027262E-3</v>
      </c>
    </row>
    <row r="1851" spans="1:25">
      <c r="A1851" s="1010"/>
      <c r="B1851" s="1351">
        <v>1601</v>
      </c>
      <c r="C1851" s="1014">
        <v>0.98927936456656962</v>
      </c>
      <c r="D1851" s="1014">
        <v>1.0016934861098421</v>
      </c>
      <c r="E1851" s="1014">
        <v>1.0156751110894331</v>
      </c>
      <c r="F1851" s="1014">
        <v>1.0269748719839082</v>
      </c>
      <c r="G1851" s="1014">
        <v>1.0199263400253302</v>
      </c>
      <c r="H1851" s="1014">
        <v>1.0155215284841328</v>
      </c>
      <c r="I1851" s="1014">
        <v>0.99245986887913451</v>
      </c>
      <c r="K1851">
        <v>2.4685203387136903</v>
      </c>
      <c r="L1851">
        <v>0</v>
      </c>
      <c r="M1851">
        <v>1.6307894881457204E-3</v>
      </c>
      <c r="N1851">
        <v>0.1556412293746387</v>
      </c>
      <c r="O1851">
        <v>2.1215642245195013E-2</v>
      </c>
      <c r="P1851">
        <v>2.9453878303903017E-2</v>
      </c>
      <c r="Q1851">
        <v>5.639487983720797E-3</v>
      </c>
      <c r="R1851">
        <v>1.609592459479168E-3</v>
      </c>
      <c r="S1851">
        <v>0.26068546820406818</v>
      </c>
      <c r="T1851">
        <v>1.4089870890326996</v>
      </c>
      <c r="U1851">
        <v>0.21432472834030405</v>
      </c>
      <c r="V1851">
        <v>0.24955308384647404</v>
      </c>
      <c r="W1851">
        <v>0.10130337566722218</v>
      </c>
      <c r="X1851">
        <v>1.735677267143812E-2</v>
      </c>
      <c r="Y1851">
        <v>4.3807800726906295E-3</v>
      </c>
    </row>
    <row r="1852" spans="1:25">
      <c r="A1852" s="1010"/>
      <c r="B1852" s="1351">
        <v>1602</v>
      </c>
      <c r="C1852" s="1014">
        <v>0.98516090637134601</v>
      </c>
      <c r="D1852" s="1014">
        <v>1.028490121833006</v>
      </c>
      <c r="E1852" s="1014">
        <v>0.99348994060511853</v>
      </c>
      <c r="F1852" s="1014">
        <v>0.97220224031372715</v>
      </c>
      <c r="G1852" s="1014">
        <v>0.99273299681418059</v>
      </c>
      <c r="H1852" s="1014">
        <v>0.98007953562587913</v>
      </c>
      <c r="I1852" s="1014">
        <v>0.98774295834239612</v>
      </c>
      <c r="K1852">
        <v>2.3662206187146251</v>
      </c>
      <c r="L1852">
        <v>0</v>
      </c>
      <c r="M1852">
        <v>1.6453539188530939E-3</v>
      </c>
      <c r="N1852">
        <v>0.14678439752591221</v>
      </c>
      <c r="O1852">
        <v>2.1166094194066207E-2</v>
      </c>
      <c r="P1852">
        <v>2.7807245111675358E-2</v>
      </c>
      <c r="Q1852">
        <v>5.5025480676020189E-3</v>
      </c>
      <c r="R1852">
        <v>1.6231942009603763E-3</v>
      </c>
      <c r="S1852">
        <v>0.253947908968497</v>
      </c>
      <c r="T1852">
        <v>1.3333733221586745</v>
      </c>
      <c r="U1852">
        <v>0.21514368066904294</v>
      </c>
      <c r="V1852">
        <v>0.24525301617900253</v>
      </c>
      <c r="W1852">
        <v>9.6802157196548902E-2</v>
      </c>
      <c r="X1852">
        <v>1.6044608832304002E-2</v>
      </c>
      <c r="Y1852">
        <v>4.4177995291896045E-3</v>
      </c>
    </row>
    <row r="1853" spans="1:25">
      <c r="A1853" s="1010"/>
      <c r="B1853" s="1351">
        <v>1603</v>
      </c>
      <c r="C1853" s="1014">
        <v>1.0020922812947963</v>
      </c>
      <c r="D1853" s="1014">
        <v>0.99558160197926648</v>
      </c>
      <c r="E1853" s="1014">
        <v>0.9972697977909416</v>
      </c>
      <c r="F1853" s="1014">
        <v>1.021862795436453</v>
      </c>
      <c r="G1853" s="1014">
        <v>1.0077793495255631</v>
      </c>
      <c r="H1853" s="1014">
        <v>1.0145127632097271</v>
      </c>
      <c r="I1853" s="1014">
        <v>0.96214185716556666</v>
      </c>
      <c r="K1853">
        <v>2.4363903691670337</v>
      </c>
      <c r="L1853">
        <v>0</v>
      </c>
      <c r="M1853">
        <v>1.6732445611363572E-3</v>
      </c>
      <c r="N1853">
        <v>0.15105753594793125</v>
      </c>
      <c r="O1853">
        <v>2.0960381363194294E-2</v>
      </c>
      <c r="P1853">
        <v>2.8732165005209323E-2</v>
      </c>
      <c r="Q1853">
        <v>5.4698649231710618E-3</v>
      </c>
      <c r="R1853">
        <v>1.6514740750835442E-3</v>
      </c>
      <c r="S1853">
        <v>0.25002638018110279</v>
      </c>
      <c r="T1853">
        <v>1.4015661297153608</v>
      </c>
      <c r="U1853">
        <v>0.21152149201197359</v>
      </c>
      <c r="V1853">
        <v>0.24673923675204606</v>
      </c>
      <c r="W1853">
        <v>9.9395863213871768E-2</v>
      </c>
      <c r="X1853">
        <v>1.6448322515129146E-2</v>
      </c>
      <c r="Y1853">
        <v>4.4947680240948699E-3</v>
      </c>
    </row>
    <row r="1854" spans="1:25">
      <c r="A1854" s="1010"/>
      <c r="B1854" s="1351">
        <v>1604</v>
      </c>
      <c r="C1854" s="1014">
        <v>1.0428284109782053</v>
      </c>
      <c r="D1854" s="1014">
        <v>1.0216336467572682</v>
      </c>
      <c r="E1854" s="1014">
        <v>0.97706428976864979</v>
      </c>
      <c r="F1854" s="1014">
        <v>1.0429864341816446</v>
      </c>
      <c r="G1854" s="1014">
        <v>1.0305072091709155</v>
      </c>
      <c r="H1854" s="1014">
        <v>1.0339287756905871</v>
      </c>
      <c r="I1854" s="1014">
        <v>1.0070254543712978</v>
      </c>
      <c r="K1854">
        <v>2.4454563830981759</v>
      </c>
      <c r="L1854">
        <v>0</v>
      </c>
      <c r="M1854">
        <v>1.698967529642304E-3</v>
      </c>
      <c r="N1854">
        <v>0.14432412802392489</v>
      </c>
      <c r="O1854">
        <v>2.0014693774775737E-2</v>
      </c>
      <c r="P1854">
        <v>2.8584315087860353E-2</v>
      </c>
      <c r="Q1854">
        <v>5.1173218470572605E-3</v>
      </c>
      <c r="R1854">
        <v>1.6772774735732765E-3</v>
      </c>
      <c r="S1854">
        <v>0.24967892754528445</v>
      </c>
      <c r="T1854">
        <v>1.4300842848386457</v>
      </c>
      <c r="U1854">
        <v>0.20319270814109155</v>
      </c>
      <c r="V1854">
        <v>0.24826587537902983</v>
      </c>
      <c r="W1854">
        <v>9.6124383305736319E-2</v>
      </c>
      <c r="X1854">
        <v>1.552643884214234E-2</v>
      </c>
      <c r="Y1854">
        <v>4.5649963686958932E-3</v>
      </c>
    </row>
    <row r="1855" spans="1:25">
      <c r="A1855" s="1010"/>
      <c r="B1855" s="1351">
        <v>1605</v>
      </c>
      <c r="C1855" s="1014">
        <v>1.0373513278514042</v>
      </c>
      <c r="D1855" s="1014">
        <v>0.9960521372245047</v>
      </c>
      <c r="E1855" s="1014">
        <v>0.98250382347277387</v>
      </c>
      <c r="F1855" s="1014">
        <v>0.9996826168693459</v>
      </c>
      <c r="G1855" s="1014">
        <v>1.0015918389887808</v>
      </c>
      <c r="H1855" s="1014">
        <v>0.9953354107699024</v>
      </c>
      <c r="I1855" s="1014">
        <v>1.0084279206992073</v>
      </c>
      <c r="K1855">
        <v>2.3780780900385237</v>
      </c>
      <c r="L1855">
        <v>0</v>
      </c>
      <c r="M1855">
        <v>1.6348921242797596E-3</v>
      </c>
      <c r="N1855">
        <v>0.14111492796687913</v>
      </c>
      <c r="O1855">
        <v>2.0236403865460086E-2</v>
      </c>
      <c r="P1855">
        <v>2.7879610234671733E-2</v>
      </c>
      <c r="Q1855">
        <v>5.2026966884487595E-3</v>
      </c>
      <c r="R1855">
        <v>1.6132107970080725E-3</v>
      </c>
      <c r="S1855">
        <v>0.25138322506570326</v>
      </c>
      <c r="T1855">
        <v>1.3708256482562116</v>
      </c>
      <c r="U1855">
        <v>0.20428340565755057</v>
      </c>
      <c r="V1855">
        <v>0.24362040890529327</v>
      </c>
      <c r="W1855">
        <v>9.3678707334827027E-2</v>
      </c>
      <c r="X1855">
        <v>1.5484109396089098E-2</v>
      </c>
      <c r="Y1855">
        <v>4.3906279946596622E-3</v>
      </c>
    </row>
    <row r="1856" spans="1:25">
      <c r="A1856" s="1010"/>
      <c r="B1856" s="1351">
        <v>1606</v>
      </c>
      <c r="C1856" s="1014">
        <v>1.0066066316476574</v>
      </c>
      <c r="D1856" s="1014">
        <v>1.0186847710631564</v>
      </c>
      <c r="E1856" s="1014">
        <v>1.0454292820804429</v>
      </c>
      <c r="F1856" s="1014">
        <v>0.99841725281307803</v>
      </c>
      <c r="G1856" s="1014">
        <v>0.97489955173060161</v>
      </c>
      <c r="H1856" s="1014">
        <v>1.0080776321968499</v>
      </c>
      <c r="I1856" s="1014">
        <v>1.009454389840573</v>
      </c>
      <c r="K1856">
        <v>2.4127965176376138</v>
      </c>
      <c r="L1856">
        <v>0</v>
      </c>
      <c r="M1856">
        <v>1.4897933994421925E-3</v>
      </c>
      <c r="N1856">
        <v>0.15551186430251146</v>
      </c>
      <c r="O1856">
        <v>2.0793059602957468E-2</v>
      </c>
      <c r="P1856">
        <v>2.9339656272412321E-2</v>
      </c>
      <c r="Q1856">
        <v>5.6921222155378618E-3</v>
      </c>
      <c r="R1856">
        <v>1.4702860490116443E-3</v>
      </c>
      <c r="S1856">
        <v>0.25802194250407989</v>
      </c>
      <c r="T1856">
        <v>1.3704529758925308</v>
      </c>
      <c r="U1856">
        <v>0.21073694307092791</v>
      </c>
      <c r="V1856">
        <v>0.24068129901998131</v>
      </c>
      <c r="W1856">
        <v>9.948666623543885E-2</v>
      </c>
      <c r="X1856">
        <v>1.8097861925921783E-2</v>
      </c>
      <c r="Y1856">
        <v>4.0016339457438991E-3</v>
      </c>
    </row>
    <row r="1857" spans="1:25">
      <c r="A1857" s="1010"/>
      <c r="B1857" s="1351">
        <v>1607</v>
      </c>
      <c r="C1857" s="1014">
        <v>0.97283236438324394</v>
      </c>
      <c r="D1857" s="1014">
        <v>1.0429116309240885</v>
      </c>
      <c r="E1857" s="1014">
        <v>1.0062089899542463</v>
      </c>
      <c r="F1857" s="1014">
        <v>0.98055185686328605</v>
      </c>
      <c r="G1857" s="1014">
        <v>0.98102368767336823</v>
      </c>
      <c r="H1857" s="1014">
        <v>0.97243016699019791</v>
      </c>
      <c r="I1857" s="1014">
        <v>0.99341533040906538</v>
      </c>
      <c r="K1857">
        <v>2.3857443485491405</v>
      </c>
      <c r="L1857">
        <v>0</v>
      </c>
      <c r="M1857">
        <v>1.6052303733688612E-3</v>
      </c>
      <c r="N1857">
        <v>0.14879903225457122</v>
      </c>
      <c r="O1857">
        <v>2.1377363805882333E-2</v>
      </c>
      <c r="P1857">
        <v>2.8286063795126676E-2</v>
      </c>
      <c r="Q1857">
        <v>5.6289860241778194E-3</v>
      </c>
      <c r="R1857">
        <v>1.5834409787710748E-3</v>
      </c>
      <c r="S1857">
        <v>0.25630010112882951</v>
      </c>
      <c r="T1857">
        <v>1.3450945357646777</v>
      </c>
      <c r="U1857">
        <v>0.21791485023895465</v>
      </c>
      <c r="V1857">
        <v>0.24401150165288557</v>
      </c>
      <c r="W1857">
        <v>9.7391664468272535E-2</v>
      </c>
      <c r="X1857">
        <v>1.6652434447321181E-2</v>
      </c>
      <c r="Y1857">
        <v>4.3096043630364992E-3</v>
      </c>
    </row>
    <row r="1858" spans="1:25">
      <c r="A1858" s="1010"/>
      <c r="B1858" s="1351">
        <v>1608</v>
      </c>
      <c r="C1858" s="1014">
        <v>0.99979221678838481</v>
      </c>
      <c r="D1858" s="1014">
        <v>1.0292495061491578</v>
      </c>
      <c r="E1858" s="1014">
        <v>0.98056716000015764</v>
      </c>
      <c r="F1858" s="1014">
        <v>0.97479171084996574</v>
      </c>
      <c r="G1858" s="1014">
        <v>0.99869701365031982</v>
      </c>
      <c r="H1858" s="1014">
        <v>0.97354594098583547</v>
      </c>
      <c r="I1858" s="1014">
        <v>1.0154339063899995</v>
      </c>
      <c r="K1858">
        <v>2.360322492976541</v>
      </c>
      <c r="L1858">
        <v>0</v>
      </c>
      <c r="M1858">
        <v>1.65386221503597E-3</v>
      </c>
      <c r="N1858">
        <v>0.14187568869027176</v>
      </c>
      <c r="O1858">
        <v>2.0844449336320413E-2</v>
      </c>
      <c r="P1858">
        <v>2.7574754841746707E-2</v>
      </c>
      <c r="Q1858">
        <v>5.3484932456702942E-3</v>
      </c>
      <c r="R1858">
        <v>1.6314384211317274E-3</v>
      </c>
      <c r="S1858">
        <v>0.25648649449210098</v>
      </c>
      <c r="T1858">
        <v>1.3366530473508789</v>
      </c>
      <c r="U1858">
        <v>0.21195110163535821</v>
      </c>
      <c r="V1858">
        <v>0.24539178064815026</v>
      </c>
      <c r="W1858">
        <v>9.4293805025524091E-2</v>
      </c>
      <c r="X1858">
        <v>1.5485063925629322E-2</v>
      </c>
      <c r="Y1858">
        <v>4.4402375787895732E-3</v>
      </c>
    </row>
    <row r="1859" spans="1:25">
      <c r="A1859" s="1010"/>
      <c r="B1859" s="1351">
        <v>1609</v>
      </c>
      <c r="C1859" s="1014">
        <v>0.98946504057280182</v>
      </c>
      <c r="D1859" s="1014">
        <v>1.0078155562420499</v>
      </c>
      <c r="E1859" s="1014">
        <v>1.0110698557837381</v>
      </c>
      <c r="F1859" s="1014">
        <v>0.99203427965835589</v>
      </c>
      <c r="G1859" s="1014">
        <v>1.0247568485550889</v>
      </c>
      <c r="H1859" s="1014">
        <v>1.009508698504187</v>
      </c>
      <c r="I1859" s="1014">
        <v>0.99748467564406906</v>
      </c>
      <c r="K1859">
        <v>2.4171795172059185</v>
      </c>
      <c r="L1859">
        <v>0</v>
      </c>
      <c r="M1859">
        <v>1.6342270305446296E-3</v>
      </c>
      <c r="N1859">
        <v>0.15380429336125268</v>
      </c>
      <c r="O1859">
        <v>2.1180156158780435E-2</v>
      </c>
      <c r="P1859">
        <v>2.8702809947887452E-2</v>
      </c>
      <c r="Q1859">
        <v>5.6042442021600886E-3</v>
      </c>
      <c r="R1859">
        <v>1.6128588008933423E-3</v>
      </c>
      <c r="S1859">
        <v>0.26060821702143433</v>
      </c>
      <c r="T1859">
        <v>1.3609502873603587</v>
      </c>
      <c r="U1859">
        <v>0.21426856747138531</v>
      </c>
      <c r="V1859">
        <v>0.25038256001541032</v>
      </c>
      <c r="W1859">
        <v>0.10037925539528698</v>
      </c>
      <c r="X1859">
        <v>1.6930824524342851E-2</v>
      </c>
      <c r="Y1859">
        <v>4.3896699772708551E-3</v>
      </c>
    </row>
    <row r="1860" spans="1:25">
      <c r="A1860" s="1010"/>
      <c r="B1860" s="1351">
        <v>1610</v>
      </c>
      <c r="C1860" s="1014">
        <v>0.96764563928934699</v>
      </c>
      <c r="D1860" s="1014">
        <v>0.97630049212516057</v>
      </c>
      <c r="E1860" s="1014">
        <v>0.97517709308447997</v>
      </c>
      <c r="F1860" s="1014">
        <v>0.99745001086401108</v>
      </c>
      <c r="G1860" s="1014">
        <v>1.0039003740469119</v>
      </c>
      <c r="H1860" s="1014">
        <v>1.0003448464428799</v>
      </c>
      <c r="I1860" s="1014">
        <v>1.0146907046723022</v>
      </c>
      <c r="K1860">
        <v>2.4382556377426989</v>
      </c>
      <c r="L1860">
        <v>0</v>
      </c>
      <c r="M1860">
        <v>1.796267359320056E-3</v>
      </c>
      <c r="N1860">
        <v>0.15165464495826414</v>
      </c>
      <c r="O1860">
        <v>2.1784931083074409E-2</v>
      </c>
      <c r="P1860">
        <v>2.8249091681170957E-2</v>
      </c>
      <c r="Q1860">
        <v>5.5592362796055145E-3</v>
      </c>
      <c r="R1860">
        <v>1.7725652248581673E-3</v>
      </c>
      <c r="S1860">
        <v>0.27429709043115452</v>
      </c>
      <c r="T1860">
        <v>1.3676067932379765</v>
      </c>
      <c r="U1860">
        <v>0.21897344890354792</v>
      </c>
      <c r="V1860">
        <v>0.24837312469967779</v>
      </c>
      <c r="W1860">
        <v>0.10112225804149672</v>
      </c>
      <c r="X1860">
        <v>1.5834382345096334E-2</v>
      </c>
      <c r="Y1860">
        <v>4.824338216094598E-3</v>
      </c>
    </row>
    <row r="1861" spans="1:25">
      <c r="A1861" s="1010"/>
      <c r="B1861" s="1351">
        <v>1611</v>
      </c>
      <c r="C1861" s="1014">
        <v>1.0047092303110339</v>
      </c>
      <c r="D1861" s="1014">
        <v>0.99359670299070491</v>
      </c>
      <c r="E1861" s="1014">
        <v>1.0146908896032709</v>
      </c>
      <c r="F1861" s="1014">
        <v>1.004351621992736</v>
      </c>
      <c r="G1861" s="1014">
        <v>1.028949367189155</v>
      </c>
      <c r="H1861" s="1014">
        <v>0.97429328045997654</v>
      </c>
      <c r="I1861" s="1014">
        <v>0.97660299085081725</v>
      </c>
      <c r="K1861">
        <v>2.4085121157100566</v>
      </c>
      <c r="L1861">
        <v>0</v>
      </c>
      <c r="M1861">
        <v>1.5464688780207803E-3</v>
      </c>
      <c r="N1861">
        <v>0.14707399586463216</v>
      </c>
      <c r="O1861">
        <v>2.0926501748812804E-2</v>
      </c>
      <c r="P1861">
        <v>2.882166654399609E-2</v>
      </c>
      <c r="Q1861">
        <v>5.5571748109369224E-3</v>
      </c>
      <c r="R1861">
        <v>1.5255172538300751E-3</v>
      </c>
      <c r="S1861">
        <v>0.25018399462703605</v>
      </c>
      <c r="T1861">
        <v>1.3779270403907229</v>
      </c>
      <c r="U1861">
        <v>0.21102987065170356</v>
      </c>
      <c r="V1861">
        <v>0.25012804907289238</v>
      </c>
      <c r="W1861">
        <v>9.5782503114461875E-2</v>
      </c>
      <c r="X1861">
        <v>1.6950315430755945E-2</v>
      </c>
      <c r="Y1861">
        <v>4.1519550782978939E-3</v>
      </c>
    </row>
    <row r="1862" spans="1:25">
      <c r="A1862" s="1010"/>
      <c r="B1862" s="1351">
        <v>1612</v>
      </c>
      <c r="C1862" s="1014">
        <v>1.0242062440283946</v>
      </c>
      <c r="D1862" s="1014">
        <v>1.0203914371043132</v>
      </c>
      <c r="E1862" s="1014">
        <v>0.99240098392291887</v>
      </c>
      <c r="F1862" s="1014">
        <v>1.0438537589419992</v>
      </c>
      <c r="G1862" s="1014">
        <v>1.0017337795204253</v>
      </c>
      <c r="H1862" s="1014">
        <v>1.0164467147027683</v>
      </c>
      <c r="I1862" s="1014">
        <v>1.0079417169091625</v>
      </c>
      <c r="K1862">
        <v>2.4548518947383924</v>
      </c>
      <c r="L1862">
        <v>0</v>
      </c>
      <c r="M1862">
        <v>1.6479256914994286E-3</v>
      </c>
      <c r="N1862">
        <v>0.14660227512662588</v>
      </c>
      <c r="O1862">
        <v>2.0393927075481978E-2</v>
      </c>
      <c r="P1862">
        <v>2.8985197058668644E-2</v>
      </c>
      <c r="Q1862">
        <v>5.2959849684203987E-3</v>
      </c>
      <c r="R1862">
        <v>1.6265254227954193E-3</v>
      </c>
      <c r="S1862">
        <v>0.25326981984681524</v>
      </c>
      <c r="T1862">
        <v>1.4316186789510048</v>
      </c>
      <c r="U1862">
        <v>0.20693822804389139</v>
      </c>
      <c r="V1862">
        <v>0.24438015278130221</v>
      </c>
      <c r="W1862">
        <v>9.6744994544666466E-2</v>
      </c>
      <c r="X1862">
        <v>1.6217170593331429E-2</v>
      </c>
      <c r="Y1862">
        <v>4.4268660168876074E-3</v>
      </c>
    </row>
    <row r="1863" spans="1:25">
      <c r="A1863" s="1010"/>
      <c r="B1863" s="1351">
        <v>1613</v>
      </c>
      <c r="C1863" s="1014">
        <v>1.0427826291062823</v>
      </c>
      <c r="D1863" s="1014">
        <v>0.99212089961173888</v>
      </c>
      <c r="E1863" s="1014">
        <v>1.0097562085458336</v>
      </c>
      <c r="F1863" s="1014">
        <v>0.99940273611351804</v>
      </c>
      <c r="G1863" s="1014">
        <v>0.9830921875823998</v>
      </c>
      <c r="H1863" s="1014">
        <v>0.97469632129014416</v>
      </c>
      <c r="I1863" s="1014">
        <v>1.0329627615861228</v>
      </c>
      <c r="K1863">
        <v>2.3772713030514332</v>
      </c>
      <c r="L1863">
        <v>0</v>
      </c>
      <c r="M1863">
        <v>1.5064795838908266E-3</v>
      </c>
      <c r="N1863">
        <v>0.14115343494757118</v>
      </c>
      <c r="O1863">
        <v>2.0165889335616086E-2</v>
      </c>
      <c r="P1863">
        <v>2.8445794031932977E-2</v>
      </c>
      <c r="Q1863">
        <v>5.3288696775593896E-3</v>
      </c>
      <c r="R1863">
        <v>1.4860781758612403E-3</v>
      </c>
      <c r="S1863">
        <v>0.25514568745851152</v>
      </c>
      <c r="T1863">
        <v>1.3710304589760651</v>
      </c>
      <c r="U1863">
        <v>0.20330867939914091</v>
      </c>
      <c r="V1863">
        <v>0.24004950123054714</v>
      </c>
      <c r="W1863">
        <v>9.2194129640386702E-2</v>
      </c>
      <c r="X1863">
        <v>1.6424644852976573E-2</v>
      </c>
      <c r="Y1863">
        <v>4.0446149091552834E-3</v>
      </c>
    </row>
    <row r="1864" spans="1:25">
      <c r="A1864" s="1010"/>
      <c r="B1864" s="1351">
        <v>1614</v>
      </c>
      <c r="C1864" s="1014">
        <v>1.0141677016056259</v>
      </c>
      <c r="D1864" s="1014">
        <v>1.0006838113234209</v>
      </c>
      <c r="E1864" s="1014">
        <v>0.99923782848600551</v>
      </c>
      <c r="F1864" s="1014">
        <v>0.97996982223458995</v>
      </c>
      <c r="G1864" s="1014">
        <v>0.97463563104556039</v>
      </c>
      <c r="H1864" s="1014">
        <v>1.0147569898442219</v>
      </c>
      <c r="I1864" s="1014">
        <v>1.0267941908211042</v>
      </c>
      <c r="K1864">
        <v>2.3788334207165636</v>
      </c>
      <c r="L1864">
        <v>0</v>
      </c>
      <c r="M1864">
        <v>1.6451331691081726E-3</v>
      </c>
      <c r="N1864">
        <v>0.14940598308357092</v>
      </c>
      <c r="O1864">
        <v>2.0688821075878213E-2</v>
      </c>
      <c r="P1864">
        <v>2.8046865039321561E-2</v>
      </c>
      <c r="Q1864">
        <v>5.4096993298505336E-3</v>
      </c>
      <c r="R1864">
        <v>1.6237335902983293E-3</v>
      </c>
      <c r="S1864">
        <v>0.26301495124811874</v>
      </c>
      <c r="T1864">
        <v>1.344148281530831</v>
      </c>
      <c r="U1864">
        <v>0.20900959425347604</v>
      </c>
      <c r="V1864">
        <v>0.24033063855667863</v>
      </c>
      <c r="W1864">
        <v>9.8194058927686331E-2</v>
      </c>
      <c r="X1864">
        <v>1.6186659680803218E-2</v>
      </c>
      <c r="Y1864">
        <v>4.4192675691578651E-3</v>
      </c>
    </row>
    <row r="1865" spans="1:25">
      <c r="A1865" s="1010"/>
      <c r="B1865" s="1351">
        <v>1615</v>
      </c>
      <c r="C1865" s="1014">
        <v>0.98620254358076453</v>
      </c>
      <c r="D1865" s="1014">
        <v>1.0110593933889824</v>
      </c>
      <c r="E1865" s="1014">
        <v>1.0244783655854286</v>
      </c>
      <c r="F1865" s="1014">
        <v>0.98063829860206786</v>
      </c>
      <c r="G1865" s="1014">
        <v>0.99684429410581687</v>
      </c>
      <c r="H1865" s="1014">
        <v>1.0021034348711149</v>
      </c>
      <c r="I1865" s="1014">
        <v>0.98906531108187945</v>
      </c>
      <c r="K1865">
        <v>2.3973051644675425</v>
      </c>
      <c r="L1865">
        <v>0</v>
      </c>
      <c r="M1865">
        <v>1.5817216664155368E-3</v>
      </c>
      <c r="N1865">
        <v>0.15499366322882804</v>
      </c>
      <c r="O1865">
        <v>2.1244231201229685E-2</v>
      </c>
      <c r="P1865">
        <v>2.868815197713907E-2</v>
      </c>
      <c r="Q1865">
        <v>5.696723917230466E-3</v>
      </c>
      <c r="R1865">
        <v>1.5608871352883211E-3</v>
      </c>
      <c r="S1865">
        <v>0.25832750055986675</v>
      </c>
      <c r="T1865">
        <v>1.3456017726219258</v>
      </c>
      <c r="U1865">
        <v>0.21502399911520448</v>
      </c>
      <c r="V1865">
        <v>0.24577924831331688</v>
      </c>
      <c r="W1865">
        <v>0.1003636758714218</v>
      </c>
      <c r="X1865">
        <v>1.7358811956554372E-2</v>
      </c>
      <c r="Y1865">
        <v>4.2482202359489492E-3</v>
      </c>
    </row>
    <row r="1866" spans="1:25">
      <c r="A1866" s="1010"/>
      <c r="B1866" s="1351">
        <v>1616</v>
      </c>
      <c r="C1866" s="1014">
        <v>1.040760088531705</v>
      </c>
      <c r="D1866" s="1014">
        <v>1.0034417631833981</v>
      </c>
      <c r="E1866" s="1014">
        <v>1.0073028327164026</v>
      </c>
      <c r="F1866" s="1014">
        <v>0.97525992616569401</v>
      </c>
      <c r="G1866" s="1014">
        <v>1.0025141962155151</v>
      </c>
      <c r="H1866" s="1014">
        <v>1.0276772458811165</v>
      </c>
      <c r="I1866" s="1014">
        <v>0.96441664115889847</v>
      </c>
      <c r="K1866">
        <v>2.3458855932593696</v>
      </c>
      <c r="L1866">
        <v>0</v>
      </c>
      <c r="M1866">
        <v>1.5955955410024726E-3</v>
      </c>
      <c r="N1866">
        <v>0.14850505152913923</v>
      </c>
      <c r="O1866">
        <v>2.0153140838441049E-2</v>
      </c>
      <c r="P1866">
        <v>2.7803985217003828E-2</v>
      </c>
      <c r="Q1866">
        <v>5.3124455504734444E-3</v>
      </c>
      <c r="R1866">
        <v>1.5751012786422486E-3</v>
      </c>
      <c r="S1866">
        <v>0.24147357088783875</v>
      </c>
      <c r="T1866">
        <v>1.3378583120494238</v>
      </c>
      <c r="U1866">
        <v>0.20369570688041286</v>
      </c>
      <c r="V1866">
        <v>0.24349044957309648</v>
      </c>
      <c r="W1866">
        <v>9.7136413790322826E-2</v>
      </c>
      <c r="X1866">
        <v>1.6190104757111121E-2</v>
      </c>
      <c r="Y1866">
        <v>4.2869064484672434E-3</v>
      </c>
    </row>
    <row r="1867" spans="1:25">
      <c r="A1867" s="1010"/>
      <c r="B1867" s="1351">
        <v>1617</v>
      </c>
      <c r="C1867" s="1014">
        <v>0.98599924428242014</v>
      </c>
      <c r="D1867" s="1014">
        <v>0.98065196986319436</v>
      </c>
      <c r="E1867" s="1014">
        <v>1.0033366716627965</v>
      </c>
      <c r="F1867" s="1014">
        <v>1.0031348958859487</v>
      </c>
      <c r="G1867" s="1014">
        <v>1.0024887158048912</v>
      </c>
      <c r="H1867" s="1014">
        <v>1.0226963973322143</v>
      </c>
      <c r="I1867" s="1014">
        <v>0.9939206614271181</v>
      </c>
      <c r="K1867">
        <v>2.4387674875550776</v>
      </c>
      <c r="L1867">
        <v>0</v>
      </c>
      <c r="M1867">
        <v>1.698469450860763E-3</v>
      </c>
      <c r="N1867">
        <v>0.15618764429750853</v>
      </c>
      <c r="O1867">
        <v>2.1377517756651723E-2</v>
      </c>
      <c r="P1867">
        <v>2.8769812318057381E-2</v>
      </c>
      <c r="Q1867">
        <v>5.6128406266911877E-3</v>
      </c>
      <c r="R1867">
        <v>1.6765475993206224E-3</v>
      </c>
      <c r="S1867">
        <v>0.26525041567056323</v>
      </c>
      <c r="T1867">
        <v>1.3760109607155044</v>
      </c>
      <c r="U1867">
        <v>0.21499488429550903</v>
      </c>
      <c r="V1867">
        <v>0.24683015482866885</v>
      </c>
      <c r="W1867">
        <v>0.10240165472985374</v>
      </c>
      <c r="X1867">
        <v>1.6790514276025816E-2</v>
      </c>
      <c r="Y1867">
        <v>4.5630098915831526E-3</v>
      </c>
    </row>
    <row r="1868" spans="1:25">
      <c r="A1868" s="1010"/>
      <c r="B1868" s="1351">
        <v>1618</v>
      </c>
      <c r="C1868" s="1014">
        <v>0.99931717555144284</v>
      </c>
      <c r="D1868" s="1014">
        <v>1.0251356550023141</v>
      </c>
      <c r="E1868" s="1014">
        <v>0.98256878213127774</v>
      </c>
      <c r="F1868" s="1014">
        <v>1.0283662668188394</v>
      </c>
      <c r="G1868" s="1014">
        <v>1.0034131766344996</v>
      </c>
      <c r="H1868" s="1014">
        <v>1.0468153396351287</v>
      </c>
      <c r="I1868" s="1014">
        <v>0.98127214207633839</v>
      </c>
      <c r="K1868">
        <v>2.4534319269828853</v>
      </c>
      <c r="L1868">
        <v>0</v>
      </c>
      <c r="M1868">
        <v>1.7733891332764784E-3</v>
      </c>
      <c r="N1868">
        <v>0.1532005023303312</v>
      </c>
      <c r="O1868">
        <v>2.0874058919437343E-2</v>
      </c>
      <c r="P1868">
        <v>2.8593439091669656E-2</v>
      </c>
      <c r="Q1868">
        <v>5.3669890335167128E-3</v>
      </c>
      <c r="R1868">
        <v>1.7510276718498746E-3</v>
      </c>
      <c r="S1868">
        <v>0.25457146534541186</v>
      </c>
      <c r="T1868">
        <v>1.4101598544590026</v>
      </c>
      <c r="U1868">
        <v>0.2120586823924322</v>
      </c>
      <c r="V1868">
        <v>0.24621992234803514</v>
      </c>
      <c r="W1868">
        <v>0.10169769738476485</v>
      </c>
      <c r="X1868">
        <v>1.5945957043050157E-2</v>
      </c>
      <c r="Y1868">
        <v>4.7657200966584679E-3</v>
      </c>
    </row>
    <row r="1869" spans="1:25">
      <c r="A1869" s="1010"/>
      <c r="B1869" s="1351">
        <v>1619</v>
      </c>
      <c r="C1869" s="1014">
        <v>0.99612266590332121</v>
      </c>
      <c r="D1869" s="1014">
        <v>0.95735041911174201</v>
      </c>
      <c r="E1869" s="1014">
        <v>0.99658066869073691</v>
      </c>
      <c r="F1869" s="1014">
        <v>0.99605631176606491</v>
      </c>
      <c r="G1869" s="1014">
        <v>0.97176550201647305</v>
      </c>
      <c r="H1869" s="1014">
        <v>1.0073778363615127</v>
      </c>
      <c r="I1869" s="1014">
        <v>0.95672199642911948</v>
      </c>
      <c r="K1869">
        <v>2.402494809369256</v>
      </c>
      <c r="L1869">
        <v>0</v>
      </c>
      <c r="M1869">
        <v>1.6883054012524451E-3</v>
      </c>
      <c r="N1869">
        <v>0.15208592544172572</v>
      </c>
      <c r="O1869">
        <v>2.126796408554614E-2</v>
      </c>
      <c r="P1869">
        <v>2.8234728997477612E-2</v>
      </c>
      <c r="Q1869">
        <v>5.5462825711307309E-3</v>
      </c>
      <c r="R1869">
        <v>1.6661833783962643E-3</v>
      </c>
      <c r="S1869">
        <v>0.25448420813918804</v>
      </c>
      <c r="T1869">
        <v>1.3661556473669381</v>
      </c>
      <c r="U1869">
        <v>0.21278674531084268</v>
      </c>
      <c r="V1869">
        <v>0.24096414159359136</v>
      </c>
      <c r="W1869">
        <v>0.10011363938913523</v>
      </c>
      <c r="X1869">
        <v>1.6342846597746461E-2</v>
      </c>
      <c r="Y1869">
        <v>4.53480189879156E-3</v>
      </c>
    </row>
    <row r="1870" spans="1:25">
      <c r="A1870" s="1010"/>
      <c r="B1870" s="1351">
        <v>1620</v>
      </c>
      <c r="C1870" s="1014">
        <v>1.0071962761957196</v>
      </c>
      <c r="D1870" s="1014">
        <v>0.98188229152882378</v>
      </c>
      <c r="E1870" s="1014">
        <v>0.99619122273176042</v>
      </c>
      <c r="F1870" s="1014">
        <v>1.00153199213932</v>
      </c>
      <c r="G1870" s="1014">
        <v>1.0343689080487091</v>
      </c>
      <c r="H1870" s="1014">
        <v>1.0432880220616669</v>
      </c>
      <c r="I1870" s="1014">
        <v>1.0098010225331888</v>
      </c>
      <c r="K1870">
        <v>2.4332870399416686</v>
      </c>
      <c r="L1870">
        <v>0</v>
      </c>
      <c r="M1870">
        <v>1.7210548848076888E-3</v>
      </c>
      <c r="N1870">
        <v>0.15492447585328809</v>
      </c>
      <c r="O1870">
        <v>2.0917116413129138E-2</v>
      </c>
      <c r="P1870">
        <v>2.8580746267858108E-2</v>
      </c>
      <c r="Q1870">
        <v>5.4526489317496358E-3</v>
      </c>
      <c r="R1870">
        <v>1.699279957322525E-3</v>
      </c>
      <c r="S1870">
        <v>0.26535465359238364</v>
      </c>
      <c r="T1870">
        <v>1.3736574673325388</v>
      </c>
      <c r="U1870">
        <v>0.21044594242185582</v>
      </c>
      <c r="V1870">
        <v>0.25096886840654115</v>
      </c>
      <c r="W1870">
        <v>0.10200584822334487</v>
      </c>
      <c r="X1870">
        <v>1.6376167550116727E-2</v>
      </c>
      <c r="Y1870">
        <v>4.6248798763445301E-3</v>
      </c>
    </row>
    <row r="1871" spans="1:25">
      <c r="A1871" s="1010"/>
      <c r="B1871" s="1351">
        <v>1621</v>
      </c>
      <c r="C1871" s="1014">
        <v>0.9740251123037228</v>
      </c>
      <c r="D1871" s="1014">
        <v>0.98454307640711269</v>
      </c>
      <c r="E1871" s="1014">
        <v>0.98604953956663044</v>
      </c>
      <c r="F1871" s="1014">
        <v>1.0062794295501882</v>
      </c>
      <c r="G1871" s="1014">
        <v>0.99822604218449773</v>
      </c>
      <c r="H1871" s="1014">
        <v>0.98566355890212431</v>
      </c>
      <c r="I1871" s="1014">
        <v>1.0312161303863332</v>
      </c>
      <c r="K1871">
        <v>2.4444872932109729</v>
      </c>
      <c r="L1871">
        <v>0</v>
      </c>
      <c r="M1871">
        <v>1.7160429652114883E-3</v>
      </c>
      <c r="N1871">
        <v>0.14969677320636393</v>
      </c>
      <c r="O1871">
        <v>2.1609666750604429E-2</v>
      </c>
      <c r="P1871">
        <v>2.861474806925518E-2</v>
      </c>
      <c r="Q1871">
        <v>5.5757675149344489E-3</v>
      </c>
      <c r="R1871">
        <v>1.6930621370595405E-3</v>
      </c>
      <c r="S1871">
        <v>0.27453762604188164</v>
      </c>
      <c r="T1871">
        <v>1.3799485196398542</v>
      </c>
      <c r="U1871">
        <v>0.21757729761110833</v>
      </c>
      <c r="V1871">
        <v>0.24694192391603739</v>
      </c>
      <c r="W1871">
        <v>9.9163922283122444E-2</v>
      </c>
      <c r="X1871">
        <v>1.6236071986669189E-2</v>
      </c>
      <c r="Y1871">
        <v>4.6079570192925851E-3</v>
      </c>
    </row>
    <row r="1872" spans="1:25">
      <c r="A1872" s="1010"/>
      <c r="B1872" s="1351">
        <v>1622</v>
      </c>
      <c r="C1872" s="1014">
        <v>0.99874680261757365</v>
      </c>
      <c r="D1872" s="1014">
        <v>0.98757897036788866</v>
      </c>
      <c r="E1872" s="1014">
        <v>0.9929674969143113</v>
      </c>
      <c r="F1872" s="1014">
        <v>0.99787092431504609</v>
      </c>
      <c r="G1872" s="1014">
        <v>0.97784303246923343</v>
      </c>
      <c r="H1872" s="1014">
        <v>0.99696633856762717</v>
      </c>
      <c r="I1872" s="1014">
        <v>0.99663842248890688</v>
      </c>
      <c r="K1872">
        <v>2.4040113381770674</v>
      </c>
      <c r="L1872">
        <v>0</v>
      </c>
      <c r="M1872">
        <v>1.6675491660043636E-3</v>
      </c>
      <c r="N1872">
        <v>0.14856406989335516</v>
      </c>
      <c r="O1872">
        <v>2.106510104892648E-2</v>
      </c>
      <c r="P1872">
        <v>2.8261919243916665E-2</v>
      </c>
      <c r="Q1872">
        <v>5.473406966605073E-3</v>
      </c>
      <c r="R1872">
        <v>1.6454709300301534E-3</v>
      </c>
      <c r="S1872">
        <v>0.25938157060170003</v>
      </c>
      <c r="T1872">
        <v>1.3685666081306527</v>
      </c>
      <c r="U1872">
        <v>0.21221530719173526</v>
      </c>
      <c r="V1872">
        <v>0.24185017115366098</v>
      </c>
      <c r="W1872">
        <v>9.8006415636837124E-2</v>
      </c>
      <c r="X1872">
        <v>1.6170417103452819E-2</v>
      </c>
      <c r="Y1872">
        <v>4.4784294421957738E-3</v>
      </c>
    </row>
    <row r="1873" spans="1:25">
      <c r="A1873" s="1010"/>
      <c r="B1873" s="1351">
        <v>1623</v>
      </c>
      <c r="C1873" s="1014">
        <v>0.99963328454216982</v>
      </c>
      <c r="D1873" s="1014">
        <v>1.00071052205758</v>
      </c>
      <c r="E1873" s="1014">
        <v>1.0350042572752887</v>
      </c>
      <c r="F1873" s="1014">
        <v>1.028080686755183</v>
      </c>
      <c r="G1873" s="1014">
        <v>1.0034065464122917</v>
      </c>
      <c r="H1873" s="1014">
        <v>0.99024423083748769</v>
      </c>
      <c r="I1873" s="1014">
        <v>0.98154522590074322</v>
      </c>
      <c r="K1873">
        <v>2.4521641555902742</v>
      </c>
      <c r="L1873">
        <v>0</v>
      </c>
      <c r="M1873">
        <v>1.5119692650706062E-3</v>
      </c>
      <c r="N1873">
        <v>0.1529108498831703</v>
      </c>
      <c r="O1873">
        <v>2.1013312332901237E-2</v>
      </c>
      <c r="P1873">
        <v>2.9716080616163314E-2</v>
      </c>
      <c r="Q1873">
        <v>5.6937576256846402E-3</v>
      </c>
      <c r="R1873">
        <v>1.491815004900497E-3</v>
      </c>
      <c r="S1873">
        <v>0.25331648261503875</v>
      </c>
      <c r="T1873">
        <v>1.4109361644731824</v>
      </c>
      <c r="U1873">
        <v>0.212171162568216</v>
      </c>
      <c r="V1873">
        <v>0.24601204549726144</v>
      </c>
      <c r="W1873">
        <v>9.8411719628053271E-2</v>
      </c>
      <c r="X1873">
        <v>1.7942505944120047E-2</v>
      </c>
      <c r="Y1873">
        <v>4.0602286666549569E-3</v>
      </c>
    </row>
    <row r="1874" spans="1:25">
      <c r="A1874" s="1010"/>
      <c r="B1874" s="1351">
        <v>1624</v>
      </c>
      <c r="C1874" s="1014">
        <v>1.0272867823894061</v>
      </c>
      <c r="D1874" s="1014">
        <v>1.0206543306709424</v>
      </c>
      <c r="E1874" s="1014">
        <v>0.97337718644143312</v>
      </c>
      <c r="F1874" s="1014">
        <v>1.0264040440728104</v>
      </c>
      <c r="G1874" s="1014">
        <v>1.0194296914960399</v>
      </c>
      <c r="H1874" s="1014">
        <v>0.99641094491058324</v>
      </c>
      <c r="I1874" s="1014">
        <v>0.97132427046987657</v>
      </c>
      <c r="K1874">
        <v>2.4103313159555868</v>
      </c>
      <c r="L1874">
        <v>0</v>
      </c>
      <c r="M1874">
        <v>1.6751523743228438E-3</v>
      </c>
      <c r="N1874">
        <v>0.14065332551773596</v>
      </c>
      <c r="O1874">
        <v>2.0319417656970967E-2</v>
      </c>
      <c r="P1874">
        <v>2.8118198857897358E-2</v>
      </c>
      <c r="Q1874">
        <v>5.1757483943327548E-3</v>
      </c>
      <c r="R1874">
        <v>1.6529611100040138E-3</v>
      </c>
      <c r="S1874">
        <v>0.24155683608887096</v>
      </c>
      <c r="T1874">
        <v>1.4072660142511055</v>
      </c>
      <c r="U1874">
        <v>0.20625455296495768</v>
      </c>
      <c r="V1874">
        <v>0.24729177034030761</v>
      </c>
      <c r="W1874">
        <v>9.3889104428339615E-2</v>
      </c>
      <c r="X1874">
        <v>1.532972347644028E-2</v>
      </c>
      <c r="Y1874">
        <v>4.498815242947457E-3</v>
      </c>
    </row>
    <row r="1875" spans="1:25">
      <c r="A1875" s="1010"/>
      <c r="B1875" s="1351">
        <v>1625</v>
      </c>
      <c r="C1875" s="1014">
        <v>0.98106668578438483</v>
      </c>
      <c r="D1875" s="1014">
        <v>0.99862930734035626</v>
      </c>
      <c r="E1875" s="1014">
        <v>0.96621504562159743</v>
      </c>
      <c r="F1875" s="1014">
        <v>1.0131382896159815</v>
      </c>
      <c r="G1875" s="1014">
        <v>1.0108169736727886</v>
      </c>
      <c r="H1875" s="1014">
        <v>0.98552600374174737</v>
      </c>
      <c r="I1875" s="1014">
        <v>0.99793487580305862</v>
      </c>
      <c r="K1875">
        <v>2.4331313147932736</v>
      </c>
      <c r="L1875">
        <v>0</v>
      </c>
      <c r="M1875">
        <v>1.769223506850845E-3</v>
      </c>
      <c r="N1875">
        <v>0.14534351802129342</v>
      </c>
      <c r="O1875">
        <v>2.1374246396146858E-2</v>
      </c>
      <c r="P1875">
        <v>2.813629771955126E-2</v>
      </c>
      <c r="Q1875">
        <v>5.4047199853505838E-3</v>
      </c>
      <c r="R1875">
        <v>1.7455271909169602E-3</v>
      </c>
      <c r="S1875">
        <v>0.26171581268669641</v>
      </c>
      <c r="T1875">
        <v>1.3889218602003932</v>
      </c>
      <c r="U1875">
        <v>0.21594680327378118</v>
      </c>
      <c r="V1875">
        <v>0.24870676482512163</v>
      </c>
      <c r="W1875">
        <v>9.744382203866736E-2</v>
      </c>
      <c r="X1875">
        <v>1.5410416361412179E-2</v>
      </c>
      <c r="Y1875">
        <v>4.7507496007921247E-3</v>
      </c>
    </row>
    <row r="1876" spans="1:25">
      <c r="A1876" s="1010"/>
      <c r="B1876" s="1351">
        <v>1626</v>
      </c>
      <c r="C1876" s="1014">
        <v>0.98730033106754922</v>
      </c>
      <c r="D1876" s="1014">
        <v>0.98852060577731082</v>
      </c>
      <c r="E1876" s="1014">
        <v>1.0373034581091312</v>
      </c>
      <c r="F1876" s="1014">
        <v>1.0275301753610016</v>
      </c>
      <c r="G1876" s="1014">
        <v>1.0059248552830811</v>
      </c>
      <c r="H1876" s="1014">
        <v>1.0343255501080131</v>
      </c>
      <c r="I1876" s="1014">
        <v>0.97393014376256204</v>
      </c>
      <c r="K1876">
        <v>2.4787466972443646</v>
      </c>
      <c r="L1876">
        <v>0</v>
      </c>
      <c r="M1876">
        <v>1.5956502726741455E-3</v>
      </c>
      <c r="N1876">
        <v>0.16258924597630459</v>
      </c>
      <c r="O1876">
        <v>2.1334804002379713E-2</v>
      </c>
      <c r="P1876">
        <v>2.9900562200813351E-2</v>
      </c>
      <c r="Q1876">
        <v>5.7939805501305182E-3</v>
      </c>
      <c r="R1876">
        <v>1.5752870422175871E-3</v>
      </c>
      <c r="S1876">
        <v>0.25979435473185986</v>
      </c>
      <c r="T1876">
        <v>1.4102320969237414</v>
      </c>
      <c r="U1876">
        <v>0.21482952162333638</v>
      </c>
      <c r="V1876">
        <v>0.24721384481572337</v>
      </c>
      <c r="W1876">
        <v>0.1045017355438372</v>
      </c>
      <c r="X1876">
        <v>1.828950207101375E-2</v>
      </c>
      <c r="Y1876">
        <v>4.2874120356823685E-3</v>
      </c>
    </row>
    <row r="1877" spans="1:25">
      <c r="A1877" s="1010"/>
      <c r="B1877" s="1351">
        <v>1627</v>
      </c>
      <c r="C1877" s="1014">
        <v>0.9977888483123879</v>
      </c>
      <c r="D1877" s="1014">
        <v>0.99416104732435429</v>
      </c>
      <c r="E1877" s="1014">
        <v>1.0035364956000139</v>
      </c>
      <c r="F1877" s="1014">
        <v>1.006086335943285</v>
      </c>
      <c r="G1877" s="1014">
        <v>0.97495660779944993</v>
      </c>
      <c r="H1877" s="1014">
        <v>1.0207431835547827</v>
      </c>
      <c r="I1877" s="1014">
        <v>0.97531477986363646</v>
      </c>
      <c r="K1877">
        <v>2.4197717393323361</v>
      </c>
      <c r="L1877">
        <v>0</v>
      </c>
      <c r="M1877">
        <v>1.669468100384623E-3</v>
      </c>
      <c r="N1877">
        <v>0.15360958497799976</v>
      </c>
      <c r="O1877">
        <v>2.1061570567775734E-2</v>
      </c>
      <c r="P1877">
        <v>2.8584004547051518E-2</v>
      </c>
      <c r="Q1877">
        <v>5.5309948585410412E-3</v>
      </c>
      <c r="R1877">
        <v>1.6478793325924376E-3</v>
      </c>
      <c r="S1877">
        <v>0.25529378775295936</v>
      </c>
      <c r="T1877">
        <v>1.3800638340391544</v>
      </c>
      <c r="U1877">
        <v>0.2124552476304459</v>
      </c>
      <c r="V1877">
        <v>0.24138047999725609</v>
      </c>
      <c r="W1877">
        <v>0.10069946810338533</v>
      </c>
      <c r="X1877">
        <v>1.6629371305515801E-2</v>
      </c>
      <c r="Y1877">
        <v>4.4849843200406199E-3</v>
      </c>
    </row>
    <row r="1878" spans="1:25">
      <c r="A1878" s="1010"/>
      <c r="B1878" s="1351">
        <v>1628</v>
      </c>
      <c r="C1878" s="1014">
        <v>1.0408023550244512</v>
      </c>
      <c r="D1878" s="1014">
        <v>1.0305778328908881</v>
      </c>
      <c r="E1878" s="1014">
        <v>1.0264205590370927</v>
      </c>
      <c r="F1878" s="1014">
        <v>0.95497795134307384</v>
      </c>
      <c r="G1878" s="1014">
        <v>0.97789303599326771</v>
      </c>
      <c r="H1878" s="1014">
        <v>1.0467912546814897</v>
      </c>
      <c r="I1878" s="1014">
        <v>0.99742828037829712</v>
      </c>
      <c r="K1878">
        <v>2.3279409220057308</v>
      </c>
      <c r="L1878">
        <v>0</v>
      </c>
      <c r="M1878">
        <v>1.5527162557975244E-3</v>
      </c>
      <c r="N1878">
        <v>0.15313235875686718</v>
      </c>
      <c r="O1878">
        <v>2.0046507461318305E-2</v>
      </c>
      <c r="P1878">
        <v>2.784954650187825E-2</v>
      </c>
      <c r="Q1878">
        <v>5.3859077216775698E-3</v>
      </c>
      <c r="R1878">
        <v>1.5331369074850533E-3</v>
      </c>
      <c r="S1878">
        <v>0.2481432793109315</v>
      </c>
      <c r="T1878">
        <v>1.3104317464241038</v>
      </c>
      <c r="U1878">
        <v>0.20375038385156002</v>
      </c>
      <c r="V1878">
        <v>0.23921822947142771</v>
      </c>
      <c r="W1878">
        <v>9.9046290393649622E-2</v>
      </c>
      <c r="X1878">
        <v>1.6783558196897305E-2</v>
      </c>
      <c r="Y1878">
        <v>4.1726932637285918E-3</v>
      </c>
    </row>
    <row r="1879" spans="1:25">
      <c r="A1879" s="1010"/>
      <c r="B1879" s="1351">
        <v>1629</v>
      </c>
      <c r="C1879" s="1014">
        <v>1.0002598561398455</v>
      </c>
      <c r="D1879" s="1014">
        <v>1.017294024132263</v>
      </c>
      <c r="E1879" s="1014">
        <v>0.97466736753666061</v>
      </c>
      <c r="F1879" s="1014">
        <v>1.0010915530098135</v>
      </c>
      <c r="G1879" s="1014">
        <v>1.0471559148012459</v>
      </c>
      <c r="H1879" s="1014">
        <v>1.0104828989940984</v>
      </c>
      <c r="I1879" s="1014">
        <v>1.0251475990120089</v>
      </c>
      <c r="K1879">
        <v>2.4208458676182398</v>
      </c>
      <c r="L1879">
        <v>0</v>
      </c>
      <c r="M1879">
        <v>1.7413305934734606E-3</v>
      </c>
      <c r="N1879">
        <v>0.14680950839161389</v>
      </c>
      <c r="O1879">
        <v>2.0884441223757856E-2</v>
      </c>
      <c r="P1879">
        <v>2.8135346933059774E-2</v>
      </c>
      <c r="Q1879">
        <v>5.3266745669397894E-3</v>
      </c>
      <c r="R1879">
        <v>1.7185838892484488E-3</v>
      </c>
      <c r="S1879">
        <v>0.26349343047050738</v>
      </c>
      <c r="T1879">
        <v>1.3725887438163227</v>
      </c>
      <c r="U1879">
        <v>0.211831921832354</v>
      </c>
      <c r="V1879">
        <v>0.25366552331227554</v>
      </c>
      <c r="W1879">
        <v>9.7921810538672591E-2</v>
      </c>
      <c r="X1879">
        <v>1.5533794421450042E-2</v>
      </c>
      <c r="Y1879">
        <v>4.6774188155074437E-3</v>
      </c>
    </row>
    <row r="1880" spans="1:25">
      <c r="A1880" s="1010"/>
      <c r="B1880" s="1351">
        <v>1630</v>
      </c>
      <c r="C1880" s="1014">
        <v>1.0450893758031059</v>
      </c>
      <c r="D1880" s="1014">
        <v>1.0129574266916328</v>
      </c>
      <c r="E1880" s="1014">
        <v>1.0228983351454894</v>
      </c>
      <c r="F1880" s="1014">
        <v>0.99587498605097358</v>
      </c>
      <c r="G1880" s="1014">
        <v>1.0235515500568086</v>
      </c>
      <c r="H1880" s="1014">
        <v>1.0147880406047847</v>
      </c>
      <c r="I1880" s="1014">
        <v>0.99401258951299853</v>
      </c>
      <c r="K1880">
        <v>2.3805726211642919</v>
      </c>
      <c r="L1880">
        <v>0</v>
      </c>
      <c r="M1880">
        <v>1.5158453061871048E-3</v>
      </c>
      <c r="N1880">
        <v>0.14785692290273794</v>
      </c>
      <c r="O1880">
        <v>2.003792497396634E-2</v>
      </c>
      <c r="P1880">
        <v>2.8616108174892817E-2</v>
      </c>
      <c r="Q1880">
        <v>5.3648316997063584E-3</v>
      </c>
      <c r="R1880">
        <v>1.4961280825958286E-3</v>
      </c>
      <c r="S1880">
        <v>0.24577370806076473</v>
      </c>
      <c r="T1880">
        <v>1.3664748971495633</v>
      </c>
      <c r="U1880">
        <v>0.20290302380801822</v>
      </c>
      <c r="V1880">
        <v>0.24677649083416847</v>
      </c>
      <c r="W1880">
        <v>9.5830682355853916E-2</v>
      </c>
      <c r="X1880">
        <v>1.6885780985874937E-2</v>
      </c>
      <c r="Y1880">
        <v>4.0719674423359692E-3</v>
      </c>
    </row>
    <row r="1881" spans="1:25">
      <c r="A1881" s="1010"/>
      <c r="B1881" s="1351">
        <v>1631</v>
      </c>
      <c r="C1881" s="1014">
        <v>1.0381550653594844</v>
      </c>
      <c r="D1881" s="1014">
        <v>1.0045030888935242</v>
      </c>
      <c r="E1881" s="1014">
        <v>1.0417084058992541</v>
      </c>
      <c r="F1881" s="1014">
        <v>0.96304631471686397</v>
      </c>
      <c r="G1881" s="1014">
        <v>0.99608608751645</v>
      </c>
      <c r="H1881" s="1014">
        <v>1.0259195766582978</v>
      </c>
      <c r="I1881" s="1014">
        <v>1.0044398527460197</v>
      </c>
      <c r="K1881">
        <v>2.3481204525532151</v>
      </c>
      <c r="L1881">
        <v>0</v>
      </c>
      <c r="M1881">
        <v>1.4861287957476908E-3</v>
      </c>
      <c r="N1881">
        <v>0.15343610017194462</v>
      </c>
      <c r="O1881">
        <v>2.0221067199085434E-2</v>
      </c>
      <c r="P1881">
        <v>2.8428516051043597E-2</v>
      </c>
      <c r="Q1881">
        <v>5.5153621620654073E-3</v>
      </c>
      <c r="R1881">
        <v>1.4670078508226959E-3</v>
      </c>
      <c r="S1881">
        <v>0.2521235732930987</v>
      </c>
      <c r="T1881">
        <v>1.3218237762088831</v>
      </c>
      <c r="U1881">
        <v>0.20432053997371347</v>
      </c>
      <c r="V1881">
        <v>0.24242259579715886</v>
      </c>
      <c r="W1881">
        <v>9.8368716626701436E-2</v>
      </c>
      <c r="X1881">
        <v>1.7486614243513977E-2</v>
      </c>
      <c r="Y1881">
        <v>3.9927117709313252E-3</v>
      </c>
    </row>
    <row r="1882" spans="1:25">
      <c r="A1882" s="1010"/>
      <c r="B1882" s="1351">
        <v>1632</v>
      </c>
      <c r="C1882" s="1014">
        <v>1.0121382619724069</v>
      </c>
      <c r="D1882" s="1014">
        <v>1.0208915018351854</v>
      </c>
      <c r="E1882" s="1014">
        <v>0.98158078218572864</v>
      </c>
      <c r="F1882" s="1014">
        <v>1.0217457573244382</v>
      </c>
      <c r="G1882" s="1014">
        <v>0.99169012715959437</v>
      </c>
      <c r="H1882" s="1014">
        <v>1.0449984791225024</v>
      </c>
      <c r="I1882" s="1014">
        <v>0.98929083507366011</v>
      </c>
      <c r="K1882">
        <v>2.43364346253265</v>
      </c>
      <c r="L1882">
        <v>0</v>
      </c>
      <c r="M1882">
        <v>1.7530611376230163E-3</v>
      </c>
      <c r="N1882">
        <v>0.15098906818297686</v>
      </c>
      <c r="O1882">
        <v>2.0627816547492808E-2</v>
      </c>
      <c r="P1882">
        <v>2.8364939551830812E-2</v>
      </c>
      <c r="Q1882">
        <v>5.2983598048124084E-3</v>
      </c>
      <c r="R1882">
        <v>1.7309175684953745E-3</v>
      </c>
      <c r="S1882">
        <v>0.25376193909807682</v>
      </c>
      <c r="T1882">
        <v>1.4010596467108578</v>
      </c>
      <c r="U1882">
        <v>0.20936913857520714</v>
      </c>
      <c r="V1882">
        <v>0.24342987714826347</v>
      </c>
      <c r="W1882">
        <v>0.10028941547681469</v>
      </c>
      <c r="X1882">
        <v>1.5764417980819418E-2</v>
      </c>
      <c r="Y1882">
        <v>4.7109870246213057E-3</v>
      </c>
    </row>
    <row r="1883" spans="1:25">
      <c r="A1883" s="1010"/>
      <c r="B1883" s="1351">
        <v>1633</v>
      </c>
      <c r="C1883" s="1014">
        <v>0.99607275681500351</v>
      </c>
      <c r="D1883" s="1014">
        <v>0.96978878906799482</v>
      </c>
      <c r="E1883" s="1014">
        <v>0.9755312516377741</v>
      </c>
      <c r="F1883" s="1014">
        <v>0.99729079524489928</v>
      </c>
      <c r="G1883" s="1014">
        <v>0.96291635109871498</v>
      </c>
      <c r="H1883" s="1014">
        <v>0.96724348705271623</v>
      </c>
      <c r="I1883" s="1014">
        <v>1.0168495596210603</v>
      </c>
      <c r="K1883">
        <v>2.3970383354078959</v>
      </c>
      <c r="L1883">
        <v>0</v>
      </c>
      <c r="M1883">
        <v>1.6885111163218519E-3</v>
      </c>
      <c r="N1883">
        <v>0.14264462541113523</v>
      </c>
      <c r="O1883">
        <v>2.1194624055406258E-2</v>
      </c>
      <c r="P1883">
        <v>2.7927835067495459E-2</v>
      </c>
      <c r="Q1883">
        <v>5.4105497687818287E-3</v>
      </c>
      <c r="R1883">
        <v>1.6654683652360777E-3</v>
      </c>
      <c r="S1883">
        <v>0.26504972593772341</v>
      </c>
      <c r="T1883">
        <v>1.367396092268234</v>
      </c>
      <c r="U1883">
        <v>0.21272533283891248</v>
      </c>
      <c r="V1883">
        <v>0.23952861333077338</v>
      </c>
      <c r="W1883">
        <v>9.5094026905893289E-2</v>
      </c>
      <c r="X1883">
        <v>1.555709670594916E-2</v>
      </c>
      <c r="Y1883">
        <v>4.5328558686735573E-3</v>
      </c>
    </row>
    <row r="1884" spans="1:25">
      <c r="A1884" s="1010"/>
      <c r="B1884" s="1351">
        <v>1634</v>
      </c>
      <c r="C1884" s="1014">
        <v>0.97587959763141718</v>
      </c>
      <c r="D1884" s="1014">
        <v>0.98292853330635632</v>
      </c>
      <c r="E1884" s="1014">
        <v>0.9970170857288605</v>
      </c>
      <c r="F1884" s="1014">
        <v>0.97421286671081897</v>
      </c>
      <c r="G1884" s="1014">
        <v>1.0272109500568396</v>
      </c>
      <c r="H1884" s="1014">
        <v>1.0241122052535558</v>
      </c>
      <c r="I1884" s="1014">
        <v>1.0096940343670457</v>
      </c>
      <c r="K1884">
        <v>2.4141142069188235</v>
      </c>
      <c r="L1884">
        <v>0</v>
      </c>
      <c r="M1884">
        <v>1.740245690248037E-3</v>
      </c>
      <c r="N1884">
        <v>0.15700574678835469</v>
      </c>
      <c r="O1884">
        <v>2.1583867752938343E-2</v>
      </c>
      <c r="P1884">
        <v>2.828145721956558E-2</v>
      </c>
      <c r="Q1884">
        <v>5.6311383610524388E-3</v>
      </c>
      <c r="R1884">
        <v>1.7178156918145023E-3</v>
      </c>
      <c r="S1884">
        <v>0.27200871777696062</v>
      </c>
      <c r="T1884">
        <v>1.3362051394350465</v>
      </c>
      <c r="U1884">
        <v>0.2172021953801318</v>
      </c>
      <c r="V1884">
        <v>0.25173114164206223</v>
      </c>
      <c r="W1884">
        <v>0.10332533928550629</v>
      </c>
      <c r="X1884">
        <v>1.6486565240308011E-2</v>
      </c>
      <c r="Y1884">
        <v>4.6753280353284592E-3</v>
      </c>
    </row>
    <row r="1885" spans="1:25">
      <c r="A1885" s="1010"/>
      <c r="B1885" s="1351">
        <v>1635</v>
      </c>
      <c r="C1885" s="1014">
        <v>0.99302100646574276</v>
      </c>
      <c r="D1885" s="1014">
        <v>1.0223921012698354</v>
      </c>
      <c r="E1885" s="1014">
        <v>0.97483640031940111</v>
      </c>
      <c r="F1885" s="1014">
        <v>1.0020224003634453</v>
      </c>
      <c r="G1885" s="1014">
        <v>1.0183174510381936</v>
      </c>
      <c r="H1885" s="1014">
        <v>1.0154214161926736</v>
      </c>
      <c r="I1885" s="1014">
        <v>0.99098300956830665</v>
      </c>
      <c r="K1885">
        <v>2.4149178488418195</v>
      </c>
      <c r="L1885">
        <v>0</v>
      </c>
      <c r="M1885">
        <v>1.7600447005646513E-3</v>
      </c>
      <c r="N1885">
        <v>0.14847276865612802</v>
      </c>
      <c r="O1885">
        <v>2.1013672495193609E-2</v>
      </c>
      <c r="P1885">
        <v>2.8021254488393588E-2</v>
      </c>
      <c r="Q1885">
        <v>5.3605591922985547E-3</v>
      </c>
      <c r="R1885">
        <v>1.7371653550200519E-3</v>
      </c>
      <c r="S1885">
        <v>0.25635007611600996</v>
      </c>
      <c r="T1885">
        <v>1.373868665385988</v>
      </c>
      <c r="U1885">
        <v>0.21337669768488768</v>
      </c>
      <c r="V1885">
        <v>0.24919111035735253</v>
      </c>
      <c r="W1885">
        <v>9.9021054295551109E-2</v>
      </c>
      <c r="X1885">
        <v>1.5536878075600722E-2</v>
      </c>
      <c r="Y1885">
        <v>4.7279914399592036E-3</v>
      </c>
    </row>
    <row r="1886" spans="1:25">
      <c r="A1886" s="1010"/>
      <c r="B1886" s="1351">
        <v>1636</v>
      </c>
      <c r="C1886" s="1014">
        <v>1.0174489767051444</v>
      </c>
      <c r="D1886" s="1014">
        <v>0.9646880319078357</v>
      </c>
      <c r="E1886" s="1014">
        <v>0.99396702559798877</v>
      </c>
      <c r="F1886" s="1014">
        <v>1.0152004988310046</v>
      </c>
      <c r="G1886" s="1014">
        <v>0.96588563514156034</v>
      </c>
      <c r="H1886" s="1014">
        <v>0.98666404335563718</v>
      </c>
      <c r="I1886" s="1014">
        <v>0.98691718116458638</v>
      </c>
      <c r="K1886">
        <v>2.4096671445897235</v>
      </c>
      <c r="L1886">
        <v>0</v>
      </c>
      <c r="M1886">
        <v>1.624992592565127E-3</v>
      </c>
      <c r="N1886">
        <v>0.1451903612313413</v>
      </c>
      <c r="O1886">
        <v>2.0785511379783076E-2</v>
      </c>
      <c r="P1886">
        <v>2.8440638118518973E-2</v>
      </c>
      <c r="Q1886">
        <v>5.406208955182722E-3</v>
      </c>
      <c r="R1886">
        <v>1.6032531550813349E-3</v>
      </c>
      <c r="S1886">
        <v>0.25428053531045919</v>
      </c>
      <c r="T1886">
        <v>1.3923558050728948</v>
      </c>
      <c r="U1886">
        <v>0.20831783949225174</v>
      </c>
      <c r="V1886">
        <v>0.23865613423481954</v>
      </c>
      <c r="W1886">
        <v>9.5723632202796879E-2</v>
      </c>
      <c r="X1886">
        <v>1.6168691453284131E-2</v>
      </c>
      <c r="Y1886">
        <v>4.3635265758708618E-3</v>
      </c>
    </row>
    <row r="1887" spans="1:25">
      <c r="A1887" s="1010"/>
      <c r="B1887" s="1351">
        <v>1637</v>
      </c>
      <c r="C1887" s="1014">
        <v>0.99350444009786854</v>
      </c>
      <c r="D1887" s="1014">
        <v>1.0104018472806255</v>
      </c>
      <c r="E1887" s="1014">
        <v>0.9990865129655836</v>
      </c>
      <c r="F1887" s="1014">
        <v>0.99923724370050826</v>
      </c>
      <c r="G1887" s="1014">
        <v>1.0159053191874159</v>
      </c>
      <c r="H1887" s="1014">
        <v>0.95841380147840305</v>
      </c>
      <c r="I1887" s="1014">
        <v>0.98465792170749566</v>
      </c>
      <c r="K1887">
        <v>2.3976808792562685</v>
      </c>
      <c r="L1887">
        <v>0</v>
      </c>
      <c r="M1887">
        <v>1.5832333479868981E-3</v>
      </c>
      <c r="N1887">
        <v>0.14360735835209817</v>
      </c>
      <c r="O1887">
        <v>2.1074158009354985E-2</v>
      </c>
      <c r="P1887">
        <v>2.841964432513357E-2</v>
      </c>
      <c r="Q1887">
        <v>5.5096185166492407E-3</v>
      </c>
      <c r="R1887">
        <v>1.5614282477090782E-3</v>
      </c>
      <c r="S1887">
        <v>0.25148896511271107</v>
      </c>
      <c r="T1887">
        <v>1.3705726332926571</v>
      </c>
      <c r="U1887">
        <v>0.21335613017774066</v>
      </c>
      <c r="V1887">
        <v>0.24865855668029219</v>
      </c>
      <c r="W1887">
        <v>9.4391524376994232E-2</v>
      </c>
      <c r="X1887">
        <v>1.6374402547332825E-2</v>
      </c>
      <c r="Y1887">
        <v>4.2496929655805879E-3</v>
      </c>
    </row>
    <row r="1888" spans="1:25">
      <c r="A1888" s="1010"/>
      <c r="B1888" s="1351">
        <v>1638</v>
      </c>
      <c r="C1888" s="1014">
        <v>1.0206409039671753</v>
      </c>
      <c r="D1888" s="1014">
        <v>1.0410434045279913</v>
      </c>
      <c r="E1888" s="1014">
        <v>1.0093089018173558</v>
      </c>
      <c r="F1888" s="1014">
        <v>1.0320022387015362</v>
      </c>
      <c r="G1888" s="1014">
        <v>1.0411784037819103</v>
      </c>
      <c r="H1888" s="1014">
        <v>0.97215518125645917</v>
      </c>
      <c r="I1888" s="1014">
        <v>0.97451004912458605</v>
      </c>
      <c r="K1888">
        <v>2.4253660195500411</v>
      </c>
      <c r="L1888">
        <v>0</v>
      </c>
      <c r="M1888">
        <v>1.5203898367050078E-3</v>
      </c>
      <c r="N1888">
        <v>0.14225943332199861</v>
      </c>
      <c r="O1888">
        <v>2.0386051393818602E-2</v>
      </c>
      <c r="P1888">
        <v>2.9055362236375629E-2</v>
      </c>
      <c r="Q1888">
        <v>5.3846389910932333E-3</v>
      </c>
      <c r="R1888">
        <v>1.4997462297801148E-3</v>
      </c>
      <c r="S1888">
        <v>0.23986098351617377</v>
      </c>
      <c r="T1888">
        <v>1.4157420775427405</v>
      </c>
      <c r="U1888">
        <v>0.20771774592306266</v>
      </c>
      <c r="V1888">
        <v>0.25126616621739989</v>
      </c>
      <c r="W1888">
        <v>9.2941031114825753E-2</v>
      </c>
      <c r="X1888">
        <v>1.6691358053227964E-2</v>
      </c>
      <c r="Y1888">
        <v>4.0818148462496966E-3</v>
      </c>
    </row>
    <row r="1889" spans="1:25">
      <c r="A1889" s="1010"/>
      <c r="B1889" s="1351">
        <v>1639</v>
      </c>
      <c r="C1889" s="1014">
        <v>0.99512867566356711</v>
      </c>
      <c r="D1889" s="1014">
        <v>1.016576376910576</v>
      </c>
      <c r="E1889" s="1014">
        <v>0.9935759812749817</v>
      </c>
      <c r="F1889" s="1014">
        <v>0.99027015781111216</v>
      </c>
      <c r="G1889" s="1014">
        <v>1.000488300281551</v>
      </c>
      <c r="H1889" s="1014">
        <v>1.0101838554652554</v>
      </c>
      <c r="I1889" s="1014">
        <v>1.0321476474265046</v>
      </c>
      <c r="K1889">
        <v>2.4087491748071383</v>
      </c>
      <c r="L1889">
        <v>0</v>
      </c>
      <c r="M1889">
        <v>1.6829148897079035E-3</v>
      </c>
      <c r="N1889">
        <v>0.15023541354388295</v>
      </c>
      <c r="O1889">
        <v>2.1007920167124581E-2</v>
      </c>
      <c r="P1889">
        <v>2.8301439636854341E-2</v>
      </c>
      <c r="Q1889">
        <v>5.461901630918177E-3</v>
      </c>
      <c r="R1889">
        <v>1.6609247520593122E-3</v>
      </c>
      <c r="S1889">
        <v>0.26688720600962851</v>
      </c>
      <c r="T1889">
        <v>1.3581552732865487</v>
      </c>
      <c r="U1889">
        <v>0.21298897563505667</v>
      </c>
      <c r="V1889">
        <v>0.24594301172274352</v>
      </c>
      <c r="W1889">
        <v>9.9072959182004261E-2</v>
      </c>
      <c r="X1889">
        <v>1.6196574478614011E-2</v>
      </c>
      <c r="Y1889">
        <v>4.5204896514080811E-3</v>
      </c>
    </row>
    <row r="1890" spans="1:25">
      <c r="A1890" s="1010"/>
      <c r="B1890" s="1351">
        <v>1640</v>
      </c>
      <c r="C1890" s="1014">
        <v>0.96406122524242766</v>
      </c>
      <c r="D1890" s="1014">
        <v>1.010779445043021</v>
      </c>
      <c r="E1890" s="1014">
        <v>1.0115274886680561</v>
      </c>
      <c r="F1890" s="1014">
        <v>0.97731247159817669</v>
      </c>
      <c r="G1890" s="1014">
        <v>1.0303842850679108</v>
      </c>
      <c r="H1890" s="1014">
        <v>1.0061171912528959</v>
      </c>
      <c r="I1890" s="1014">
        <v>0.98543078337910039</v>
      </c>
      <c r="K1890">
        <v>2.4147655363036544</v>
      </c>
      <c r="L1890">
        <v>0</v>
      </c>
      <c r="M1890">
        <v>1.66898785391251E-3</v>
      </c>
      <c r="N1890">
        <v>0.15728590670409276</v>
      </c>
      <c r="O1890">
        <v>2.1724546283780632E-2</v>
      </c>
      <c r="P1890">
        <v>2.8589188295269533E-2</v>
      </c>
      <c r="Q1890">
        <v>5.7509175563492856E-3</v>
      </c>
      <c r="R1890">
        <v>1.6470915493707551E-3</v>
      </c>
      <c r="S1890">
        <v>0.26356599409810044</v>
      </c>
      <c r="T1890">
        <v>1.3407634535313802</v>
      </c>
      <c r="U1890">
        <v>0.21991634792590753</v>
      </c>
      <c r="V1890">
        <v>0.25300352721445529</v>
      </c>
      <c r="W1890">
        <v>0.10262383608071805</v>
      </c>
      <c r="X1890">
        <v>1.7080874684336188E-2</v>
      </c>
      <c r="Y1890">
        <v>4.4828402338038696E-3</v>
      </c>
    </row>
    <row r="1891" spans="1:25">
      <c r="A1891" s="1010"/>
      <c r="B1891" s="1351">
        <v>1641</v>
      </c>
      <c r="C1891" s="1014">
        <v>1.0049869736397719</v>
      </c>
      <c r="D1891" s="1014">
        <v>0.96459414423988954</v>
      </c>
      <c r="E1891" s="1014">
        <v>0.97683896054511954</v>
      </c>
      <c r="F1891" s="1014">
        <v>0.99815556174316888</v>
      </c>
      <c r="G1891" s="1014">
        <v>1.0085679196212691</v>
      </c>
      <c r="H1891" s="1014">
        <v>1.0272597069354061</v>
      </c>
      <c r="I1891" s="1014">
        <v>0.99783359487334033</v>
      </c>
      <c r="K1891">
        <v>2.4156001436870769</v>
      </c>
      <c r="L1891">
        <v>0</v>
      </c>
      <c r="M1891">
        <v>1.774673686337306E-3</v>
      </c>
      <c r="N1891">
        <v>0.1506398088642692</v>
      </c>
      <c r="O1891">
        <v>2.1032331142913425E-2</v>
      </c>
      <c r="P1891">
        <v>2.8024398358535405E-2</v>
      </c>
      <c r="Q1891">
        <v>5.3762760571669857E-3</v>
      </c>
      <c r="R1891">
        <v>1.7518700306705345E-3</v>
      </c>
      <c r="S1891">
        <v>0.26360677360781026</v>
      </c>
      <c r="T1891">
        <v>1.3686098749584643</v>
      </c>
      <c r="U1891">
        <v>0.21084289363646319</v>
      </c>
      <c r="V1891">
        <v>0.24676972165955779</v>
      </c>
      <c r="W1891">
        <v>0.10034450916538126</v>
      </c>
      <c r="X1891">
        <v>1.5608347172494803E-2</v>
      </c>
      <c r="Y1891">
        <v>4.7680127196847912E-3</v>
      </c>
    </row>
    <row r="1892" spans="1:25">
      <c r="A1892" s="1010"/>
      <c r="B1892" s="1351">
        <v>1642</v>
      </c>
      <c r="C1892" s="1014">
        <v>0.99466232652756792</v>
      </c>
      <c r="D1892" s="1014">
        <v>1.0162296573323233</v>
      </c>
      <c r="E1892" s="1014">
        <v>0.97303181786895365</v>
      </c>
      <c r="F1892" s="1014">
        <v>0.97779067740220393</v>
      </c>
      <c r="G1892" s="1014">
        <v>0.99855887004075905</v>
      </c>
      <c r="H1892" s="1014">
        <v>1.0096899334113949</v>
      </c>
      <c r="I1892" s="1014">
        <v>1.0012518493743101</v>
      </c>
      <c r="K1892">
        <v>2.3777506859912609</v>
      </c>
      <c r="L1892">
        <v>0</v>
      </c>
      <c r="M1892">
        <v>1.7560820265443572E-3</v>
      </c>
      <c r="N1892">
        <v>0.14732047406831464</v>
      </c>
      <c r="O1892">
        <v>2.1005724310266354E-2</v>
      </c>
      <c r="P1892">
        <v>2.7520206034802791E-2</v>
      </c>
      <c r="Q1892">
        <v>5.3486789550346624E-3</v>
      </c>
      <c r="R1892">
        <v>1.7331246112832069E-3</v>
      </c>
      <c r="S1892">
        <v>0.25885369755993071</v>
      </c>
      <c r="T1892">
        <v>1.3406066961370244</v>
      </c>
      <c r="U1892">
        <v>0.21301842343348801</v>
      </c>
      <c r="V1892">
        <v>0.24571749235398491</v>
      </c>
      <c r="W1892">
        <v>9.8360189636183537E-2</v>
      </c>
      <c r="X1892">
        <v>1.5305067049954924E-2</v>
      </c>
      <c r="Y1892">
        <v>4.716993867538326E-3</v>
      </c>
    </row>
    <row r="1893" spans="1:25">
      <c r="A1893" s="1010"/>
      <c r="B1893" s="1351">
        <v>1643</v>
      </c>
      <c r="C1893" s="1014">
        <v>1.0258479137039993</v>
      </c>
      <c r="D1893" s="1014">
        <v>0.97201684041126679</v>
      </c>
      <c r="E1893" s="1014">
        <v>1.006931101139769</v>
      </c>
      <c r="F1893" s="1014">
        <v>1.0038172407944861</v>
      </c>
      <c r="G1893" s="1014">
        <v>0.99574039325690733</v>
      </c>
      <c r="H1893" s="1014">
        <v>0.99698248896012553</v>
      </c>
      <c r="I1893" s="1014">
        <v>0.97175625080469752</v>
      </c>
      <c r="K1893">
        <v>2.3937269953118219</v>
      </c>
      <c r="L1893">
        <v>0</v>
      </c>
      <c r="M1893">
        <v>1.5826924986227402E-3</v>
      </c>
      <c r="N1893">
        <v>0.1470799435981518</v>
      </c>
      <c r="O1893">
        <v>2.0589477417645864E-2</v>
      </c>
      <c r="P1893">
        <v>2.846410557563122E-2</v>
      </c>
      <c r="Q1893">
        <v>5.4254458845203772E-3</v>
      </c>
      <c r="R1893">
        <v>1.5617380985250486E-3</v>
      </c>
      <c r="S1893">
        <v>0.24831325893140702</v>
      </c>
      <c r="T1893">
        <v>1.3770250588757889</v>
      </c>
      <c r="U1893">
        <v>0.20665547692285119</v>
      </c>
      <c r="V1893">
        <v>0.24320680520136881</v>
      </c>
      <c r="W1893">
        <v>9.6225396182303288E-2</v>
      </c>
      <c r="X1893">
        <v>1.6512444844892046E-2</v>
      </c>
      <c r="Y1893">
        <v>4.2505362773593673E-3</v>
      </c>
    </row>
    <row r="1894" spans="1:25">
      <c r="A1894" s="1010"/>
      <c r="B1894" s="1351">
        <v>1644</v>
      </c>
      <c r="C1894" s="1014">
        <v>0.99734234313704295</v>
      </c>
      <c r="D1894" s="1014">
        <v>0.99703512497464652</v>
      </c>
      <c r="E1894" s="1014">
        <v>0.99124971743001922</v>
      </c>
      <c r="F1894" s="1014">
        <v>1.026353498049221</v>
      </c>
      <c r="G1894" s="1014">
        <v>0.97966733059926436</v>
      </c>
      <c r="H1894" s="1014">
        <v>1.0017436152946941</v>
      </c>
      <c r="I1894" s="1014">
        <v>0.98204196529076904</v>
      </c>
      <c r="K1894">
        <v>2.4407353694849414</v>
      </c>
      <c r="L1894">
        <v>0</v>
      </c>
      <c r="M1894">
        <v>1.6803546644307294E-3</v>
      </c>
      <c r="N1894">
        <v>0.1489390860894706</v>
      </c>
      <c r="O1894">
        <v>2.1049443748956578E-2</v>
      </c>
      <c r="P1894">
        <v>2.8706082533364881E-2</v>
      </c>
      <c r="Q1894">
        <v>5.4598617457969423E-3</v>
      </c>
      <c r="R1894">
        <v>1.6582129833459392E-3</v>
      </c>
      <c r="S1894">
        <v>0.25510746448440569</v>
      </c>
      <c r="T1894">
        <v>1.4075920059989633</v>
      </c>
      <c r="U1894">
        <v>0.21250826914557255</v>
      </c>
      <c r="V1894">
        <v>0.24225576627788195</v>
      </c>
      <c r="W1894">
        <v>9.8354802451791762E-2</v>
      </c>
      <c r="X1894">
        <v>1.6271619578914438E-2</v>
      </c>
      <c r="Y1894">
        <v>4.5131091109045967E-3</v>
      </c>
    </row>
    <row r="1895" spans="1:25">
      <c r="A1895" s="1010"/>
      <c r="B1895" s="1351">
        <v>1645</v>
      </c>
      <c r="C1895" s="1014">
        <v>0.98986176652533897</v>
      </c>
      <c r="D1895" s="1014">
        <v>1.0004443925941751</v>
      </c>
      <c r="E1895" s="1014">
        <v>0.95550314277736348</v>
      </c>
      <c r="F1895" s="1014">
        <v>1.0004524854879053</v>
      </c>
      <c r="G1895" s="1014">
        <v>1.0050352347299127</v>
      </c>
      <c r="H1895" s="1014">
        <v>1.0033959624815501</v>
      </c>
      <c r="I1895" s="1014">
        <v>1.0327858406993986</v>
      </c>
      <c r="K1895">
        <v>2.4192247200804475</v>
      </c>
      <c r="L1895">
        <v>0</v>
      </c>
      <c r="M1895">
        <v>1.824430218447028E-3</v>
      </c>
      <c r="N1895">
        <v>0.14512747174086787</v>
      </c>
      <c r="O1895">
        <v>2.1168736160498223E-2</v>
      </c>
      <c r="P1895">
        <v>2.7731583273469099E-2</v>
      </c>
      <c r="Q1895">
        <v>5.2941731903066091E-3</v>
      </c>
      <c r="R1895">
        <v>1.8004296722044729E-3</v>
      </c>
      <c r="S1895">
        <v>0.26969770962271566</v>
      </c>
      <c r="T1895">
        <v>1.3713008870964747</v>
      </c>
      <c r="U1895">
        <v>0.2139913288709886</v>
      </c>
      <c r="V1895">
        <v>0.24719379497427807</v>
      </c>
      <c r="W1895">
        <v>9.7940059945683805E-2</v>
      </c>
      <c r="X1895">
        <v>1.4902799695145536E-2</v>
      </c>
      <c r="Y1895">
        <v>4.9001760562586419E-3</v>
      </c>
    </row>
    <row r="1896" spans="1:25">
      <c r="A1896" s="1010"/>
      <c r="B1896" s="1351">
        <v>1646</v>
      </c>
      <c r="C1896" s="1014">
        <v>0.99086636136258022</v>
      </c>
      <c r="D1896" s="1014">
        <v>0.98998946241611929</v>
      </c>
      <c r="E1896" s="1014">
        <v>1.0034036887089914</v>
      </c>
      <c r="F1896" s="1014">
        <v>1.0241175771652988</v>
      </c>
      <c r="G1896" s="1014">
        <v>1.0006136942314847</v>
      </c>
      <c r="H1896" s="1014">
        <v>1.0406714142995768</v>
      </c>
      <c r="I1896" s="1014">
        <v>0.99560722562404469</v>
      </c>
      <c r="K1896">
        <v>2.468402723374957</v>
      </c>
      <c r="L1896">
        <v>0</v>
      </c>
      <c r="M1896">
        <v>1.7160118602028963E-3</v>
      </c>
      <c r="N1896">
        <v>0.15786839900597169</v>
      </c>
      <c r="O1896">
        <v>2.1228252618080846E-2</v>
      </c>
      <c r="P1896">
        <v>2.9134199552135798E-2</v>
      </c>
      <c r="Q1896">
        <v>5.5740246316049943E-3</v>
      </c>
      <c r="R1896">
        <v>1.6942461482089811E-3</v>
      </c>
      <c r="S1896">
        <v>0.26468451315316277</v>
      </c>
      <c r="T1896">
        <v>1.4047946164585789</v>
      </c>
      <c r="U1896">
        <v>0.21393906474818591</v>
      </c>
      <c r="V1896">
        <v>0.24619890072242021</v>
      </c>
      <c r="W1896">
        <v>0.10349950005360645</v>
      </c>
      <c r="X1896">
        <v>1.6891838635869304E-2</v>
      </c>
      <c r="Y1896">
        <v>4.6111795073321919E-3</v>
      </c>
    </row>
    <row r="1897" spans="1:25">
      <c r="A1897" s="1010"/>
      <c r="B1897" s="1351">
        <v>1647</v>
      </c>
      <c r="C1897" s="1014">
        <v>0.99105976721879951</v>
      </c>
      <c r="D1897" s="1014">
        <v>1.0064186248520459</v>
      </c>
      <c r="E1897" s="1014">
        <v>0.99891234746364699</v>
      </c>
      <c r="F1897" s="1014">
        <v>1.0400662281029287</v>
      </c>
      <c r="G1897" s="1014">
        <v>0.98215505381348245</v>
      </c>
      <c r="H1897" s="1014">
        <v>1.0288481632682021</v>
      </c>
      <c r="I1897" s="1014">
        <v>1.0165927001742849</v>
      </c>
      <c r="K1897">
        <v>2.4843266372090484</v>
      </c>
      <c r="L1897">
        <v>0</v>
      </c>
      <c r="M1897">
        <v>1.7058757666442953E-3</v>
      </c>
      <c r="N1897">
        <v>0.1547980991849677</v>
      </c>
      <c r="O1897">
        <v>2.1144392361853746E-2</v>
      </c>
      <c r="P1897">
        <v>2.9320911245789144E-2</v>
      </c>
      <c r="Q1897">
        <v>5.5270123332821332E-3</v>
      </c>
      <c r="R1897">
        <v>1.6839899714132809E-3</v>
      </c>
      <c r="S1897">
        <v>0.26693971112889459</v>
      </c>
      <c r="T1897">
        <v>1.4265705206535457</v>
      </c>
      <c r="U1897">
        <v>0.21388182067317651</v>
      </c>
      <c r="V1897">
        <v>0.24305035952176879</v>
      </c>
      <c r="W1897">
        <v>0.10175761540830983</v>
      </c>
      <c r="X1897">
        <v>1.6774814917648321E-2</v>
      </c>
      <c r="Y1897">
        <v>4.5832655750420673E-3</v>
      </c>
    </row>
    <row r="1898" spans="1:25">
      <c r="A1898" s="1010"/>
      <c r="B1898" s="1351">
        <v>1648</v>
      </c>
      <c r="C1898" s="1014">
        <v>1.0135026608639226</v>
      </c>
      <c r="D1898" s="1014">
        <v>1.0265001122537716</v>
      </c>
      <c r="E1898" s="1014">
        <v>1.0246199778794363</v>
      </c>
      <c r="F1898" s="1014">
        <v>0.96605635781672627</v>
      </c>
      <c r="G1898" s="1014">
        <v>1.0232270290516228</v>
      </c>
      <c r="H1898" s="1014">
        <v>0.98732934568953368</v>
      </c>
      <c r="I1898" s="1014">
        <v>1.0229894311432119</v>
      </c>
      <c r="K1898">
        <v>2.3596679078189209</v>
      </c>
      <c r="L1898">
        <v>0</v>
      </c>
      <c r="M1898">
        <v>1.5109309552019791E-3</v>
      </c>
      <c r="N1898">
        <v>0.14809050732455473</v>
      </c>
      <c r="O1898">
        <v>2.0603266581426801E-2</v>
      </c>
      <c r="P1898">
        <v>2.8349880070979511E-2</v>
      </c>
      <c r="Q1898">
        <v>5.5256226556081919E-3</v>
      </c>
      <c r="R1898">
        <v>1.4907310750905897E-3</v>
      </c>
      <c r="S1898">
        <v>0.25677389874789192</v>
      </c>
      <c r="T1898">
        <v>1.3255958541510173</v>
      </c>
      <c r="U1898">
        <v>0.2092325051673741</v>
      </c>
      <c r="V1898">
        <v>0.2485762291363823</v>
      </c>
      <c r="W1898">
        <v>9.5885731133191876E-2</v>
      </c>
      <c r="X1898">
        <v>1.6997334163576308E-2</v>
      </c>
      <c r="Y1898">
        <v>4.0572785670297531E-3</v>
      </c>
    </row>
    <row r="1899" spans="1:25">
      <c r="A1899" s="1010"/>
      <c r="B1899" s="1351">
        <v>1649</v>
      </c>
      <c r="C1899" s="1014">
        <v>0.99817086998325011</v>
      </c>
      <c r="D1899" s="1014">
        <v>1.0025601161056277</v>
      </c>
      <c r="E1899" s="1014">
        <v>1.0291109905556186</v>
      </c>
      <c r="F1899" s="1014">
        <v>0.97667569633522378</v>
      </c>
      <c r="G1899" s="1014">
        <v>0.9650483000925254</v>
      </c>
      <c r="H1899" s="1014">
        <v>1.0206262565702857</v>
      </c>
      <c r="I1899" s="1014">
        <v>0.96432594364002733</v>
      </c>
      <c r="K1899">
        <v>2.3789100332930642</v>
      </c>
      <c r="L1899">
        <v>0</v>
      </c>
      <c r="M1899">
        <v>1.5792891307925855E-3</v>
      </c>
      <c r="N1899">
        <v>0.1569702077349088</v>
      </c>
      <c r="O1899">
        <v>2.1031616388856273E-2</v>
      </c>
      <c r="P1899">
        <v>2.8492680533326754E-2</v>
      </c>
      <c r="Q1899">
        <v>5.6656466847489389E-3</v>
      </c>
      <c r="R1899">
        <v>1.5588641748674067E-3</v>
      </c>
      <c r="S1899">
        <v>0.25145759990285449</v>
      </c>
      <c r="T1899">
        <v>1.3402627818685078</v>
      </c>
      <c r="U1899">
        <v>0.21246173461431053</v>
      </c>
      <c r="V1899">
        <v>0.23957885114812313</v>
      </c>
      <c r="W1899">
        <v>0.10136990372810069</v>
      </c>
      <c r="X1899">
        <v>1.7396721240697108E-2</v>
      </c>
      <c r="Y1899">
        <v>4.2427144045519439E-3</v>
      </c>
    </row>
    <row r="1900" spans="1:25">
      <c r="A1900" s="1010"/>
      <c r="B1900" s="1351">
        <v>1650</v>
      </c>
      <c r="C1900" s="1014">
        <v>1.0157640687801448</v>
      </c>
      <c r="D1900" s="1014">
        <v>0.99518976840535001</v>
      </c>
      <c r="E1900" s="1014">
        <v>0.97718095412852624</v>
      </c>
      <c r="F1900" s="1014">
        <v>0.99821447607941483</v>
      </c>
      <c r="G1900" s="1014">
        <v>0.99866744623668402</v>
      </c>
      <c r="H1900" s="1014">
        <v>1.0157597192469758</v>
      </c>
      <c r="I1900" s="1014">
        <v>0.99638662574837122</v>
      </c>
      <c r="K1900">
        <v>2.3949149475402165</v>
      </c>
      <c r="L1900">
        <v>0</v>
      </c>
      <c r="M1900">
        <v>1.723083701130422E-3</v>
      </c>
      <c r="N1900">
        <v>0.1463905699311501</v>
      </c>
      <c r="O1900">
        <v>2.0666940948851246E-2</v>
      </c>
      <c r="P1900">
        <v>2.7861689942828283E-2</v>
      </c>
      <c r="Q1900">
        <v>5.2847148770910129E-3</v>
      </c>
      <c r="R1900">
        <v>1.7006922826724663E-3</v>
      </c>
      <c r="S1900">
        <v>0.25543271370144915</v>
      </c>
      <c r="T1900">
        <v>1.3686980030972837</v>
      </c>
      <c r="U1900">
        <v>0.20860703068788852</v>
      </c>
      <c r="V1900">
        <v>0.24441818401471715</v>
      </c>
      <c r="W1900">
        <v>9.7493814399956427E-2</v>
      </c>
      <c r="X1900">
        <v>1.5454953597083454E-2</v>
      </c>
      <c r="Y1900">
        <v>4.6287237603741434E-3</v>
      </c>
    </row>
    <row r="1901" spans="1:25">
      <c r="A1901" s="1010"/>
      <c r="B1901" s="1351">
        <v>1651</v>
      </c>
      <c r="C1901" s="1014">
        <v>0.97019831922129174</v>
      </c>
      <c r="D1901" s="1014">
        <v>0.97765979484592347</v>
      </c>
      <c r="E1901" s="1014">
        <v>0.9789878057772281</v>
      </c>
      <c r="F1901" s="1014">
        <v>0.97624782811340227</v>
      </c>
      <c r="G1901" s="1014">
        <v>1.0062309933574516</v>
      </c>
      <c r="H1901" s="1014">
        <v>1.0254826975623887</v>
      </c>
      <c r="I1901" s="1014">
        <v>1.0042594517757082</v>
      </c>
      <c r="K1901">
        <v>2.4135125094981067</v>
      </c>
      <c r="L1901">
        <v>0</v>
      </c>
      <c r="M1901">
        <v>1.8215954784675517E-3</v>
      </c>
      <c r="N1901">
        <v>0.15562790267654106</v>
      </c>
      <c r="O1901">
        <v>2.17235733823808E-2</v>
      </c>
      <c r="P1901">
        <v>2.79173248030187E-2</v>
      </c>
      <c r="Q1901">
        <v>5.5651266440777383E-3</v>
      </c>
      <c r="R1901">
        <v>1.7981483414743259E-3</v>
      </c>
      <c r="S1901">
        <v>0.2728287600150664</v>
      </c>
      <c r="T1901">
        <v>1.3386164949229049</v>
      </c>
      <c r="U1901">
        <v>0.21841068625342475</v>
      </c>
      <c r="V1901">
        <v>0.24858784356675828</v>
      </c>
      <c r="W1901">
        <v>0.10353254303952006</v>
      </c>
      <c r="X1901">
        <v>1.5831734305355914E-2</v>
      </c>
      <c r="Y1901">
        <v>4.8939670260516564E-3</v>
      </c>
    </row>
    <row r="1902" spans="1:25">
      <c r="A1902" s="1010"/>
      <c r="B1902" s="1351">
        <v>1652</v>
      </c>
      <c r="C1902" s="1014">
        <v>0.97422684644966817</v>
      </c>
      <c r="D1902" s="1014">
        <v>1.0050886417817562</v>
      </c>
      <c r="E1902" s="1014">
        <v>0.99923661245193673</v>
      </c>
      <c r="F1902" s="1014">
        <v>0.97035833600902266</v>
      </c>
      <c r="G1902" s="1014">
        <v>0.99489192055070941</v>
      </c>
      <c r="H1902" s="1014">
        <v>1.0021066341619789</v>
      </c>
      <c r="I1902" s="1014">
        <v>1.0133654725751338</v>
      </c>
      <c r="K1902">
        <v>2.3938750574582772</v>
      </c>
      <c r="L1902">
        <v>0</v>
      </c>
      <c r="M1902">
        <v>1.6896006735600147E-3</v>
      </c>
      <c r="N1902">
        <v>0.15341829391525358</v>
      </c>
      <c r="O1902">
        <v>2.1516209346709659E-2</v>
      </c>
      <c r="P1902">
        <v>2.8140390347397209E-2</v>
      </c>
      <c r="Q1902">
        <v>5.6260373910181878E-3</v>
      </c>
      <c r="R1902">
        <v>1.6673452248369657E-3</v>
      </c>
      <c r="S1902">
        <v>0.26850733528255905</v>
      </c>
      <c r="T1902">
        <v>1.330964928935666</v>
      </c>
      <c r="U1902">
        <v>0.21757845868634865</v>
      </c>
      <c r="V1902">
        <v>0.24631212857278806</v>
      </c>
      <c r="W1902">
        <v>0.10083114194566987</v>
      </c>
      <c r="X1902">
        <v>1.6464424421785976E-2</v>
      </c>
      <c r="Y1902">
        <v>4.5379640618005718E-3</v>
      </c>
    </row>
    <row r="1903" spans="1:25">
      <c r="A1903" s="1010"/>
      <c r="B1903" s="1351">
        <v>1653</v>
      </c>
      <c r="C1903" s="1014">
        <v>1.0240236107136205</v>
      </c>
      <c r="D1903" s="1014">
        <v>1.0027004995810107</v>
      </c>
      <c r="E1903" s="1014">
        <v>0.96152599465057131</v>
      </c>
      <c r="F1903" s="1014">
        <v>1.0011483837528823</v>
      </c>
      <c r="G1903" s="1014">
        <v>0.99104931749515046</v>
      </c>
      <c r="H1903" s="1014">
        <v>0.98609187696488043</v>
      </c>
      <c r="I1903" s="1014">
        <v>1.0248666498896628</v>
      </c>
      <c r="K1903">
        <v>2.3832301399458147</v>
      </c>
      <c r="L1903">
        <v>0</v>
      </c>
      <c r="M1903">
        <v>1.7109281438761317E-3</v>
      </c>
      <c r="N1903">
        <v>0.13857320430668715</v>
      </c>
      <c r="O1903">
        <v>2.0456274943426174E-2</v>
      </c>
      <c r="P1903">
        <v>2.7552866925532458E-2</v>
      </c>
      <c r="Q1903">
        <v>5.1477851933928974E-3</v>
      </c>
      <c r="R1903">
        <v>1.6880257643436304E-3</v>
      </c>
      <c r="S1903">
        <v>0.25698852929706689</v>
      </c>
      <c r="T1903">
        <v>1.3723840111803467</v>
      </c>
      <c r="U1903">
        <v>0.20687245790620667</v>
      </c>
      <c r="V1903">
        <v>0.24267869062795838</v>
      </c>
      <c r="W1903">
        <v>9.3171565471969364E-2</v>
      </c>
      <c r="X1903">
        <v>1.4833406799758756E-2</v>
      </c>
      <c r="Y1903">
        <v>4.5942496729996967E-3</v>
      </c>
    </row>
    <row r="1904" spans="1:25">
      <c r="A1904" s="1010"/>
      <c r="B1904" s="1351">
        <v>1654</v>
      </c>
      <c r="C1904" s="1014">
        <v>0.97092739113664617</v>
      </c>
      <c r="D1904" s="1014">
        <v>1.025122995087375</v>
      </c>
      <c r="E1904" s="1014">
        <v>0.98622527742583954</v>
      </c>
      <c r="F1904" s="1014">
        <v>0.98947290567621105</v>
      </c>
      <c r="G1904" s="1014">
        <v>1.0135756559555456</v>
      </c>
      <c r="H1904" s="1014">
        <v>0.9615002812409037</v>
      </c>
      <c r="I1904" s="1014">
        <v>1.0078783789492447</v>
      </c>
      <c r="K1904">
        <v>2.4036308346864783</v>
      </c>
      <c r="L1904">
        <v>0</v>
      </c>
      <c r="M1904">
        <v>1.6638540411057507E-3</v>
      </c>
      <c r="N1904">
        <v>0.14517176555744574</v>
      </c>
      <c r="O1904">
        <v>2.1486951523539459E-2</v>
      </c>
      <c r="P1904">
        <v>2.8180949488254919E-2</v>
      </c>
      <c r="Q1904">
        <v>5.5450912976450209E-3</v>
      </c>
      <c r="R1904">
        <v>1.6410121514804535E-3</v>
      </c>
      <c r="S1904">
        <v>0.26166281600961588</v>
      </c>
      <c r="T1904">
        <v>1.3569048567283417</v>
      </c>
      <c r="U1904">
        <v>0.21827209023062999</v>
      </c>
      <c r="V1904">
        <v>0.24976790865171267</v>
      </c>
      <c r="W1904">
        <v>9.6156258102198508E-2</v>
      </c>
      <c r="X1904">
        <v>1.6038694869900602E-2</v>
      </c>
      <c r="Y1904">
        <v>4.4662941168194447E-3</v>
      </c>
    </row>
    <row r="1905" spans="1:25">
      <c r="A1905" s="1010"/>
      <c r="B1905" s="1351">
        <v>1655</v>
      </c>
      <c r="C1905" s="1014">
        <v>0.97497352173266361</v>
      </c>
      <c r="D1905" s="1014">
        <v>0.98648076291318021</v>
      </c>
      <c r="E1905" s="1014">
        <v>0.99796314736815506</v>
      </c>
      <c r="F1905" s="1014">
        <v>1.0102671452783862</v>
      </c>
      <c r="G1905" s="1014">
        <v>0.99454251804523019</v>
      </c>
      <c r="H1905" s="1014">
        <v>0.97526562618532198</v>
      </c>
      <c r="I1905" s="1014">
        <v>1.0035924143091381</v>
      </c>
      <c r="K1905">
        <v>2.4402089695901159</v>
      </c>
      <c r="L1905">
        <v>0</v>
      </c>
      <c r="M1905">
        <v>1.6542180444763001E-3</v>
      </c>
      <c r="N1905">
        <v>0.1495736794072097</v>
      </c>
      <c r="O1905">
        <v>2.1587433320083584E-2</v>
      </c>
      <c r="P1905">
        <v>2.8819113151696992E-2</v>
      </c>
      <c r="Q1905">
        <v>5.6374344848658118E-3</v>
      </c>
      <c r="R1905">
        <v>1.6318289744466465E-3</v>
      </c>
      <c r="S1905">
        <v>0.26584640676053123</v>
      </c>
      <c r="T1905">
        <v>1.3856769155319111</v>
      </c>
      <c r="U1905">
        <v>0.21740736429412769</v>
      </c>
      <c r="V1905">
        <v>0.24620791570290765</v>
      </c>
      <c r="W1905">
        <v>9.8378859953042005E-2</v>
      </c>
      <c r="X1905">
        <v>1.6654935517600427E-2</v>
      </c>
      <c r="Y1905">
        <v>4.4413005361669186E-3</v>
      </c>
    </row>
    <row r="1906" spans="1:25">
      <c r="A1906" s="1010"/>
      <c r="B1906" s="1351">
        <v>1656</v>
      </c>
      <c r="C1906" s="1014">
        <v>1.0009437422026757</v>
      </c>
      <c r="D1906" s="1014">
        <v>1.0392540163061397</v>
      </c>
      <c r="E1906" s="1014">
        <v>1.001552540282616</v>
      </c>
      <c r="F1906" s="1014">
        <v>1.037108943957306</v>
      </c>
      <c r="G1906" s="1014">
        <v>0.96744417604410871</v>
      </c>
      <c r="H1906" s="1014">
        <v>1.0416188146867575</v>
      </c>
      <c r="I1906" s="1014">
        <v>0.98352323139464015</v>
      </c>
      <c r="K1906">
        <v>2.4593795250958581</v>
      </c>
      <c r="L1906">
        <v>0</v>
      </c>
      <c r="M1906">
        <v>1.6886867928564218E-3</v>
      </c>
      <c r="N1906">
        <v>0.15449010072521716</v>
      </c>
      <c r="O1906">
        <v>2.0789985175178615E-2</v>
      </c>
      <c r="P1906">
        <v>2.9058527937378294E-2</v>
      </c>
      <c r="Q1906">
        <v>5.4488119015978255E-3</v>
      </c>
      <c r="R1906">
        <v>1.6672871507932465E-3</v>
      </c>
      <c r="S1906">
        <v>0.25275168567579642</v>
      </c>
      <c r="T1906">
        <v>1.4225734897506617</v>
      </c>
      <c r="U1906">
        <v>0.21177882791558114</v>
      </c>
      <c r="V1906">
        <v>0.23990737687832725</v>
      </c>
      <c r="W1906">
        <v>0.10139594566743264</v>
      </c>
      <c r="X1906">
        <v>1.666836710735051E-2</v>
      </c>
      <c r="Y1906">
        <v>4.5378060033976712E-3</v>
      </c>
    </row>
    <row r="1907" spans="1:25">
      <c r="A1907" s="1010"/>
      <c r="B1907" s="1351">
        <v>1657</v>
      </c>
      <c r="C1907" s="1014">
        <v>0.99657212165150277</v>
      </c>
      <c r="D1907" s="1014">
        <v>1.0346988483180779</v>
      </c>
      <c r="E1907" s="1014">
        <v>0.97670837441316272</v>
      </c>
      <c r="F1907" s="1014">
        <v>1.0271910413410181</v>
      </c>
      <c r="G1907" s="1014">
        <v>0.99300100831544147</v>
      </c>
      <c r="H1907" s="1014">
        <v>1.0092259337942491</v>
      </c>
      <c r="I1907" s="1014">
        <v>0.9978322012950458</v>
      </c>
      <c r="K1907">
        <v>2.4406082975445118</v>
      </c>
      <c r="L1907">
        <v>0</v>
      </c>
      <c r="M1907">
        <v>1.7317783675778046E-3</v>
      </c>
      <c r="N1907">
        <v>0.14690646056056672</v>
      </c>
      <c r="O1907">
        <v>2.0884980089344245E-2</v>
      </c>
      <c r="P1907">
        <v>2.8437535233871141E-2</v>
      </c>
      <c r="Q1907">
        <v>5.3379004331128559E-3</v>
      </c>
      <c r="R1907">
        <v>1.7091282674170408E-3</v>
      </c>
      <c r="S1907">
        <v>0.25517259145473992</v>
      </c>
      <c r="T1907">
        <v>1.408418662030952</v>
      </c>
      <c r="U1907">
        <v>0.21262276184995088</v>
      </c>
      <c r="V1907">
        <v>0.24463410668507168</v>
      </c>
      <c r="W1907">
        <v>9.7865379509307945E-2</v>
      </c>
      <c r="X1907">
        <v>1.5698886067825862E-2</v>
      </c>
      <c r="Y1907">
        <v>4.6516837299272517E-3</v>
      </c>
    </row>
    <row r="1908" spans="1:25">
      <c r="A1908" s="1010"/>
      <c r="B1908" s="1351">
        <v>1658</v>
      </c>
      <c r="C1908" s="1014">
        <v>0.9787335393731208</v>
      </c>
      <c r="D1908" s="1014">
        <v>1.0124201306619989</v>
      </c>
      <c r="E1908" s="1014">
        <v>1.0139197980487995</v>
      </c>
      <c r="F1908" s="1014">
        <v>0.966294384149883</v>
      </c>
      <c r="G1908" s="1014">
        <v>1.041464317421392</v>
      </c>
      <c r="H1908" s="1014">
        <v>0.9965541673317464</v>
      </c>
      <c r="I1908" s="1014">
        <v>0.97821769301545469</v>
      </c>
      <c r="K1908">
        <v>2.383480135602027</v>
      </c>
      <c r="L1908">
        <v>0</v>
      </c>
      <c r="M1908">
        <v>1.6196879186359812E-3</v>
      </c>
      <c r="N1908">
        <v>0.15372644436591529</v>
      </c>
      <c r="O1908">
        <v>2.1392857942329386E-2</v>
      </c>
      <c r="P1908">
        <v>2.8304665487394558E-2</v>
      </c>
      <c r="Q1908">
        <v>5.6766519322197272E-3</v>
      </c>
      <c r="R1908">
        <v>1.5982344928849807E-3</v>
      </c>
      <c r="S1908">
        <v>0.25671445149614441</v>
      </c>
      <c r="T1908">
        <v>1.3256979931023014</v>
      </c>
      <c r="U1908">
        <v>0.21662792661541369</v>
      </c>
      <c r="V1908">
        <v>0.25391578857029307</v>
      </c>
      <c r="W1908">
        <v>0.10016031356289665</v>
      </c>
      <c r="X1908">
        <v>1.6934628521096628E-2</v>
      </c>
      <c r="Y1908">
        <v>4.3498674317739338E-3</v>
      </c>
    </row>
    <row r="1909" spans="1:25">
      <c r="A1909" s="1010"/>
      <c r="B1909" s="1351">
        <v>1659</v>
      </c>
      <c r="C1909" s="1014">
        <v>1.035515693651619</v>
      </c>
      <c r="D1909" s="1014">
        <v>1.0108928581131318</v>
      </c>
      <c r="E1909" s="1014">
        <v>0.97632718052447542</v>
      </c>
      <c r="F1909" s="1014">
        <v>0.9975228007549205</v>
      </c>
      <c r="G1909" s="1014">
        <v>1.0108482042831017</v>
      </c>
      <c r="H1909" s="1014">
        <v>1.0065084321054665</v>
      </c>
      <c r="I1909" s="1014">
        <v>1.0320792363175526</v>
      </c>
      <c r="K1909">
        <v>2.3833983411884527</v>
      </c>
      <c r="L1909">
        <v>0</v>
      </c>
      <c r="M1909">
        <v>1.6720122344419345E-3</v>
      </c>
      <c r="N1909">
        <v>0.1416679040718069</v>
      </c>
      <c r="O1909">
        <v>2.020248713712829E-2</v>
      </c>
      <c r="P1909">
        <v>2.7806845610884028E-2</v>
      </c>
      <c r="Q1909">
        <v>5.1614610038603565E-3</v>
      </c>
      <c r="R1909">
        <v>1.6500847782633429E-3</v>
      </c>
      <c r="S1909">
        <v>0.25672772301272745</v>
      </c>
      <c r="T1909">
        <v>1.3677312838044708</v>
      </c>
      <c r="U1909">
        <v>0.20462521245829329</v>
      </c>
      <c r="V1909">
        <v>0.245331644646157</v>
      </c>
      <c r="W1909">
        <v>9.4397370636614075E-2</v>
      </c>
      <c r="X1909">
        <v>1.527734944656001E-2</v>
      </c>
      <c r="Y1909">
        <v>4.4909868161318554E-3</v>
      </c>
    </row>
    <row r="1910" spans="1:25">
      <c r="A1910" s="1010"/>
      <c r="B1910" s="1351">
        <v>1660</v>
      </c>
      <c r="C1910" s="1014">
        <v>0.98323987449976369</v>
      </c>
      <c r="D1910" s="1014">
        <v>1.007566423014653</v>
      </c>
      <c r="E1910" s="1014">
        <v>1.0271429910373342</v>
      </c>
      <c r="F1910" s="1014">
        <v>0.97762038041183386</v>
      </c>
      <c r="G1910" s="1014">
        <v>1.0022484266956209</v>
      </c>
      <c r="H1910" s="1014">
        <v>1.012956931241207</v>
      </c>
      <c r="I1910" s="1014">
        <v>0.98831864452191931</v>
      </c>
      <c r="K1910">
        <v>2.4015859220782323</v>
      </c>
      <c r="L1910">
        <v>0</v>
      </c>
      <c r="M1910">
        <v>1.5960109749694343E-3</v>
      </c>
      <c r="N1910">
        <v>0.15767814140114106</v>
      </c>
      <c r="O1910">
        <v>2.1326275832774425E-2</v>
      </c>
      <c r="P1910">
        <v>2.8739102871568004E-2</v>
      </c>
      <c r="Q1910">
        <v>5.7338451511342644E-3</v>
      </c>
      <c r="R1910">
        <v>1.5752134760038236E-3</v>
      </c>
      <c r="S1910">
        <v>0.26030737385536795</v>
      </c>
      <c r="T1910">
        <v>1.3415173035672354</v>
      </c>
      <c r="U1910">
        <v>0.21568120283043787</v>
      </c>
      <c r="V1910">
        <v>0.24688292446070406</v>
      </c>
      <c r="W1910">
        <v>0.1019436433112087</v>
      </c>
      <c r="X1910">
        <v>1.7509694482925917E-2</v>
      </c>
      <c r="Y1910">
        <v>4.2872118126995994E-3</v>
      </c>
    </row>
    <row r="1911" spans="1:25">
      <c r="A1911" s="1010"/>
      <c r="B1911" s="1351">
        <v>1661</v>
      </c>
      <c r="C1911" s="1014">
        <v>0.99176584547930424</v>
      </c>
      <c r="D1911" s="1014">
        <v>0.99104047255507088</v>
      </c>
      <c r="E1911" s="1014">
        <v>1.0136644716762009</v>
      </c>
      <c r="F1911" s="1014">
        <v>0.9971295673343139</v>
      </c>
      <c r="G1911" s="1014">
        <v>0.99723257099209894</v>
      </c>
      <c r="H1911" s="1014">
        <v>1.0146956250000687</v>
      </c>
      <c r="I1911" s="1014">
        <v>1.0082787541550964</v>
      </c>
      <c r="K1911">
        <v>2.4262771272088264</v>
      </c>
      <c r="L1911">
        <v>0</v>
      </c>
      <c r="M1911">
        <v>1.6360301739720296E-3</v>
      </c>
      <c r="N1911">
        <v>0.15519512978756717</v>
      </c>
      <c r="O1911">
        <v>2.1210938339972178E-2</v>
      </c>
      <c r="P1911">
        <v>2.8848762738138845E-2</v>
      </c>
      <c r="Q1911">
        <v>5.6269457105321908E-3</v>
      </c>
      <c r="R1911">
        <v>1.6147477181861836E-3</v>
      </c>
      <c r="S1911">
        <v>0.26550370002883672</v>
      </c>
      <c r="T1911">
        <v>1.3679964952649959</v>
      </c>
      <c r="U1911">
        <v>0.21378044393396584</v>
      </c>
      <c r="V1911">
        <v>0.24552822493449653</v>
      </c>
      <c r="W1911">
        <v>0.10113241403918154</v>
      </c>
      <c r="X1911">
        <v>1.708054389946433E-2</v>
      </c>
      <c r="Y1911">
        <v>4.3948109874605516E-3</v>
      </c>
    </row>
    <row r="1912" spans="1:25">
      <c r="A1912" s="1010"/>
      <c r="B1912" s="1351">
        <v>1662</v>
      </c>
      <c r="C1912" s="1014">
        <v>1.0336898685743896</v>
      </c>
      <c r="D1912" s="1014">
        <v>1.0032444651792169</v>
      </c>
      <c r="E1912" s="1014">
        <v>0.96470055233520746</v>
      </c>
      <c r="F1912" s="1014">
        <v>1.034271160258226</v>
      </c>
      <c r="G1912" s="1014">
        <v>0.99874971611969787</v>
      </c>
      <c r="H1912" s="1014">
        <v>0.96356126023653377</v>
      </c>
      <c r="I1912" s="1014">
        <v>1.027405204913322</v>
      </c>
      <c r="K1912">
        <v>2.417254887165329</v>
      </c>
      <c r="L1912">
        <v>0</v>
      </c>
      <c r="M1912">
        <v>1.6451993918868144E-3</v>
      </c>
      <c r="N1912">
        <v>0.13449460815059261</v>
      </c>
      <c r="O1912">
        <v>2.0264590492203461E-2</v>
      </c>
      <c r="P1912">
        <v>2.8159341595511617E-2</v>
      </c>
      <c r="Q1912">
        <v>5.1161851803124157E-3</v>
      </c>
      <c r="R1912">
        <v>1.6226619080771866E-3</v>
      </c>
      <c r="S1912">
        <v>0.25327058261450663</v>
      </c>
      <c r="T1912">
        <v>1.4178595001593579</v>
      </c>
      <c r="U1912">
        <v>0.20494838288714975</v>
      </c>
      <c r="V1912">
        <v>0.24341382217382207</v>
      </c>
      <c r="W1912">
        <v>9.0253755739971075E-2</v>
      </c>
      <c r="X1912">
        <v>1.5080304852278292E-2</v>
      </c>
      <c r="Y1912">
        <v>4.4163508034318639E-3</v>
      </c>
    </row>
    <row r="1913" spans="1:25">
      <c r="A1913" s="1010"/>
      <c r="B1913" s="1351">
        <v>1663</v>
      </c>
      <c r="C1913" s="1014">
        <v>0.97131466612559292</v>
      </c>
      <c r="D1913" s="1014">
        <v>0.99979677189986038</v>
      </c>
      <c r="E1913" s="1014">
        <v>0.98941458606487076</v>
      </c>
      <c r="F1913" s="1014">
        <v>0.9655405471903078</v>
      </c>
      <c r="G1913" s="1014">
        <v>1.0135917454391148</v>
      </c>
      <c r="H1913" s="1014">
        <v>0.99758646473726098</v>
      </c>
      <c r="I1913" s="1014">
        <v>1.0274331969490995</v>
      </c>
      <c r="K1913">
        <v>2.3936081267214648</v>
      </c>
      <c r="L1913">
        <v>0</v>
      </c>
      <c r="M1913">
        <v>1.7237157614704828E-3</v>
      </c>
      <c r="N1913">
        <v>0.1519286341181936</v>
      </c>
      <c r="O1913">
        <v>2.1599091352900949E-2</v>
      </c>
      <c r="P1913">
        <v>2.7961165320938276E-2</v>
      </c>
      <c r="Q1913">
        <v>5.5920504946297056E-3</v>
      </c>
      <c r="R1913">
        <v>1.7009080703289366E-3</v>
      </c>
      <c r="S1913">
        <v>0.27328155132227117</v>
      </c>
      <c r="T1913">
        <v>1.3241518665731091</v>
      </c>
      <c r="U1913">
        <v>0.21819626449437654</v>
      </c>
      <c r="V1913">
        <v>0.24973335348286574</v>
      </c>
      <c r="W1913">
        <v>0.10043933712268879</v>
      </c>
      <c r="X1913">
        <v>1.6118309067389629E-2</v>
      </c>
      <c r="Y1913">
        <v>4.6293110632406754E-3</v>
      </c>
    </row>
    <row r="1914" spans="1:25">
      <c r="A1914" s="1010"/>
      <c r="B1914" s="1351">
        <v>1664</v>
      </c>
      <c r="C1914" s="1014">
        <v>1.0074719134278123</v>
      </c>
      <c r="D1914" s="1014">
        <v>0.98913165633527211</v>
      </c>
      <c r="E1914" s="1014">
        <v>0.98139125784843684</v>
      </c>
      <c r="F1914" s="1014">
        <v>1.0092979045656705</v>
      </c>
      <c r="G1914" s="1014">
        <v>0.9970133674639704</v>
      </c>
      <c r="H1914" s="1014">
        <v>1.0169914334823131</v>
      </c>
      <c r="I1914" s="1014">
        <v>1.0111332047300925</v>
      </c>
      <c r="K1914">
        <v>2.4234059150706795</v>
      </c>
      <c r="L1914">
        <v>0</v>
      </c>
      <c r="M1914">
        <v>1.7266147217069069E-3</v>
      </c>
      <c r="N1914">
        <v>0.14857366521911311</v>
      </c>
      <c r="O1914">
        <v>2.0867824036675781E-2</v>
      </c>
      <c r="P1914">
        <v>2.8274974985541622E-2</v>
      </c>
      <c r="Q1914">
        <v>5.3589753944403547E-3</v>
      </c>
      <c r="R1914">
        <v>1.7042045923587998E-3</v>
      </c>
      <c r="S1914">
        <v>0.26228649565849849</v>
      </c>
      <c r="T1914">
        <v>1.3839865195467795</v>
      </c>
      <c r="U1914">
        <v>0.21033824098639581</v>
      </c>
      <c r="V1914">
        <v>0.24462553766645173</v>
      </c>
      <c r="W1914">
        <v>9.8696346007252092E-2</v>
      </c>
      <c r="X1914">
        <v>1.5781462589368678E-2</v>
      </c>
      <c r="Y1914">
        <v>4.6382831095077657E-3</v>
      </c>
    </row>
    <row r="1915" spans="1:25">
      <c r="A1915" s="1010"/>
      <c r="B1915" s="1351">
        <v>1665</v>
      </c>
      <c r="C1915" s="1014">
        <v>0.99769886853186562</v>
      </c>
      <c r="D1915" s="1014">
        <v>1.0298475473534523</v>
      </c>
      <c r="E1915" s="1014">
        <v>0.98463620051619338</v>
      </c>
      <c r="F1915" s="1014">
        <v>0.95498242536141253</v>
      </c>
      <c r="G1915" s="1014">
        <v>0.98858239139604642</v>
      </c>
      <c r="H1915" s="1014">
        <v>0.98928270440793908</v>
      </c>
      <c r="I1915" s="1014">
        <v>1.0348092978181866</v>
      </c>
      <c r="K1915">
        <v>2.3438997829528385</v>
      </c>
      <c r="L1915">
        <v>0</v>
      </c>
      <c r="M1915">
        <v>1.6697922334426921E-3</v>
      </c>
      <c r="N1915">
        <v>0.14504803405231634</v>
      </c>
      <c r="O1915">
        <v>2.0888197289842678E-2</v>
      </c>
      <c r="P1915">
        <v>2.7370461099001379E-2</v>
      </c>
      <c r="Q1915">
        <v>5.3818988192089988E-3</v>
      </c>
      <c r="R1915">
        <v>1.6475125898712487E-3</v>
      </c>
      <c r="S1915">
        <v>0.26326536547268131</v>
      </c>
      <c r="T1915">
        <v>1.309573919917298</v>
      </c>
      <c r="U1915">
        <v>0.21240971459871849</v>
      </c>
      <c r="V1915">
        <v>0.24377983769227854</v>
      </c>
      <c r="W1915">
        <v>9.6166136553547193E-2</v>
      </c>
      <c r="X1915">
        <v>1.5554510934263669E-2</v>
      </c>
      <c r="Y1915">
        <v>4.4839861672502498E-3</v>
      </c>
    </row>
    <row r="1916" spans="1:25">
      <c r="A1916" s="1010"/>
      <c r="B1916" s="1351">
        <v>1666</v>
      </c>
      <c r="C1916" s="1014">
        <v>1.0006565752047103</v>
      </c>
      <c r="D1916" s="1014">
        <v>1.0108736767887334</v>
      </c>
      <c r="E1916" s="1014">
        <v>1.0459242281536063</v>
      </c>
      <c r="F1916" s="1014">
        <v>1.0077865345528483</v>
      </c>
      <c r="G1916" s="1014">
        <v>0.95952196397595879</v>
      </c>
      <c r="H1916" s="1014">
        <v>1.0245939050711059</v>
      </c>
      <c r="I1916" s="1014">
        <v>0.98251644833381435</v>
      </c>
      <c r="K1916">
        <v>2.4285306677267182</v>
      </c>
      <c r="L1916">
        <v>0</v>
      </c>
      <c r="M1916">
        <v>1.5242109126833313E-3</v>
      </c>
      <c r="N1916">
        <v>0.15937590675504429</v>
      </c>
      <c r="O1916">
        <v>2.0952478802665923E-2</v>
      </c>
      <c r="P1916">
        <v>2.9474685770325543E-2</v>
      </c>
      <c r="Q1916">
        <v>5.7385468698130677E-3</v>
      </c>
      <c r="R1916">
        <v>1.504574619085011E-3</v>
      </c>
      <c r="S1916">
        <v>0.2549825830539324</v>
      </c>
      <c r="T1916">
        <v>1.3833243731042035</v>
      </c>
      <c r="U1916">
        <v>0.21199171917767495</v>
      </c>
      <c r="V1916">
        <v>0.23842578239209306</v>
      </c>
      <c r="W1916">
        <v>0.10192970499188589</v>
      </c>
      <c r="X1916">
        <v>1.825956697241831E-2</v>
      </c>
      <c r="Y1916">
        <v>4.0949561302595161E-3</v>
      </c>
    </row>
    <row r="1917" spans="1:25">
      <c r="A1917" s="1010"/>
      <c r="B1917" s="1351">
        <v>1667</v>
      </c>
      <c r="C1917" s="1014">
        <v>1.0130562835703558</v>
      </c>
      <c r="D1917" s="1014">
        <v>1.0125576029141878</v>
      </c>
      <c r="E1917" s="1014">
        <v>0.98846933756052402</v>
      </c>
      <c r="F1917" s="1014">
        <v>1.0028049466239453</v>
      </c>
      <c r="G1917" s="1014">
        <v>1.0001021109272945</v>
      </c>
      <c r="H1917" s="1014">
        <v>1.021716965464432</v>
      </c>
      <c r="I1917" s="1014">
        <v>1.0156321054117372</v>
      </c>
      <c r="K1917">
        <v>2.4103836904300433</v>
      </c>
      <c r="L1917">
        <v>0</v>
      </c>
      <c r="M1917">
        <v>1.6912600255237823E-3</v>
      </c>
      <c r="N1917">
        <v>0.14868960719772711</v>
      </c>
      <c r="O1917">
        <v>2.0650811693314289E-2</v>
      </c>
      <c r="P1917">
        <v>2.8256189193974567E-2</v>
      </c>
      <c r="Q1917">
        <v>5.3414301094039142E-3</v>
      </c>
      <c r="R1917">
        <v>1.669410299402806E-3</v>
      </c>
      <c r="S1917">
        <v>0.25941750115645656</v>
      </c>
      <c r="T1917">
        <v>1.3752361777415363</v>
      </c>
      <c r="U1917">
        <v>0.20920259795161064</v>
      </c>
      <c r="V1917">
        <v>0.24478614210765778</v>
      </c>
      <c r="W1917">
        <v>9.8353755764296474E-2</v>
      </c>
      <c r="X1917">
        <v>1.5927742726168172E-2</v>
      </c>
      <c r="Y1917">
        <v>4.543584514017142E-3</v>
      </c>
    </row>
    <row r="1918" spans="1:25">
      <c r="A1918" s="1010"/>
      <c r="B1918" s="1351">
        <v>1668</v>
      </c>
      <c r="C1918" s="1014">
        <v>0.98786345097493045</v>
      </c>
      <c r="D1918" s="1014">
        <v>1.0085305268602973</v>
      </c>
      <c r="E1918" s="1014">
        <v>1.0164806490321834</v>
      </c>
      <c r="F1918" s="1014">
        <v>1.0155857504841106</v>
      </c>
      <c r="G1918" s="1014">
        <v>1.034195253046952</v>
      </c>
      <c r="H1918" s="1014">
        <v>1.0367725732023889</v>
      </c>
      <c r="I1918" s="1014">
        <v>1.0046614589447216</v>
      </c>
      <c r="K1918">
        <v>2.4658727332594537</v>
      </c>
      <c r="L1918">
        <v>0</v>
      </c>
      <c r="M1918">
        <v>1.6620225367937566E-3</v>
      </c>
      <c r="N1918">
        <v>0.15905106063211952</v>
      </c>
      <c r="O1918">
        <v>2.1214821291523224E-2</v>
      </c>
      <c r="P1918">
        <v>2.9357434599921597E-2</v>
      </c>
      <c r="Q1918">
        <v>5.643797385804887E-3</v>
      </c>
      <c r="R1918">
        <v>1.6408623436730409E-3</v>
      </c>
      <c r="S1918">
        <v>0.26521633765956237</v>
      </c>
      <c r="T1918">
        <v>1.3933792133156915</v>
      </c>
      <c r="U1918">
        <v>0.21463471613017249</v>
      </c>
      <c r="V1918">
        <v>0.25207619994796543</v>
      </c>
      <c r="W1918">
        <v>0.10347383049741192</v>
      </c>
      <c r="X1918">
        <v>1.7380595603047718E-2</v>
      </c>
      <c r="Y1918">
        <v>4.4658863893517987E-3</v>
      </c>
    </row>
    <row r="1919" spans="1:25">
      <c r="A1919" s="1010"/>
      <c r="B1919" s="1351">
        <v>1669</v>
      </c>
      <c r="C1919" s="1014">
        <v>0.98610901658155081</v>
      </c>
      <c r="D1919" s="1014">
        <v>1.0081417690272598</v>
      </c>
      <c r="E1919" s="1014">
        <v>1.0051366707734088</v>
      </c>
      <c r="F1919" s="1014">
        <v>0.99768126272138402</v>
      </c>
      <c r="G1919" s="1014">
        <v>1.0104848266178097</v>
      </c>
      <c r="H1919" s="1014">
        <v>1.0314550078095854</v>
      </c>
      <c r="I1919" s="1014">
        <v>0.98014192576284487</v>
      </c>
      <c r="K1919">
        <v>2.4267687826580406</v>
      </c>
      <c r="L1919">
        <v>0</v>
      </c>
      <c r="M1919">
        <v>1.6960899074569913E-3</v>
      </c>
      <c r="N1919">
        <v>0.15683647092241895</v>
      </c>
      <c r="O1919">
        <v>2.1246734396949171E-2</v>
      </c>
      <c r="P1919">
        <v>2.8635031196024889E-2</v>
      </c>
      <c r="Q1919">
        <v>5.5885811688532669E-3</v>
      </c>
      <c r="R1919">
        <v>1.6743846570986798E-3</v>
      </c>
      <c r="S1919">
        <v>0.25871149422944606</v>
      </c>
      <c r="T1919">
        <v>1.3685690268542623</v>
      </c>
      <c r="U1919">
        <v>0.21497719497067933</v>
      </c>
      <c r="V1919">
        <v>0.24818200133706106</v>
      </c>
      <c r="W1919">
        <v>0.1027174654587196</v>
      </c>
      <c r="X1919">
        <v>1.6769364298113716E-2</v>
      </c>
      <c r="Y1919">
        <v>4.5571230758687372E-3</v>
      </c>
    </row>
    <row r="1920" spans="1:25">
      <c r="A1920" s="1010"/>
      <c r="B1920" s="1351">
        <v>1670</v>
      </c>
      <c r="C1920" s="1014">
        <v>0.97249857371238224</v>
      </c>
      <c r="D1920" s="1014">
        <v>0.99747779828648908</v>
      </c>
      <c r="E1920" s="1014">
        <v>0.980575740770812</v>
      </c>
      <c r="F1920" s="1014">
        <v>0.99508593608791152</v>
      </c>
      <c r="G1920" s="1014">
        <v>1.0012772177850271</v>
      </c>
      <c r="H1920" s="1014">
        <v>1.0345864857077283</v>
      </c>
      <c r="I1920" s="1014">
        <v>0.98712240092405823</v>
      </c>
      <c r="K1920">
        <v>2.431748715270512</v>
      </c>
      <c r="L1920">
        <v>0</v>
      </c>
      <c r="M1920">
        <v>1.819359749405056E-3</v>
      </c>
      <c r="N1920">
        <v>0.15620342773767493</v>
      </c>
      <c r="O1920">
        <v>2.1577799681975419E-2</v>
      </c>
      <c r="P1920">
        <v>2.8182118233917343E-2</v>
      </c>
      <c r="Q1920">
        <v>5.5367124461902393E-3</v>
      </c>
      <c r="R1920">
        <v>1.7961474587689778E-3</v>
      </c>
      <c r="S1920">
        <v>0.26566657299910484</v>
      </c>
      <c r="T1920">
        <v>1.3644810612796727</v>
      </c>
      <c r="U1920">
        <v>0.21789964193509592</v>
      </c>
      <c r="V1920">
        <v>0.24758354318479189</v>
      </c>
      <c r="W1920">
        <v>0.10381580815668297</v>
      </c>
      <c r="X1920">
        <v>1.5936720623123346E-2</v>
      </c>
      <c r="Y1920">
        <v>4.8885212829185027E-3</v>
      </c>
    </row>
    <row r="1921" spans="1:25">
      <c r="A1921" s="1010"/>
      <c r="B1921" s="1351">
        <v>1671</v>
      </c>
      <c r="C1921" s="1014">
        <v>0.99967062872422463</v>
      </c>
      <c r="D1921" s="1014">
        <v>0.98754583256240214</v>
      </c>
      <c r="E1921" s="1014">
        <v>1.0038914552953342</v>
      </c>
      <c r="F1921" s="1014">
        <v>1.0313858254718904</v>
      </c>
      <c r="G1921" s="1014">
        <v>1.0131825001278363</v>
      </c>
      <c r="H1921" s="1014">
        <v>1.0039401589608701</v>
      </c>
      <c r="I1921" s="1014">
        <v>1.0135511587891646</v>
      </c>
      <c r="K1921">
        <v>2.4659811458894483</v>
      </c>
      <c r="L1921">
        <v>0</v>
      </c>
      <c r="M1921">
        <v>1.6400953994655414E-3</v>
      </c>
      <c r="N1921">
        <v>0.15103572229485265</v>
      </c>
      <c r="O1921">
        <v>2.1053060118884821E-2</v>
      </c>
      <c r="P1921">
        <v>2.9271221375293702E-2</v>
      </c>
      <c r="Q1921">
        <v>5.5307288760566295E-3</v>
      </c>
      <c r="R1921">
        <v>1.6185314898983624E-3</v>
      </c>
      <c r="S1921">
        <v>0.26423814152686048</v>
      </c>
      <c r="T1921">
        <v>1.414775450248356</v>
      </c>
      <c r="U1921">
        <v>0.21205653622098083</v>
      </c>
      <c r="V1921">
        <v>0.24778870498483987</v>
      </c>
      <c r="W1921">
        <v>9.8991335482739265E-2</v>
      </c>
      <c r="X1921">
        <v>1.6856699503408023E-2</v>
      </c>
      <c r="Y1921">
        <v>4.4051091667410914E-3</v>
      </c>
    </row>
    <row r="1922" spans="1:25">
      <c r="A1922" s="1010"/>
      <c r="B1922" s="1351">
        <v>1672</v>
      </c>
      <c r="C1922" s="1014">
        <v>0.98034791907940499</v>
      </c>
      <c r="D1922" s="1014">
        <v>1.0403555624093916</v>
      </c>
      <c r="E1922" s="1014">
        <v>0.98722693948479934</v>
      </c>
      <c r="F1922" s="1014">
        <v>1.0023925197983727</v>
      </c>
      <c r="G1922" s="1014">
        <v>0.99942126354980432</v>
      </c>
      <c r="H1922" s="1014">
        <v>0.97777572094316278</v>
      </c>
      <c r="I1922" s="1014">
        <v>1.01598337404993</v>
      </c>
      <c r="K1922">
        <v>2.4163561007336605</v>
      </c>
      <c r="L1922">
        <v>0</v>
      </c>
      <c r="M1922">
        <v>1.6668703402720874E-3</v>
      </c>
      <c r="N1922">
        <v>0.14590995513206564</v>
      </c>
      <c r="O1922">
        <v>2.1212203274527698E-2</v>
      </c>
      <c r="P1922">
        <v>2.8360192242929277E-2</v>
      </c>
      <c r="Q1922">
        <v>5.4797428253025417E-3</v>
      </c>
      <c r="R1922">
        <v>1.6443679429743888E-3</v>
      </c>
      <c r="S1922">
        <v>0.26074200452878959</v>
      </c>
      <c r="T1922">
        <v>1.3746437115758983</v>
      </c>
      <c r="U1922">
        <v>0.21617811766015094</v>
      </c>
      <c r="V1922">
        <v>0.24672881241129133</v>
      </c>
      <c r="W1922">
        <v>9.6587081272317035E-2</v>
      </c>
      <c r="X1922">
        <v>1.6061354732657341E-2</v>
      </c>
      <c r="Y1922">
        <v>4.4754274750295692E-3</v>
      </c>
    </row>
    <row r="1923" spans="1:25">
      <c r="A1923" s="1010"/>
      <c r="B1923" s="1351">
        <v>1673</v>
      </c>
      <c r="C1923" s="1014">
        <v>0.96091106648759739</v>
      </c>
      <c r="D1923" s="1014">
        <v>1.0225732390681674</v>
      </c>
      <c r="E1923" s="1014">
        <v>0.99584234085000267</v>
      </c>
      <c r="F1923" s="1014">
        <v>1.0032527181423594</v>
      </c>
      <c r="G1923" s="1014">
        <v>1.0337363688421133</v>
      </c>
      <c r="H1923" s="1014">
        <v>0.96388372659997257</v>
      </c>
      <c r="I1923" s="1014">
        <v>1.0217508506795787</v>
      </c>
      <c r="K1923">
        <v>2.442632127582002</v>
      </c>
      <c r="L1923">
        <v>0</v>
      </c>
      <c r="M1923">
        <v>1.6530289643802275E-3</v>
      </c>
      <c r="N1923">
        <v>0.14848725605551291</v>
      </c>
      <c r="O1923">
        <v>2.1729425359509089E-2</v>
      </c>
      <c r="P1923">
        <v>2.8827297607843614E-2</v>
      </c>
      <c r="Q1923">
        <v>5.6624101794183184E-3</v>
      </c>
      <c r="R1923">
        <v>1.6303917995215344E-3</v>
      </c>
      <c r="S1923">
        <v>0.26866031098526105</v>
      </c>
      <c r="T1923">
        <v>1.3760099756865138</v>
      </c>
      <c r="U1923">
        <v>0.2205814722383263</v>
      </c>
      <c r="V1923">
        <v>0.25384586529695546</v>
      </c>
      <c r="W1923">
        <v>9.7787772918971561E-2</v>
      </c>
      <c r="X1923">
        <v>1.6625589398761364E-2</v>
      </c>
      <c r="Y1923">
        <v>4.4373890197853504E-3</v>
      </c>
    </row>
    <row r="1924" spans="1:25">
      <c r="A1924" s="1010"/>
      <c r="B1924" s="1351">
        <v>1674</v>
      </c>
      <c r="C1924" s="1014">
        <v>1.0413308347078347</v>
      </c>
      <c r="D1924" s="1014">
        <v>1.0013847941964942</v>
      </c>
      <c r="E1924" s="1014">
        <v>0.97462315933006916</v>
      </c>
      <c r="F1924" s="1014">
        <v>0.98863812393644435</v>
      </c>
      <c r="G1924" s="1014">
        <v>0.99340579813590979</v>
      </c>
      <c r="H1924" s="1014">
        <v>0.97870932051971338</v>
      </c>
      <c r="I1924" s="1014">
        <v>1.0040063518074296</v>
      </c>
      <c r="K1924">
        <v>2.3487108149609415</v>
      </c>
      <c r="L1924">
        <v>0</v>
      </c>
      <c r="M1924">
        <v>1.6258323988046482E-3</v>
      </c>
      <c r="N1924">
        <v>0.13699476129876642</v>
      </c>
      <c r="O1924">
        <v>2.013039867253931E-2</v>
      </c>
      <c r="P1924">
        <v>2.7420396912958726E-2</v>
      </c>
      <c r="Q1924">
        <v>5.1341210957461083E-3</v>
      </c>
      <c r="R1924">
        <v>1.6039049418124828E-3</v>
      </c>
      <c r="S1924">
        <v>0.24723402637545877</v>
      </c>
      <c r="T1924">
        <v>1.3555130049849322</v>
      </c>
      <c r="U1924">
        <v>0.20347694517587878</v>
      </c>
      <c r="V1924">
        <v>0.24202091627643932</v>
      </c>
      <c r="W1924">
        <v>9.13778326056634E-2</v>
      </c>
      <c r="X1924">
        <v>1.5065038495056519E-2</v>
      </c>
      <c r="Y1924">
        <v>4.365300524491608E-3</v>
      </c>
    </row>
    <row r="1925" spans="1:25">
      <c r="A1925" s="1010"/>
      <c r="B1925" s="1351">
        <v>1675</v>
      </c>
      <c r="C1925" s="1014">
        <v>0.98276935430379753</v>
      </c>
      <c r="D1925" s="1014">
        <v>1.0457576252881728</v>
      </c>
      <c r="E1925" s="1014">
        <v>1.0387241793544986</v>
      </c>
      <c r="F1925" s="1014">
        <v>1.0099169995954012</v>
      </c>
      <c r="G1925" s="1014">
        <v>1.0072231741922095</v>
      </c>
      <c r="H1925" s="1014">
        <v>0.99944897261907095</v>
      </c>
      <c r="I1925" s="1014">
        <v>1.0187621826331448</v>
      </c>
      <c r="K1925">
        <v>2.447089333190005</v>
      </c>
      <c r="L1925">
        <v>0</v>
      </c>
      <c r="M1925">
        <v>1.5253642122222927E-3</v>
      </c>
      <c r="N1925">
        <v>0.15602372574984005</v>
      </c>
      <c r="O1925">
        <v>2.1170346489322121E-2</v>
      </c>
      <c r="P1925">
        <v>2.9650798189947952E-2</v>
      </c>
      <c r="Q1925">
        <v>5.7573641996281578E-3</v>
      </c>
      <c r="R1925">
        <v>1.505218661449631E-3</v>
      </c>
      <c r="S1925">
        <v>0.26245939942591823</v>
      </c>
      <c r="T1925">
        <v>1.3860901825276652</v>
      </c>
      <c r="U1925">
        <v>0.21582494487815551</v>
      </c>
      <c r="V1925">
        <v>0.24772195607322317</v>
      </c>
      <c r="W1925">
        <v>0.1001996982520154</v>
      </c>
      <c r="X1925">
        <v>1.8114353953790924E-2</v>
      </c>
      <c r="Y1925">
        <v>4.0967090012675048E-3</v>
      </c>
    </row>
    <row r="1926" spans="1:25">
      <c r="A1926" s="1010"/>
      <c r="B1926" s="1351">
        <v>1676</v>
      </c>
      <c r="C1926" s="1014">
        <v>0.9570722264535545</v>
      </c>
      <c r="D1926" s="1014">
        <v>1.0109795572731854</v>
      </c>
      <c r="E1926" s="1014">
        <v>1.0038778234320096</v>
      </c>
      <c r="F1926" s="1014">
        <v>1.000315114686587</v>
      </c>
      <c r="G1926" s="1014">
        <v>1.0101541324659364</v>
      </c>
      <c r="H1926" s="1014">
        <v>1.0177881972850162</v>
      </c>
      <c r="I1926" s="1014">
        <v>1.0050081827602684</v>
      </c>
      <c r="K1926">
        <v>2.4570703937241229</v>
      </c>
      <c r="L1926">
        <v>0</v>
      </c>
      <c r="M1926">
        <v>1.7278358289000708E-3</v>
      </c>
      <c r="N1926">
        <v>0.15913799429084005</v>
      </c>
      <c r="O1926">
        <v>2.1876938059985498E-2</v>
      </c>
      <c r="P1926">
        <v>2.8950080981464468E-2</v>
      </c>
      <c r="Q1926">
        <v>5.7470865517666335E-3</v>
      </c>
      <c r="R1926">
        <v>1.7054274064406739E-3</v>
      </c>
      <c r="S1926">
        <v>0.27171299876287947</v>
      </c>
      <c r="T1926">
        <v>1.3721547527602571</v>
      </c>
      <c r="U1926">
        <v>0.22149492839167384</v>
      </c>
      <c r="V1926">
        <v>0.25004983137966452</v>
      </c>
      <c r="W1926">
        <v>0.10430254237195702</v>
      </c>
      <c r="X1926">
        <v>1.7024037389752434E-2</v>
      </c>
      <c r="Y1926">
        <v>4.6416112063380728E-3</v>
      </c>
    </row>
    <row r="1927" spans="1:25">
      <c r="A1927" s="1010"/>
      <c r="B1927" s="1351">
        <v>1677</v>
      </c>
      <c r="C1927" s="1014">
        <v>1.0159608248365541</v>
      </c>
      <c r="D1927" s="1014">
        <v>1.0060284850316583</v>
      </c>
      <c r="E1927" s="1014">
        <v>0.96430306774990504</v>
      </c>
      <c r="F1927" s="1014">
        <v>1.0238797638765194</v>
      </c>
      <c r="G1927" s="1014">
        <v>1.024696392588069</v>
      </c>
      <c r="H1927" s="1014">
        <v>1.0050407519464335</v>
      </c>
      <c r="I1927" s="1014">
        <v>0.97089465281869303</v>
      </c>
      <c r="K1927">
        <v>2.4195769551755593</v>
      </c>
      <c r="L1927">
        <v>0</v>
      </c>
      <c r="M1927">
        <v>1.7463346360922323E-3</v>
      </c>
      <c r="N1927">
        <v>0.14267233789202741</v>
      </c>
      <c r="O1927">
        <v>2.0605394075896743E-2</v>
      </c>
      <c r="P1927">
        <v>2.7992340235770213E-2</v>
      </c>
      <c r="Q1927">
        <v>5.2001080713075442E-3</v>
      </c>
      <c r="R1927">
        <v>1.7233990409208733E-3</v>
      </c>
      <c r="S1927">
        <v>0.24653753668801462</v>
      </c>
      <c r="T1927">
        <v>1.4036054276638941</v>
      </c>
      <c r="U1927">
        <v>0.20852350897878111</v>
      </c>
      <c r="V1927">
        <v>0.24890345905809552</v>
      </c>
      <c r="W1927">
        <v>9.5764757388819066E-2</v>
      </c>
      <c r="X1927">
        <v>1.510449664707725E-2</v>
      </c>
      <c r="Y1927">
        <v>4.6905240710454627E-3</v>
      </c>
    </row>
    <row r="1928" spans="1:25">
      <c r="A1928" s="1010"/>
      <c r="B1928" s="1351">
        <v>1678</v>
      </c>
      <c r="C1928" s="1014">
        <v>0.98622713484116686</v>
      </c>
      <c r="D1928" s="1014">
        <v>0.96631938242226678</v>
      </c>
      <c r="E1928" s="1014">
        <v>0.95695349457363565</v>
      </c>
      <c r="F1928" s="1014">
        <v>0.98274149054118287</v>
      </c>
      <c r="G1928" s="1014">
        <v>0.97953654240714727</v>
      </c>
      <c r="H1928" s="1014">
        <v>1.0211017721722953</v>
      </c>
      <c r="I1928" s="1014">
        <v>0.98867691738183561</v>
      </c>
      <c r="K1928">
        <v>2.3946011023144238</v>
      </c>
      <c r="L1928">
        <v>0</v>
      </c>
      <c r="M1928">
        <v>1.8721472337674286E-3</v>
      </c>
      <c r="N1928">
        <v>0.14961388097786116</v>
      </c>
      <c r="O1928">
        <v>2.1410570213676892E-2</v>
      </c>
      <c r="P1928">
        <v>2.7339400405952542E-2</v>
      </c>
      <c r="Q1928">
        <v>5.3626593176324452E-3</v>
      </c>
      <c r="R1928">
        <v>1.8479460177016913E-3</v>
      </c>
      <c r="S1928">
        <v>0.26522218950675608</v>
      </c>
      <c r="T1928">
        <v>1.3470553098595595</v>
      </c>
      <c r="U1928">
        <v>0.21478496083015855</v>
      </c>
      <c r="V1928">
        <v>0.24306070050894174</v>
      </c>
      <c r="W1928">
        <v>0.10087766873084324</v>
      </c>
      <c r="X1928">
        <v>1.4868463294166696E-2</v>
      </c>
      <c r="Y1928">
        <v>5.0294998849429893E-3</v>
      </c>
    </row>
    <row r="1929" spans="1:25">
      <c r="A1929" s="1010"/>
      <c r="B1929" s="1351">
        <v>1679</v>
      </c>
      <c r="C1929" s="1014">
        <v>0.97638982745849412</v>
      </c>
      <c r="D1929" s="1014">
        <v>1.0111649485272556</v>
      </c>
      <c r="E1929" s="1014">
        <v>1.0188764293411312</v>
      </c>
      <c r="F1929" s="1014">
        <v>0.99041541296203628</v>
      </c>
      <c r="G1929" s="1014">
        <v>0.99780757797832631</v>
      </c>
      <c r="H1929" s="1014">
        <v>0.97902311782266549</v>
      </c>
      <c r="I1929" s="1014">
        <v>1.0169497801334835</v>
      </c>
      <c r="K1929">
        <v>2.4173321682058306</v>
      </c>
      <c r="L1929">
        <v>0</v>
      </c>
      <c r="M1929">
        <v>1.5790891860592308E-3</v>
      </c>
      <c r="N1929">
        <v>0.15209511145081275</v>
      </c>
      <c r="O1929">
        <v>2.1453431829343447E-2</v>
      </c>
      <c r="P1929">
        <v>2.8904491222901507E-2</v>
      </c>
      <c r="Q1929">
        <v>5.720902090823079E-3</v>
      </c>
      <c r="R1929">
        <v>1.5577989767644024E-3</v>
      </c>
      <c r="S1929">
        <v>0.26617709841055437</v>
      </c>
      <c r="T1929">
        <v>1.358897119143768</v>
      </c>
      <c r="U1929">
        <v>0.21716531340677356</v>
      </c>
      <c r="V1929">
        <v>0.24659914591372242</v>
      </c>
      <c r="W1929">
        <v>9.8809651444366167E-2</v>
      </c>
      <c r="X1929">
        <v>1.7291378215598494E-2</v>
      </c>
      <c r="Y1929">
        <v>4.2398152864580266E-3</v>
      </c>
    </row>
    <row r="1930" spans="1:25">
      <c r="A1930" s="1010"/>
      <c r="B1930" s="1351">
        <v>1680</v>
      </c>
      <c r="C1930" s="1014">
        <v>1.0106154968068577</v>
      </c>
      <c r="D1930" s="1014">
        <v>0.98331622669391305</v>
      </c>
      <c r="E1930" s="1014">
        <v>0.9831138251063285</v>
      </c>
      <c r="F1930" s="1014">
        <v>0.96294126062562457</v>
      </c>
      <c r="G1930" s="1014">
        <v>1.00806762031738</v>
      </c>
      <c r="H1930" s="1014">
        <v>0.99728424475732058</v>
      </c>
      <c r="I1930" s="1014">
        <v>1.0223831399599503</v>
      </c>
      <c r="K1930">
        <v>2.3559245064991279</v>
      </c>
      <c r="L1930">
        <v>0</v>
      </c>
      <c r="M1930">
        <v>1.6840695570933752E-3</v>
      </c>
      <c r="N1930">
        <v>0.14563195549391575</v>
      </c>
      <c r="O1930">
        <v>2.0831050037414485E-2</v>
      </c>
      <c r="P1930">
        <v>2.7485917033675599E-2</v>
      </c>
      <c r="Q1930">
        <v>5.3588941122225614E-3</v>
      </c>
      <c r="R1930">
        <v>1.6617796999260398E-3</v>
      </c>
      <c r="S1930">
        <v>0.26347512507845489</v>
      </c>
      <c r="T1930">
        <v>1.320456323846918</v>
      </c>
      <c r="U1930">
        <v>0.20968978031144578</v>
      </c>
      <c r="V1930">
        <v>0.24631532201605524</v>
      </c>
      <c r="W1930">
        <v>9.664179827835305E-2</v>
      </c>
      <c r="X1930">
        <v>1.5537813610171461E-2</v>
      </c>
      <c r="Y1930">
        <v>4.5228165376678267E-3</v>
      </c>
    </row>
    <row r="1931" spans="1:25">
      <c r="A1931" s="1010"/>
      <c r="B1931" s="1351">
        <v>1681</v>
      </c>
      <c r="C1931" s="1014">
        <v>0.97215725550794108</v>
      </c>
      <c r="D1931" s="1014">
        <v>1.0080946731020195</v>
      </c>
      <c r="E1931" s="1014">
        <v>1.0087325162931622</v>
      </c>
      <c r="F1931" s="1014">
        <v>1.0355272748502948</v>
      </c>
      <c r="G1931" s="1014">
        <v>0.98422205824415365</v>
      </c>
      <c r="H1931" s="1014">
        <v>0.99849919216358807</v>
      </c>
      <c r="I1931" s="1014">
        <v>1.0217320330199218</v>
      </c>
      <c r="K1931">
        <v>2.4878151970845059</v>
      </c>
      <c r="L1931">
        <v>0</v>
      </c>
      <c r="M1931">
        <v>1.6530894234844031E-3</v>
      </c>
      <c r="N1931">
        <v>0.15446297028404532</v>
      </c>
      <c r="O1931">
        <v>2.1554328172659887E-2</v>
      </c>
      <c r="P1931">
        <v>2.9582907145422541E-2</v>
      </c>
      <c r="Q1931">
        <v>5.6899388868518414E-3</v>
      </c>
      <c r="R1931">
        <v>1.6312362331754795E-3</v>
      </c>
      <c r="S1931">
        <v>0.27065528096878083</v>
      </c>
      <c r="T1931">
        <v>1.4205649312357216</v>
      </c>
      <c r="U1931">
        <v>0.21807506326217149</v>
      </c>
      <c r="V1931">
        <v>0.24459342977229853</v>
      </c>
      <c r="W1931">
        <v>0.10094818529616577</v>
      </c>
      <c r="X1931">
        <v>1.7270327960869067E-2</v>
      </c>
      <c r="Y1931">
        <v>4.4396872898239082E-3</v>
      </c>
    </row>
    <row r="1932" spans="1:25">
      <c r="A1932" s="1010"/>
      <c r="B1932" s="1351">
        <v>1682</v>
      </c>
      <c r="C1932" s="1014">
        <v>0.98912189604325107</v>
      </c>
      <c r="D1932" s="1014">
        <v>0.99550775227265675</v>
      </c>
      <c r="E1932" s="1014">
        <v>0.98110763507431675</v>
      </c>
      <c r="F1932" s="1014">
        <v>1.0015356342471811</v>
      </c>
      <c r="G1932" s="1014">
        <v>0.98868110905685314</v>
      </c>
      <c r="H1932" s="1014">
        <v>0.97641246936053439</v>
      </c>
      <c r="I1932" s="1014">
        <v>0.97592275108276993</v>
      </c>
      <c r="K1932">
        <v>2.4018416493078592</v>
      </c>
      <c r="L1932">
        <v>0</v>
      </c>
      <c r="M1932">
        <v>1.6870790232047081E-3</v>
      </c>
      <c r="N1932">
        <v>0.14496787153908838</v>
      </c>
      <c r="O1932">
        <v>2.1224745513437799E-2</v>
      </c>
      <c r="P1932">
        <v>2.805771324630137E-2</v>
      </c>
      <c r="Q1932">
        <v>5.449064894918215E-3</v>
      </c>
      <c r="R1932">
        <v>1.6642720145717234E-3</v>
      </c>
      <c r="S1932">
        <v>0.25361249938690311</v>
      </c>
      <c r="T1932">
        <v>1.3733364881631862</v>
      </c>
      <c r="U1932">
        <v>0.21423942224832454</v>
      </c>
      <c r="V1932">
        <v>0.24435148804925375</v>
      </c>
      <c r="W1932">
        <v>9.6317522343962292E-2</v>
      </c>
      <c r="X1932">
        <v>1.5778041134571329E-2</v>
      </c>
      <c r="Y1932">
        <v>4.5295997965420758E-3</v>
      </c>
    </row>
    <row r="1933" spans="1:25">
      <c r="A1933" s="1010"/>
      <c r="B1933" s="1351">
        <v>1683</v>
      </c>
      <c r="C1933" s="1014">
        <v>0.99002053630859987</v>
      </c>
      <c r="D1933" s="1014">
        <v>0.97667334394725391</v>
      </c>
      <c r="E1933" s="1014">
        <v>0.98272487502433215</v>
      </c>
      <c r="F1933" s="1014">
        <v>1.044611363832963</v>
      </c>
      <c r="G1933" s="1014">
        <v>1.0002231760786664</v>
      </c>
      <c r="H1933" s="1014">
        <v>0.96170089364178635</v>
      </c>
      <c r="I1933" s="1014">
        <v>1.012690142725557</v>
      </c>
      <c r="K1933">
        <v>2.4720610024239669</v>
      </c>
      <c r="L1933">
        <v>0</v>
      </c>
      <c r="M1933">
        <v>1.6615749607856352E-3</v>
      </c>
      <c r="N1933">
        <v>0.14344652154126691</v>
      </c>
      <c r="O1933">
        <v>2.1295862468412117E-2</v>
      </c>
      <c r="P1933">
        <v>2.905407030359854E-2</v>
      </c>
      <c r="Q1933">
        <v>5.4763076341846507E-3</v>
      </c>
      <c r="R1933">
        <v>1.6387691173910392E-3</v>
      </c>
      <c r="S1933">
        <v>0.26420330738863484</v>
      </c>
      <c r="T1933">
        <v>1.4324396570066436</v>
      </c>
      <c r="U1933">
        <v>0.2140505250615225</v>
      </c>
      <c r="V1933">
        <v>0.24626046164680829</v>
      </c>
      <c r="W1933">
        <v>9.5213845183878043E-2</v>
      </c>
      <c r="X1933">
        <v>1.618306071496382E-2</v>
      </c>
      <c r="Y1933">
        <v>4.4601893174440474E-3</v>
      </c>
    </row>
    <row r="1934" spans="1:25">
      <c r="A1934" s="1010"/>
      <c r="B1934" s="1351">
        <v>1684</v>
      </c>
      <c r="C1934" s="1014">
        <v>0.99890394962657569</v>
      </c>
      <c r="D1934" s="1014">
        <v>1.025738958463706</v>
      </c>
      <c r="E1934" s="1014">
        <v>1.0187306199179627</v>
      </c>
      <c r="F1934" s="1014">
        <v>1.02536960831017</v>
      </c>
      <c r="G1934" s="1014">
        <v>1.0222382488658885</v>
      </c>
      <c r="H1934" s="1014">
        <v>1.0133773610463208</v>
      </c>
      <c r="I1934" s="1014">
        <v>1.0411573335926019</v>
      </c>
      <c r="K1934">
        <v>2.4667684120667066</v>
      </c>
      <c r="L1934">
        <v>0</v>
      </c>
      <c r="M1934">
        <v>1.5931214788558377E-3</v>
      </c>
      <c r="N1934">
        <v>0.15345025196259435</v>
      </c>
      <c r="O1934">
        <v>2.0903885478248771E-2</v>
      </c>
      <c r="P1934">
        <v>2.9553240760433277E-2</v>
      </c>
      <c r="Q1934">
        <v>5.5735482240599175E-3</v>
      </c>
      <c r="R1934">
        <v>1.5723702455377317E-3</v>
      </c>
      <c r="S1934">
        <v>0.26749999302374255</v>
      </c>
      <c r="T1934">
        <v>1.4068526944040833</v>
      </c>
      <c r="U1934">
        <v>0.21227016183323916</v>
      </c>
      <c r="V1934">
        <v>0.24932880585720979</v>
      </c>
      <c r="W1934">
        <v>9.969854049373375E-2</v>
      </c>
      <c r="X1934">
        <v>1.7378567786036633E-2</v>
      </c>
      <c r="Y1934">
        <v>4.279473476641568E-3</v>
      </c>
    </row>
    <row r="1935" spans="1:25">
      <c r="A1935" s="1010"/>
      <c r="B1935" s="1351">
        <v>1685</v>
      </c>
      <c r="C1935" s="1014">
        <v>1.0392374763388226</v>
      </c>
      <c r="D1935" s="1014">
        <v>1.0376808601540597</v>
      </c>
      <c r="E1935" s="1014">
        <v>1.0104569526622567</v>
      </c>
      <c r="F1935" s="1014">
        <v>0.9978610761742005</v>
      </c>
      <c r="G1935" s="1014">
        <v>1.0056141457049472</v>
      </c>
      <c r="H1935" s="1014">
        <v>0.99839598277437325</v>
      </c>
      <c r="I1935" s="1014">
        <v>1.0332044369889906</v>
      </c>
      <c r="K1935">
        <v>2.3813987706256388</v>
      </c>
      <c r="L1935">
        <v>0</v>
      </c>
      <c r="M1935">
        <v>1.5309240829121413E-3</v>
      </c>
      <c r="N1935">
        <v>0.14379444962978347</v>
      </c>
      <c r="O1935">
        <v>2.0036237858519677E-2</v>
      </c>
      <c r="P1935">
        <v>2.84586819074539E-2</v>
      </c>
      <c r="Q1935">
        <v>5.2983189668340692E-3</v>
      </c>
      <c r="R1935">
        <v>1.5106837781022416E-3</v>
      </c>
      <c r="S1935">
        <v>0.25237111603927326</v>
      </c>
      <c r="T1935">
        <v>1.3689306869717905</v>
      </c>
      <c r="U1935">
        <v>0.20400453515438788</v>
      </c>
      <c r="V1935">
        <v>0.24409616622735109</v>
      </c>
      <c r="W1935">
        <v>9.3880306723654702E-2</v>
      </c>
      <c r="X1935">
        <v>1.6436928204176318E-2</v>
      </c>
      <c r="Y1935">
        <v>4.1115832472206904E-3</v>
      </c>
    </row>
    <row r="1936" spans="1:25">
      <c r="A1936" s="1010"/>
      <c r="B1936" s="1351">
        <v>1686</v>
      </c>
      <c r="C1936" s="1014">
        <v>0.97992488492777352</v>
      </c>
      <c r="D1936" s="1014">
        <v>1.0158533606879103</v>
      </c>
      <c r="E1936" s="1014">
        <v>0.98475078177787634</v>
      </c>
      <c r="F1936" s="1014">
        <v>0.98654144792298071</v>
      </c>
      <c r="G1936" s="1014">
        <v>1.0041857709145097</v>
      </c>
      <c r="H1936" s="1014">
        <v>1.0246133836450173</v>
      </c>
      <c r="I1936" s="1014">
        <v>0.99494099844310369</v>
      </c>
      <c r="K1936">
        <v>2.4100248861269438</v>
      </c>
      <c r="L1936">
        <v>0</v>
      </c>
      <c r="M1936">
        <v>1.7656840161966274E-3</v>
      </c>
      <c r="N1936">
        <v>0.15350247202761219</v>
      </c>
      <c r="O1936">
        <v>2.133125691123313E-2</v>
      </c>
      <c r="P1936">
        <v>2.8049860503018189E-2</v>
      </c>
      <c r="Q1936">
        <v>5.4966927327720246E-3</v>
      </c>
      <c r="R1936">
        <v>1.742937275356771E-3</v>
      </c>
      <c r="S1936">
        <v>0.26251914029907453</v>
      </c>
      <c r="T1936">
        <v>1.352853460189666</v>
      </c>
      <c r="U1936">
        <v>0.21626282369973379</v>
      </c>
      <c r="V1936">
        <v>0.24757921613486</v>
      </c>
      <c r="W1936">
        <v>0.10176437268110997</v>
      </c>
      <c r="X1936">
        <v>1.5944636984300119E-2</v>
      </c>
      <c r="Y1936">
        <v>4.7437007044027245E-3</v>
      </c>
    </row>
    <row r="1937" spans="1:25">
      <c r="A1937" s="1010"/>
      <c r="B1937" s="1351">
        <v>1687</v>
      </c>
      <c r="C1937" s="1014">
        <v>1.0085358092973751</v>
      </c>
      <c r="D1937" s="1014">
        <v>1.0248158999273156</v>
      </c>
      <c r="E1937" s="1014">
        <v>1.020378377157549</v>
      </c>
      <c r="F1937" s="1014">
        <v>1.0030606400127557</v>
      </c>
      <c r="G1937" s="1014">
        <v>0.9719494163791591</v>
      </c>
      <c r="H1937" s="1014">
        <v>1.0119124162777358</v>
      </c>
      <c r="I1937" s="1014">
        <v>0.97982065527217566</v>
      </c>
      <c r="K1937">
        <v>2.4029996995075571</v>
      </c>
      <c r="L1937">
        <v>0</v>
      </c>
      <c r="M1937">
        <v>1.5705443299721738E-3</v>
      </c>
      <c r="N1937">
        <v>0.15202658198643909</v>
      </c>
      <c r="O1937">
        <v>2.0709429205551386E-2</v>
      </c>
      <c r="P1937">
        <v>2.875860371335141E-2</v>
      </c>
      <c r="Q1937">
        <v>5.5307556344602101E-3</v>
      </c>
      <c r="R1937">
        <v>1.5500575599195546E-3</v>
      </c>
      <c r="S1937">
        <v>0.24934080029709746</v>
      </c>
      <c r="T1937">
        <v>1.3762796827941575</v>
      </c>
      <c r="U1937">
        <v>0.21024851109588105</v>
      </c>
      <c r="V1937">
        <v>0.24014310956989385</v>
      </c>
      <c r="W1937">
        <v>9.8678356690182573E-2</v>
      </c>
      <c r="X1937">
        <v>1.7085609588828609E-2</v>
      </c>
      <c r="Y1937">
        <v>4.2187457017637282E-3</v>
      </c>
    </row>
    <row r="1938" spans="1:25">
      <c r="A1938" s="1010"/>
      <c r="B1938" s="1351">
        <v>1688</v>
      </c>
      <c r="C1938" s="1014">
        <v>0.99739857290724088</v>
      </c>
      <c r="D1938" s="1014">
        <v>0.99805799065631084</v>
      </c>
      <c r="E1938" s="1014">
        <v>0.96526315275230512</v>
      </c>
      <c r="F1938" s="1014">
        <v>1.0278151059548093</v>
      </c>
      <c r="G1938" s="1014">
        <v>1.0151560606655468</v>
      </c>
      <c r="H1938" s="1014">
        <v>1.009176451480875</v>
      </c>
      <c r="I1938" s="1014">
        <v>1.003728480145216</v>
      </c>
      <c r="K1938">
        <v>2.4501303682178848</v>
      </c>
      <c r="L1938">
        <v>0</v>
      </c>
      <c r="M1938">
        <v>1.7857433686525319E-3</v>
      </c>
      <c r="N1938">
        <v>0.14632483169566432</v>
      </c>
      <c r="O1938">
        <v>2.1026271101837371E-2</v>
      </c>
      <c r="P1938">
        <v>2.8322573045475762E-2</v>
      </c>
      <c r="Q1938">
        <v>5.3115480188104308E-3</v>
      </c>
      <c r="R1938">
        <v>1.7623863097216579E-3</v>
      </c>
      <c r="S1938">
        <v>0.26101482016069016</v>
      </c>
      <c r="T1938">
        <v>1.4090214524908764</v>
      </c>
      <c r="U1938">
        <v>0.21240754177539997</v>
      </c>
      <c r="V1938">
        <v>0.24841124996925035</v>
      </c>
      <c r="W1938">
        <v>9.8158776958638616E-2</v>
      </c>
      <c r="X1938">
        <v>1.5358025495601585E-2</v>
      </c>
      <c r="Y1938">
        <v>4.7966345645714904E-3</v>
      </c>
    </row>
    <row r="1939" spans="1:25">
      <c r="A1939" s="1010"/>
      <c r="B1939" s="1351">
        <v>1689</v>
      </c>
      <c r="C1939" s="1014">
        <v>0.9658883228276729</v>
      </c>
      <c r="D1939" s="1014">
        <v>0.97167909138725872</v>
      </c>
      <c r="E1939" s="1014">
        <v>0.98869538675066304</v>
      </c>
      <c r="F1939" s="1014">
        <v>1.0276401387875647</v>
      </c>
      <c r="G1939" s="1014">
        <v>1.0168515872892439</v>
      </c>
      <c r="H1939" s="1014">
        <v>0.97765719202053503</v>
      </c>
      <c r="I1939" s="1014">
        <v>0.98836716642246969</v>
      </c>
      <c r="K1939">
        <v>2.4735425816372483</v>
      </c>
      <c r="L1939">
        <v>0</v>
      </c>
      <c r="M1939">
        <v>1.7120130719125663E-3</v>
      </c>
      <c r="N1939">
        <v>0.150528214941966</v>
      </c>
      <c r="O1939">
        <v>2.1856680289179971E-2</v>
      </c>
      <c r="P1939">
        <v>2.9034527169511583E-2</v>
      </c>
      <c r="Q1939">
        <v>5.6546265783892595E-3</v>
      </c>
      <c r="R1939">
        <v>1.6888984552551548E-3</v>
      </c>
      <c r="S1939">
        <v>0.26643611480180118</v>
      </c>
      <c r="T1939">
        <v>1.40929991206809</v>
      </c>
      <c r="U1939">
        <v>0.21941954641318265</v>
      </c>
      <c r="V1939">
        <v>0.25065366304069914</v>
      </c>
      <c r="W1939">
        <v>9.9556442438621107E-2</v>
      </c>
      <c r="X1939">
        <v>1.6529343662487414E-2</v>
      </c>
      <c r="Y1939">
        <v>4.5966248499783851E-3</v>
      </c>
    </row>
    <row r="1940" spans="1:25">
      <c r="A1940" s="1010"/>
      <c r="B1940" s="1351">
        <v>1690</v>
      </c>
      <c r="C1940" s="1014">
        <v>1.0224345490998197</v>
      </c>
      <c r="D1940" s="1014">
        <v>0.96374149600223458</v>
      </c>
      <c r="E1940" s="1014">
        <v>1.0087392681650378</v>
      </c>
      <c r="F1940" s="1014">
        <v>0.99332240759382173</v>
      </c>
      <c r="G1940" s="1014">
        <v>1.0072151353012728</v>
      </c>
      <c r="H1940" s="1014">
        <v>1.0053398507072886</v>
      </c>
      <c r="I1940" s="1014">
        <v>1.003721759385936</v>
      </c>
      <c r="K1940">
        <v>2.3970733286236685</v>
      </c>
      <c r="L1940">
        <v>0</v>
      </c>
      <c r="M1940">
        <v>1.598289364525603E-3</v>
      </c>
      <c r="N1940">
        <v>0.14935916747758735</v>
      </c>
      <c r="O1940">
        <v>2.0698294247762004E-2</v>
      </c>
      <c r="P1940">
        <v>2.8493319660426675E-2</v>
      </c>
      <c r="Q1940">
        <v>5.4639988702243607E-3</v>
      </c>
      <c r="R1940">
        <v>1.5773043762921299E-3</v>
      </c>
      <c r="S1940">
        <v>0.25917034589315308</v>
      </c>
      <c r="T1940">
        <v>1.3626672733595986</v>
      </c>
      <c r="U1940">
        <v>0.20735144199992439</v>
      </c>
      <c r="V1940">
        <v>0.24536252514032292</v>
      </c>
      <c r="W1940">
        <v>9.7612241929605881E-2</v>
      </c>
      <c r="X1940">
        <v>1.662280247927328E-2</v>
      </c>
      <c r="Y1940">
        <v>4.2929025540192744E-3</v>
      </c>
    </row>
    <row r="1941" spans="1:25">
      <c r="A1941" s="1010"/>
      <c r="B1941" s="1351">
        <v>1691</v>
      </c>
      <c r="C1941" s="1014">
        <v>0.9922471448853738</v>
      </c>
      <c r="D1941" s="1014">
        <v>0.97654186576947744</v>
      </c>
      <c r="E1941" s="1014">
        <v>0.97414952647827513</v>
      </c>
      <c r="F1941" s="1014">
        <v>0.98322565464739542</v>
      </c>
      <c r="G1941" s="1014">
        <v>1.001698933917571</v>
      </c>
      <c r="H1941" s="1014">
        <v>0.99981607059811828</v>
      </c>
      <c r="I1941" s="1014">
        <v>1.0041751275213797</v>
      </c>
      <c r="K1941">
        <v>2.3934046213575346</v>
      </c>
      <c r="L1941">
        <v>0</v>
      </c>
      <c r="M1941">
        <v>1.7544306808965496E-3</v>
      </c>
      <c r="N1941">
        <v>0.14766144008885262</v>
      </c>
      <c r="O1941">
        <v>2.1242958005535908E-2</v>
      </c>
      <c r="P1941">
        <v>2.773729628326313E-2</v>
      </c>
      <c r="Q1941">
        <v>5.4152560827393694E-3</v>
      </c>
      <c r="R1941">
        <v>1.7312683469514318E-3</v>
      </c>
      <c r="S1941">
        <v>0.26463682661468213</v>
      </c>
      <c r="T1941">
        <v>1.3480819976310463</v>
      </c>
      <c r="U1941">
        <v>0.21354075542558459</v>
      </c>
      <c r="V1941">
        <v>0.24640263706427334</v>
      </c>
      <c r="W1941">
        <v>9.8520986259952814E-2</v>
      </c>
      <c r="X1941">
        <v>1.5475688507603984E-2</v>
      </c>
      <c r="Y1941">
        <v>4.7119417279446081E-3</v>
      </c>
    </row>
    <row r="1942" spans="1:25">
      <c r="A1942" s="1010"/>
      <c r="B1942" s="1351">
        <v>1692</v>
      </c>
      <c r="C1942" s="1014">
        <v>0.99906110111400726</v>
      </c>
      <c r="D1942" s="1014">
        <v>1.0216147045556432</v>
      </c>
      <c r="E1942" s="1014">
        <v>0.99333116771839536</v>
      </c>
      <c r="F1942" s="1014">
        <v>1.0086961397566601</v>
      </c>
      <c r="G1942" s="1014">
        <v>1.0333376897970064</v>
      </c>
      <c r="H1942" s="1014">
        <v>1.0098338383663625</v>
      </c>
      <c r="I1942" s="1014">
        <v>0.97720595611470451</v>
      </c>
      <c r="K1942">
        <v>2.4213606176750142</v>
      </c>
      <c r="L1942">
        <v>0</v>
      </c>
      <c r="M1942">
        <v>1.6747376769940048E-3</v>
      </c>
      <c r="N1942">
        <v>0.14939414877113166</v>
      </c>
      <c r="O1942">
        <v>2.0902321486761199E-2</v>
      </c>
      <c r="P1942">
        <v>2.8485479230007587E-2</v>
      </c>
      <c r="Q1942">
        <v>5.4331047567339778E-3</v>
      </c>
      <c r="R1942">
        <v>1.652846803563856E-3</v>
      </c>
      <c r="S1942">
        <v>0.25103696017546318</v>
      </c>
      <c r="T1942">
        <v>1.383421169063286</v>
      </c>
      <c r="U1942">
        <v>0.21214978849022798</v>
      </c>
      <c r="V1942">
        <v>0.2513079072533343</v>
      </c>
      <c r="W1942">
        <v>9.8532596068331812E-2</v>
      </c>
      <c r="X1942">
        <v>1.6220529114669195E-2</v>
      </c>
      <c r="Y1942">
        <v>4.4985041384984553E-3</v>
      </c>
    </row>
    <row r="1943" spans="1:25">
      <c r="A1943" s="1010"/>
      <c r="B1943" s="1351">
        <v>1693</v>
      </c>
      <c r="C1943" s="1014">
        <v>1.0107966321138522</v>
      </c>
      <c r="D1943" s="1014">
        <v>0.9694414147408813</v>
      </c>
      <c r="E1943" s="1014">
        <v>1.0225415925661911</v>
      </c>
      <c r="F1943" s="1014">
        <v>0.99725891794547261</v>
      </c>
      <c r="G1943" s="1014">
        <v>1.0184313595396581</v>
      </c>
      <c r="H1943" s="1014">
        <v>1.0486073355036736</v>
      </c>
      <c r="I1943" s="1014">
        <v>0.9540260123859674</v>
      </c>
      <c r="K1943">
        <v>2.4180893177358502</v>
      </c>
      <c r="L1943">
        <v>0</v>
      </c>
      <c r="M1943">
        <v>1.636439259847482E-3</v>
      </c>
      <c r="N1943">
        <v>0.159515879322322</v>
      </c>
      <c r="O1943">
        <v>2.0918608733655867E-2</v>
      </c>
      <c r="P1943">
        <v>2.8833405751125703E-2</v>
      </c>
      <c r="Q1943">
        <v>5.5986376348272924E-3</v>
      </c>
      <c r="R1943">
        <v>1.6158399240604241E-3</v>
      </c>
      <c r="S1943">
        <v>0.25204309157065707</v>
      </c>
      <c r="T1943">
        <v>1.3683661096374826</v>
      </c>
      <c r="U1943">
        <v>0.20978559298417959</v>
      </c>
      <c r="V1943">
        <v>0.24793017149166352</v>
      </c>
      <c r="W1943">
        <v>0.10340875001982838</v>
      </c>
      <c r="X1943">
        <v>1.7311886314089323E-2</v>
      </c>
      <c r="Y1943">
        <v>4.3977836118046648E-3</v>
      </c>
    </row>
    <row r="1944" spans="1:25">
      <c r="A1944" s="1010"/>
      <c r="B1944" s="1351">
        <v>1694</v>
      </c>
      <c r="C1944" s="1014">
        <v>0.98355867067456282</v>
      </c>
      <c r="D1944" s="1014">
        <v>1.0175474482300007</v>
      </c>
      <c r="E1944" s="1014">
        <v>1.0353622136911991</v>
      </c>
      <c r="F1944" s="1014">
        <v>0.96712821701268681</v>
      </c>
      <c r="G1944" s="1014">
        <v>1.0121641007433486</v>
      </c>
      <c r="H1944" s="1014">
        <v>0.98351479577041978</v>
      </c>
      <c r="I1944" s="1014">
        <v>1.0379669823751416</v>
      </c>
      <c r="K1944">
        <v>2.391362834428437</v>
      </c>
      <c r="L1944">
        <v>0</v>
      </c>
      <c r="M1944">
        <v>1.5195102084656963E-3</v>
      </c>
      <c r="N1944">
        <v>0.15382512517708305</v>
      </c>
      <c r="O1944">
        <v>2.1278731022698012E-2</v>
      </c>
      <c r="P1944">
        <v>2.8861306825348446E-2</v>
      </c>
      <c r="Q1944">
        <v>5.7677104478442735E-3</v>
      </c>
      <c r="R1944">
        <v>1.4991168410943493E-3</v>
      </c>
      <c r="S1944">
        <v>0.2693920469651051</v>
      </c>
      <c r="T1944">
        <v>1.3272926383346928</v>
      </c>
      <c r="U1944">
        <v>0.2156399943102866</v>
      </c>
      <c r="V1944">
        <v>0.24852555651653743</v>
      </c>
      <c r="W1944">
        <v>9.8979651847975164E-2</v>
      </c>
      <c r="X1944">
        <v>1.7740364490510242E-2</v>
      </c>
      <c r="Y1944">
        <v>4.0801018577249675E-3</v>
      </c>
    </row>
    <row r="1945" spans="1:25">
      <c r="A1945" s="1010"/>
      <c r="B1945" s="1351">
        <v>1695</v>
      </c>
      <c r="C1945" s="1014">
        <v>1.025588991425866</v>
      </c>
      <c r="D1945" s="1014">
        <v>0.99073180331847399</v>
      </c>
      <c r="E1945" s="1014">
        <v>0.99778648579910389</v>
      </c>
      <c r="F1945" s="1014">
        <v>0.98771352792555378</v>
      </c>
      <c r="G1945" s="1014">
        <v>1.0137533071694576</v>
      </c>
      <c r="H1945" s="1014">
        <v>0.99620940976912187</v>
      </c>
      <c r="I1945" s="1014">
        <v>1.0020989197569223</v>
      </c>
      <c r="K1945">
        <v>2.3761887200963643</v>
      </c>
      <c r="L1945">
        <v>0</v>
      </c>
      <c r="M1945">
        <v>1.6054182478159754E-3</v>
      </c>
      <c r="N1945">
        <v>0.14512560318240653</v>
      </c>
      <c r="O1945">
        <v>2.0502518276515475E-2</v>
      </c>
      <c r="P1945">
        <v>2.8081694178381651E-2</v>
      </c>
      <c r="Q1945">
        <v>5.3531633394524204E-3</v>
      </c>
      <c r="R1945">
        <v>1.5841464706994428E-3</v>
      </c>
      <c r="S1945">
        <v>0.25354598447289878</v>
      </c>
      <c r="T1945">
        <v>1.3547387244546423</v>
      </c>
      <c r="U1945">
        <v>0.2066771598755196</v>
      </c>
      <c r="V1945">
        <v>0.2463311685663627</v>
      </c>
      <c r="W1945">
        <v>9.5463273558182959E-2</v>
      </c>
      <c r="X1945">
        <v>1.6079177489616882E-2</v>
      </c>
      <c r="Y1945">
        <v>4.3115244795001659E-3</v>
      </c>
    </row>
    <row r="1946" spans="1:25">
      <c r="A1946" s="1010"/>
      <c r="B1946" s="1351">
        <v>1696</v>
      </c>
      <c r="C1946" s="1014">
        <v>0.97181072432030136</v>
      </c>
      <c r="D1946" s="1014">
        <v>0.96909508344474071</v>
      </c>
      <c r="E1946" s="1014">
        <v>1.0115071643308593</v>
      </c>
      <c r="F1946" s="1014">
        <v>0.974027123419968</v>
      </c>
      <c r="G1946" s="1014">
        <v>0.99067553846420886</v>
      </c>
      <c r="H1946" s="1014">
        <v>1.039363911484493</v>
      </c>
      <c r="I1946" s="1014">
        <v>1.001239513038189</v>
      </c>
      <c r="K1946">
        <v>2.421137383032598</v>
      </c>
      <c r="L1946">
        <v>0</v>
      </c>
      <c r="M1946">
        <v>1.7263836426657966E-3</v>
      </c>
      <c r="N1946">
        <v>0.16275410149343525</v>
      </c>
      <c r="O1946">
        <v>2.1751898416105257E-2</v>
      </c>
      <c r="P1946">
        <v>2.854948908528309E-2</v>
      </c>
      <c r="Q1946">
        <v>5.7580413179868966E-3</v>
      </c>
      <c r="R1946">
        <v>1.7044588296823101E-3</v>
      </c>
      <c r="S1946">
        <v>0.2742648830286164</v>
      </c>
      <c r="T1946">
        <v>1.3362558939692224</v>
      </c>
      <c r="U1946">
        <v>0.21816259990720202</v>
      </c>
      <c r="V1946">
        <v>0.24570848410065366</v>
      </c>
      <c r="W1946">
        <v>0.10619292294094261</v>
      </c>
      <c r="X1946">
        <v>1.7122018526440737E-2</v>
      </c>
      <c r="Y1946">
        <v>4.63897505969305E-3</v>
      </c>
    </row>
    <row r="1947" spans="1:25">
      <c r="A1947" s="1010"/>
      <c r="B1947" s="1351">
        <v>1697</v>
      </c>
      <c r="C1947" s="1014">
        <v>1.0083484935066818</v>
      </c>
      <c r="D1947" s="1014">
        <v>1.0043581041284284</v>
      </c>
      <c r="E1947" s="1014">
        <v>1.0089404297482059</v>
      </c>
      <c r="F1947" s="1014">
        <v>1.0271144593221044</v>
      </c>
      <c r="G1947" s="1014">
        <v>1.0184969730033415</v>
      </c>
      <c r="H1947" s="1014">
        <v>1.0079129393221362</v>
      </c>
      <c r="I1947" s="1014">
        <v>1.0023798272340538</v>
      </c>
      <c r="K1947">
        <v>2.4502083529354719</v>
      </c>
      <c r="L1947">
        <v>0</v>
      </c>
      <c r="M1947">
        <v>1.6094028375449332E-3</v>
      </c>
      <c r="N1947">
        <v>0.15049419906370662</v>
      </c>
      <c r="O1947">
        <v>2.0797829741356525E-2</v>
      </c>
      <c r="P1947">
        <v>2.9186285167366613E-2</v>
      </c>
      <c r="Q1947">
        <v>5.4913794053683069E-3</v>
      </c>
      <c r="R1947">
        <v>1.5883258780700056E-3</v>
      </c>
      <c r="S1947">
        <v>0.25727175682841363</v>
      </c>
      <c r="T1947">
        <v>1.4090286252913851</v>
      </c>
      <c r="U1947">
        <v>0.21024870670271312</v>
      </c>
      <c r="V1947">
        <v>0.24814053369063238</v>
      </c>
      <c r="W1947">
        <v>9.8342354114496058E-2</v>
      </c>
      <c r="X1947">
        <v>1.690486044088807E-2</v>
      </c>
      <c r="Y1947">
        <v>4.3228994486215677E-3</v>
      </c>
    </row>
    <row r="1948" spans="1:25">
      <c r="A1948" s="1010"/>
      <c r="B1948" s="1351">
        <v>1698</v>
      </c>
      <c r="C1948" s="1014">
        <v>1.0137083558217435</v>
      </c>
      <c r="D1948" s="1014">
        <v>0.98066843839585749</v>
      </c>
      <c r="E1948" s="1014">
        <v>1.0027908763743765</v>
      </c>
      <c r="F1948" s="1014">
        <v>1.0290375537971903</v>
      </c>
      <c r="G1948" s="1014">
        <v>0.97420642687932724</v>
      </c>
      <c r="H1948" s="1014">
        <v>0.97518553092316396</v>
      </c>
      <c r="I1948" s="1014">
        <v>0.99815592209432447</v>
      </c>
      <c r="K1948">
        <v>2.431593042718915</v>
      </c>
      <c r="L1948">
        <v>0</v>
      </c>
      <c r="M1948">
        <v>1.5770742197240395E-3</v>
      </c>
      <c r="N1948">
        <v>0.1446932729713632</v>
      </c>
      <c r="O1948">
        <v>2.0792740231178455E-2</v>
      </c>
      <c r="P1948">
        <v>2.8934929103325468E-2</v>
      </c>
      <c r="Q1948">
        <v>5.4563133428137157E-3</v>
      </c>
      <c r="R1948">
        <v>1.5557275022640899E-3</v>
      </c>
      <c r="S1948">
        <v>0.25509568304996666</v>
      </c>
      <c r="T1948">
        <v>1.4115297612065185</v>
      </c>
      <c r="U1948">
        <v>0.20911628642937855</v>
      </c>
      <c r="V1948">
        <v>0.24027289106336613</v>
      </c>
      <c r="W1948">
        <v>9.4896278503848075E-2</v>
      </c>
      <c r="X1948">
        <v>1.6592056118884844E-2</v>
      </c>
      <c r="Y1948">
        <v>4.2341774157295623E-3</v>
      </c>
    </row>
    <row r="1949" spans="1:25">
      <c r="A1949" s="1010"/>
      <c r="B1949" s="1351">
        <v>1699</v>
      </c>
      <c r="C1949" s="1014">
        <v>1.0332937142551162</v>
      </c>
      <c r="D1949" s="1014">
        <v>0.98603259688968303</v>
      </c>
      <c r="E1949" s="1014">
        <v>0.99495372767503654</v>
      </c>
      <c r="F1949" s="1014">
        <v>1.031722251849954</v>
      </c>
      <c r="G1949" s="1014">
        <v>1.0349286794092114</v>
      </c>
      <c r="H1949" s="1014">
        <v>1.0077815284185156</v>
      </c>
      <c r="I1949" s="1014">
        <v>1.0467345640082313</v>
      </c>
      <c r="K1949">
        <v>2.4508215288904869</v>
      </c>
      <c r="L1949">
        <v>0</v>
      </c>
      <c r="M1949">
        <v>1.6231484911551244E-3</v>
      </c>
      <c r="N1949">
        <v>0.14550007208564952</v>
      </c>
      <c r="O1949">
        <v>2.0369114257644757E-2</v>
      </c>
      <c r="P1949">
        <v>2.9012588659022964E-2</v>
      </c>
      <c r="Q1949">
        <v>5.3031794171421055E-3</v>
      </c>
      <c r="R1949">
        <v>1.6018887448931119E-3</v>
      </c>
      <c r="S1949">
        <v>0.26447019395080962</v>
      </c>
      <c r="T1949">
        <v>1.4150375176703311</v>
      </c>
      <c r="U1949">
        <v>0.20512671230562637</v>
      </c>
      <c r="V1949">
        <v>0.24950467719287425</v>
      </c>
      <c r="W1949">
        <v>9.5871337625208983E-2</v>
      </c>
      <c r="X1949">
        <v>1.6287582371319644E-2</v>
      </c>
      <c r="Y1949">
        <v>4.3598131011162184E-3</v>
      </c>
    </row>
    <row r="1950" spans="1:25">
      <c r="A1950" s="1010"/>
      <c r="B1950" s="1351">
        <v>1700</v>
      </c>
      <c r="C1950" s="1014">
        <v>0.99156768245761173</v>
      </c>
      <c r="D1950" s="1014">
        <v>1.0400796991691346</v>
      </c>
      <c r="E1950" s="1014">
        <v>0.97599482812757277</v>
      </c>
      <c r="F1950" s="1014">
        <v>1.0037361727908054</v>
      </c>
      <c r="G1950" s="1014">
        <v>0.97910232065973168</v>
      </c>
      <c r="H1950" s="1014">
        <v>1.0313233666524029</v>
      </c>
      <c r="I1950" s="1014">
        <v>1.0186852813448306</v>
      </c>
      <c r="K1950">
        <v>2.4213674390212354</v>
      </c>
      <c r="L1950">
        <v>0</v>
      </c>
      <c r="M1950">
        <v>1.7792212738657826E-3</v>
      </c>
      <c r="N1950">
        <v>0.15064821047788121</v>
      </c>
      <c r="O1950">
        <v>2.096597587521223E-2</v>
      </c>
      <c r="P1950">
        <v>2.80833560234156E-2</v>
      </c>
      <c r="Q1950">
        <v>5.3547089943332439E-3</v>
      </c>
      <c r="R1950">
        <v>1.7564492660881864E-3</v>
      </c>
      <c r="S1950">
        <v>0.26305557821102354</v>
      </c>
      <c r="T1950">
        <v>1.3762434317439756</v>
      </c>
      <c r="U1950">
        <v>0.21369341788908144</v>
      </c>
      <c r="V1950">
        <v>0.24257745575027681</v>
      </c>
      <c r="W1950">
        <v>0.10040141344478326</v>
      </c>
      <c r="X1950">
        <v>1.558618673008263E-2</v>
      </c>
      <c r="Y1950">
        <v>4.7804758889470897E-3</v>
      </c>
    </row>
    <row r="1951" spans="1:25">
      <c r="A1951" s="1010"/>
      <c r="B1951" s="1351">
        <v>1701</v>
      </c>
      <c r="C1951" s="1014">
        <v>0.98178121919413941</v>
      </c>
      <c r="D1951" s="1014">
        <v>0.96744391682482522</v>
      </c>
      <c r="E1951" s="1014">
        <v>0.99687015530877532</v>
      </c>
      <c r="F1951" s="1014">
        <v>0.99904419429801072</v>
      </c>
      <c r="G1951" s="1014">
        <v>1.018885038440752</v>
      </c>
      <c r="H1951" s="1014">
        <v>1.0140891335449087</v>
      </c>
      <c r="I1951" s="1014">
        <v>0.96028201142352521</v>
      </c>
      <c r="K1951">
        <v>2.4283006683336779</v>
      </c>
      <c r="L1951">
        <v>0</v>
      </c>
      <c r="M1951">
        <v>1.7193730881057692E-3</v>
      </c>
      <c r="N1951">
        <v>0.15503374027012565</v>
      </c>
      <c r="O1951">
        <v>2.1529102436907952E-2</v>
      </c>
      <c r="P1951">
        <v>2.8513752939904879E-2</v>
      </c>
      <c r="Q1951">
        <v>5.6160194213078184E-3</v>
      </c>
      <c r="R1951">
        <v>1.6969930813059892E-3</v>
      </c>
      <c r="S1951">
        <v>0.25835815572920406</v>
      </c>
      <c r="T1951">
        <v>1.3702599724598743</v>
      </c>
      <c r="U1951">
        <v>0.21589605187711375</v>
      </c>
      <c r="V1951">
        <v>0.24992542696611986</v>
      </c>
      <c r="W1951">
        <v>0.10203649531176112</v>
      </c>
      <c r="X1951">
        <v>1.6535675174462854E-2</v>
      </c>
      <c r="Y1951">
        <v>4.6186557536959964E-3</v>
      </c>
    </row>
    <row r="1952" spans="1:25">
      <c r="A1952" s="1010"/>
      <c r="B1952" s="1351">
        <v>1702</v>
      </c>
      <c r="C1952" s="1014">
        <v>0.98970981410403225</v>
      </c>
      <c r="D1952" s="1014">
        <v>0.99997062222303645</v>
      </c>
      <c r="E1952" s="1014">
        <v>0.95969376223290137</v>
      </c>
      <c r="F1952" s="1014">
        <v>1.0378042567360781</v>
      </c>
      <c r="G1952" s="1014">
        <v>0.96507159132149967</v>
      </c>
      <c r="H1952" s="1014">
        <v>1.0244608645198037</v>
      </c>
      <c r="I1952" s="1014">
        <v>1.0261430850147304</v>
      </c>
      <c r="K1952">
        <v>2.4711125763275401</v>
      </c>
      <c r="L1952">
        <v>0</v>
      </c>
      <c r="M1952">
        <v>1.8471942633108826E-3</v>
      </c>
      <c r="N1952">
        <v>0.1488571314445736</v>
      </c>
      <c r="O1952">
        <v>2.1176983112754302E-2</v>
      </c>
      <c r="P1952">
        <v>2.841418765486646E-2</v>
      </c>
      <c r="Q1952">
        <v>5.3191272732425326E-3</v>
      </c>
      <c r="R1952">
        <v>1.8233939092930909E-3</v>
      </c>
      <c r="S1952">
        <v>0.26995856072409563</v>
      </c>
      <c r="T1952">
        <v>1.4225914563947921</v>
      </c>
      <c r="U1952">
        <v>0.21403855545457487</v>
      </c>
      <c r="V1952">
        <v>0.24035526305025742</v>
      </c>
      <c r="W1952">
        <v>0.10019861398001473</v>
      </c>
      <c r="X1952">
        <v>1.5263820452926631E-2</v>
      </c>
      <c r="Y1952">
        <v>4.9626771394551397E-3</v>
      </c>
    </row>
    <row r="1953" spans="1:25">
      <c r="A1953" s="1010"/>
      <c r="B1953" s="1351">
        <v>1703</v>
      </c>
      <c r="C1953" s="1014">
        <v>1.0085729636339535</v>
      </c>
      <c r="D1953" s="1014">
        <v>1.0249802354692978</v>
      </c>
      <c r="E1953" s="1014">
        <v>0.96979878136658171</v>
      </c>
      <c r="F1953" s="1014">
        <v>0.97820566288298039</v>
      </c>
      <c r="G1953" s="1014">
        <v>1.0207438052166677</v>
      </c>
      <c r="H1953" s="1014">
        <v>1.0253630376077749</v>
      </c>
      <c r="I1953" s="1014">
        <v>0.99604698922568091</v>
      </c>
      <c r="K1953">
        <v>2.3721840782244121</v>
      </c>
      <c r="L1953">
        <v>0</v>
      </c>
      <c r="M1953">
        <v>1.7671887307250784E-3</v>
      </c>
      <c r="N1953">
        <v>0.14683790670144956</v>
      </c>
      <c r="O1953">
        <v>2.0674859738938976E-2</v>
      </c>
      <c r="P1953">
        <v>2.7396123771990376E-2</v>
      </c>
      <c r="Q1953">
        <v>5.2470775886157891E-3</v>
      </c>
      <c r="R1953">
        <v>1.7444392496902621E-3</v>
      </c>
      <c r="S1953">
        <v>0.25415846597371089</v>
      </c>
      <c r="T1953">
        <v>1.3411076710174425</v>
      </c>
      <c r="U1953">
        <v>0.21006948265795866</v>
      </c>
      <c r="V1953">
        <v>0.24865641388968271</v>
      </c>
      <c r="W1953">
        <v>9.8230883578748637E-2</v>
      </c>
      <c r="X1953">
        <v>1.5080154203495282E-2</v>
      </c>
      <c r="Y1953">
        <v>4.7477885834127818E-3</v>
      </c>
    </row>
    <row r="1954" spans="1:25">
      <c r="A1954" s="1010"/>
      <c r="B1954" s="1351">
        <v>1704</v>
      </c>
      <c r="C1954" s="1014">
        <v>0.98600487975208861</v>
      </c>
      <c r="D1954" s="1014">
        <v>1.0194479052165242</v>
      </c>
      <c r="E1954" s="1014">
        <v>0.9681367091679427</v>
      </c>
      <c r="F1954" s="1014">
        <v>0.97621873013591709</v>
      </c>
      <c r="G1954" s="1014">
        <v>0.99478991029100849</v>
      </c>
      <c r="H1954" s="1014">
        <v>1.0062974764177874</v>
      </c>
      <c r="I1954" s="1014">
        <v>1.015472562589635</v>
      </c>
      <c r="K1954">
        <v>2.3828699368059274</v>
      </c>
      <c r="L1954">
        <v>0</v>
      </c>
      <c r="M1954">
        <v>1.7822431561612534E-3</v>
      </c>
      <c r="N1954">
        <v>0.14730894036650294</v>
      </c>
      <c r="O1954">
        <v>2.1172161319935483E-2</v>
      </c>
      <c r="P1954">
        <v>2.7480553056364498E-2</v>
      </c>
      <c r="Q1954">
        <v>5.3641624192211686E-3</v>
      </c>
      <c r="R1954">
        <v>1.7588651865093022E-3</v>
      </c>
      <c r="S1954">
        <v>0.26408247202548629</v>
      </c>
      <c r="T1954">
        <v>1.3383487457515899</v>
      </c>
      <c r="U1954">
        <v>0.21487190623874938</v>
      </c>
      <c r="V1954">
        <v>0.24564179248825369</v>
      </c>
      <c r="W1954">
        <v>9.8645813984077194E-2</v>
      </c>
      <c r="X1954">
        <v>1.5189715897474036E-2</v>
      </c>
      <c r="Y1954">
        <v>4.7870512279254143E-3</v>
      </c>
    </row>
    <row r="1955" spans="1:25">
      <c r="A1955" s="1010"/>
      <c r="B1955" s="1351">
        <v>1705</v>
      </c>
      <c r="C1955" s="1014">
        <v>1.0246848710091057</v>
      </c>
      <c r="D1955" s="1014">
        <v>0.97824418803656965</v>
      </c>
      <c r="E1955" s="1014">
        <v>0.96374272960750818</v>
      </c>
      <c r="F1955" s="1014">
        <v>1.0206350845514165</v>
      </c>
      <c r="G1955" s="1014">
        <v>0.9953186419793022</v>
      </c>
      <c r="H1955" s="1014">
        <v>0.99195241751903163</v>
      </c>
      <c r="I1955" s="1014">
        <v>0.99232532376510485</v>
      </c>
      <c r="K1955">
        <v>2.4094502222231502</v>
      </c>
      <c r="L1955">
        <v>0</v>
      </c>
      <c r="M1955">
        <v>1.7214683278578466E-3</v>
      </c>
      <c r="N1955">
        <v>0.14037763236868905</v>
      </c>
      <c r="O1955">
        <v>2.0555865319647901E-2</v>
      </c>
      <c r="P1955">
        <v>2.7900150116857408E-2</v>
      </c>
      <c r="Q1955">
        <v>5.1846286172135851E-3</v>
      </c>
      <c r="R1955">
        <v>1.6985610008766723E-3</v>
      </c>
      <c r="S1955">
        <v>0.25228020656450534</v>
      </c>
      <c r="T1955">
        <v>1.399145120338066</v>
      </c>
      <c r="U1955">
        <v>0.20674630621210971</v>
      </c>
      <c r="V1955">
        <v>0.24336101589856604</v>
      </c>
      <c r="W1955">
        <v>9.4256794324685408E-2</v>
      </c>
      <c r="X1955">
        <v>1.5042486675887029E-2</v>
      </c>
      <c r="Y1955">
        <v>4.6229231139028482E-3</v>
      </c>
    </row>
    <row r="1956" spans="1:25">
      <c r="A1956" s="1010"/>
      <c r="B1956" s="1351">
        <v>1706</v>
      </c>
      <c r="C1956" s="1014">
        <v>1.0072354654255731</v>
      </c>
      <c r="D1956" s="1014">
        <v>0.96970744736033976</v>
      </c>
      <c r="E1956" s="1014">
        <v>1.0323349260927117</v>
      </c>
      <c r="F1956" s="1014">
        <v>1.0086937068645536</v>
      </c>
      <c r="G1956" s="1014">
        <v>1.0065162854986227</v>
      </c>
      <c r="H1956" s="1014">
        <v>1.0090320545465898</v>
      </c>
      <c r="I1956" s="1014">
        <v>1.0035224964140612</v>
      </c>
      <c r="K1956">
        <v>2.4371293452629783</v>
      </c>
      <c r="L1956">
        <v>0</v>
      </c>
      <c r="M1956">
        <v>1.5482432521402181E-3</v>
      </c>
      <c r="N1956">
        <v>0.15536385401265945</v>
      </c>
      <c r="O1956">
        <v>2.0997824814382973E-2</v>
      </c>
      <c r="P1956">
        <v>2.9396040808704244E-2</v>
      </c>
      <c r="Q1956">
        <v>5.67459542541784E-3</v>
      </c>
      <c r="R1956">
        <v>1.5279897350254084E-3</v>
      </c>
      <c r="S1956">
        <v>0.26272271300306049</v>
      </c>
      <c r="T1956">
        <v>1.3842708921205389</v>
      </c>
      <c r="U1956">
        <v>0.21056068110546078</v>
      </c>
      <c r="V1956">
        <v>0.24608055511039292</v>
      </c>
      <c r="W1956">
        <v>0.10014505327442093</v>
      </c>
      <c r="X1956">
        <v>1.7778704747992303E-2</v>
      </c>
      <c r="Y1956">
        <v>4.1586843570583839E-3</v>
      </c>
    </row>
    <row r="1957" spans="1:25">
      <c r="A1957" s="1010"/>
      <c r="B1957" s="1351">
        <v>1707</v>
      </c>
      <c r="C1957" s="1014">
        <v>0.98775184993857523</v>
      </c>
      <c r="D1957" s="1014">
        <v>0.97986943059918086</v>
      </c>
      <c r="E1957" s="1014">
        <v>1.0048179882848856</v>
      </c>
      <c r="F1957" s="1014">
        <v>0.99473337596169031</v>
      </c>
      <c r="G1957" s="1014">
        <v>1.0010841289084469</v>
      </c>
      <c r="H1957" s="1014">
        <v>1.0091896287321274</v>
      </c>
      <c r="I1957" s="1014">
        <v>0.98282916288090327</v>
      </c>
      <c r="K1957">
        <v>2.4181244411298914</v>
      </c>
      <c r="L1957">
        <v>0</v>
      </c>
      <c r="M1957">
        <v>1.668220659235508E-3</v>
      </c>
      <c r="N1957">
        <v>0.1540669449547408</v>
      </c>
      <c r="O1957">
        <v>2.1344335324337854E-2</v>
      </c>
      <c r="P1957">
        <v>2.85729941292058E-2</v>
      </c>
      <c r="Q1957">
        <v>5.612460182377055E-3</v>
      </c>
      <c r="R1957">
        <v>1.6464010516934211E-3</v>
      </c>
      <c r="S1957">
        <v>0.26079354404100624</v>
      </c>
      <c r="T1957">
        <v>1.3645184008283693</v>
      </c>
      <c r="U1957">
        <v>0.21461854023127047</v>
      </c>
      <c r="V1957">
        <v>0.24647275412989764</v>
      </c>
      <c r="W1957">
        <v>0.10092264877816244</v>
      </c>
      <c r="X1957">
        <v>1.6742677211317336E-2</v>
      </c>
      <c r="Y1957">
        <v>4.4809609267486656E-3</v>
      </c>
    </row>
    <row r="1958" spans="1:25">
      <c r="A1958" s="1010"/>
      <c r="B1958" s="1351">
        <v>1708</v>
      </c>
      <c r="C1958" s="1014">
        <v>1.0119752839640654</v>
      </c>
      <c r="D1958" s="1014">
        <v>0.97203982571925496</v>
      </c>
      <c r="E1958" s="1014">
        <v>0.97969623866245681</v>
      </c>
      <c r="F1958" s="1014">
        <v>0.99815299813119862</v>
      </c>
      <c r="G1958" s="1014">
        <v>1.0194107977874411</v>
      </c>
      <c r="H1958" s="1014">
        <v>1.008565058899237</v>
      </c>
      <c r="I1958" s="1014">
        <v>1.0222396382667558</v>
      </c>
      <c r="K1958">
        <v>2.4111228935629598</v>
      </c>
      <c r="L1958">
        <v>0</v>
      </c>
      <c r="M1958">
        <v>1.7172472151620009E-3</v>
      </c>
      <c r="N1958">
        <v>0.14699558446815894</v>
      </c>
      <c r="O1958">
        <v>2.0853665118351416E-2</v>
      </c>
      <c r="P1958">
        <v>2.8111960899387684E-2</v>
      </c>
      <c r="Q1958">
        <v>5.3461237792610901E-3</v>
      </c>
      <c r="R1958">
        <v>1.6947724521511238E-3</v>
      </c>
      <c r="S1958">
        <v>0.26556405191851518</v>
      </c>
      <c r="T1958">
        <v>1.368667766782675</v>
      </c>
      <c r="U1958">
        <v>0.20939651155908062</v>
      </c>
      <c r="V1958">
        <v>0.24818324206824771</v>
      </c>
      <c r="W1958">
        <v>9.7747989140133995E-2</v>
      </c>
      <c r="X1958">
        <v>1.5665860658989929E-2</v>
      </c>
      <c r="Y1958">
        <v>4.6126119331666559E-3</v>
      </c>
    </row>
    <row r="1959" spans="1:25">
      <c r="A1959" s="1010"/>
      <c r="B1959" s="1351">
        <v>1709</v>
      </c>
      <c r="C1959" s="1014">
        <v>0.99810613230973577</v>
      </c>
      <c r="D1959" s="1014">
        <v>0.98793311240314152</v>
      </c>
      <c r="E1959" s="1014">
        <v>0.98360765648542836</v>
      </c>
      <c r="F1959" s="1014">
        <v>0.99276079580412846</v>
      </c>
      <c r="G1959" s="1014">
        <v>0.99379316131648188</v>
      </c>
      <c r="H1959" s="1014">
        <v>0.9835837533159838</v>
      </c>
      <c r="I1959" s="1014">
        <v>0.99000777551361685</v>
      </c>
      <c r="K1959">
        <v>2.3913495250949155</v>
      </c>
      <c r="L1959">
        <v>0</v>
      </c>
      <c r="M1959">
        <v>1.6783030257063523E-3</v>
      </c>
      <c r="N1959">
        <v>0.14532309278782624</v>
      </c>
      <c r="O1959">
        <v>2.1070731156683779E-2</v>
      </c>
      <c r="P1959">
        <v>2.796736485064992E-2</v>
      </c>
      <c r="Q1959">
        <v>5.4232696388755363E-3</v>
      </c>
      <c r="R1959">
        <v>1.6557800769145684E-3</v>
      </c>
      <c r="S1959">
        <v>0.25656705823872228</v>
      </c>
      <c r="T1959">
        <v>1.3613576445933011</v>
      </c>
      <c r="U1959">
        <v>0.21231953013926971</v>
      </c>
      <c r="V1959">
        <v>0.24464827424280561</v>
      </c>
      <c r="W1959">
        <v>9.6408160604624163E-2</v>
      </c>
      <c r="X1959">
        <v>1.5780434249340152E-2</v>
      </c>
      <c r="Y1959">
        <v>4.5064875416057958E-3</v>
      </c>
    </row>
    <row r="1960" spans="1:25">
      <c r="A1960" s="1010"/>
      <c r="B1960" s="1351">
        <v>1710</v>
      </c>
      <c r="C1960" s="1014">
        <v>0.99642961078551995</v>
      </c>
      <c r="D1960" s="1014">
        <v>1.0365481485918782</v>
      </c>
      <c r="E1960" s="1014">
        <v>0.9807496913145245</v>
      </c>
      <c r="F1960" s="1014">
        <v>0.9657144591590382</v>
      </c>
      <c r="G1960" s="1014">
        <v>1.0337800147546132</v>
      </c>
      <c r="H1960" s="1014">
        <v>0.98353269415854794</v>
      </c>
      <c r="I1960" s="1014">
        <v>1.031996542204616</v>
      </c>
      <c r="K1960">
        <v>2.3628549806243782</v>
      </c>
      <c r="L1960">
        <v>0</v>
      </c>
      <c r="M1960">
        <v>1.673230329850204E-3</v>
      </c>
      <c r="N1960">
        <v>0.14363650624319102</v>
      </c>
      <c r="O1960">
        <v>2.0882424265574673E-2</v>
      </c>
      <c r="P1960">
        <v>2.7571735463095597E-2</v>
      </c>
      <c r="Q1960">
        <v>5.3592310739522106E-3</v>
      </c>
      <c r="R1960">
        <v>1.6507742912829125E-3</v>
      </c>
      <c r="S1960">
        <v>0.26150283992051782</v>
      </c>
      <c r="T1960">
        <v>1.3242099434232906</v>
      </c>
      <c r="U1960">
        <v>0.21266698767071956</v>
      </c>
      <c r="V1960">
        <v>0.25159607049841415</v>
      </c>
      <c r="W1960">
        <v>9.5453568698371405E-2</v>
      </c>
      <c r="X1960">
        <v>1.5505265962545154E-2</v>
      </c>
      <c r="Y1960">
        <v>4.4928634432732165E-3</v>
      </c>
    </row>
    <row r="1961" spans="1:25">
      <c r="A1961" s="1010"/>
      <c r="B1961" s="1351">
        <v>1711</v>
      </c>
      <c r="C1961" s="1014">
        <v>1.0000385936653216</v>
      </c>
      <c r="D1961" s="1014">
        <v>1.0243954053267077</v>
      </c>
      <c r="E1961" s="1014">
        <v>1.0169484855901429</v>
      </c>
      <c r="F1961" s="1014">
        <v>0.97514923608522874</v>
      </c>
      <c r="G1961" s="1014">
        <v>0.99205477549505061</v>
      </c>
      <c r="H1961" s="1014">
        <v>0.95936692688330438</v>
      </c>
      <c r="I1961" s="1014">
        <v>0.98985246471518262</v>
      </c>
      <c r="K1961">
        <v>2.3581788734776228</v>
      </c>
      <c r="L1961">
        <v>0</v>
      </c>
      <c r="M1961">
        <v>1.5125316989851865E-3</v>
      </c>
      <c r="N1961">
        <v>0.1447988554159112</v>
      </c>
      <c r="O1961">
        <v>2.0885009983570547E-2</v>
      </c>
      <c r="P1961">
        <v>2.823989221326036E-2</v>
      </c>
      <c r="Q1961">
        <v>5.5586467840175423E-3</v>
      </c>
      <c r="R1961">
        <v>1.4917210338511126E-3</v>
      </c>
      <c r="S1961">
        <v>0.2496548913460141</v>
      </c>
      <c r="T1961">
        <v>1.3379103918208068</v>
      </c>
      <c r="U1961">
        <v>0.21202321189649626</v>
      </c>
      <c r="V1961">
        <v>0.24411233901902998</v>
      </c>
      <c r="W1961">
        <v>9.4175927901760201E-2</v>
      </c>
      <c r="X1961">
        <v>1.6780544853451228E-2</v>
      </c>
      <c r="Y1961">
        <v>4.0599729084360783E-3</v>
      </c>
    </row>
    <row r="1962" spans="1:25">
      <c r="A1962" s="1010"/>
      <c r="B1962" s="1351">
        <v>1712</v>
      </c>
      <c r="C1962" s="1014">
        <v>0.9715313096341901</v>
      </c>
      <c r="D1962" s="1014">
        <v>1.0004507441121744</v>
      </c>
      <c r="E1962" s="1014">
        <v>1.0018798686085932</v>
      </c>
      <c r="F1962" s="1014">
        <v>1.0053029166467393</v>
      </c>
      <c r="G1962" s="1014">
        <v>0.99291179577811617</v>
      </c>
      <c r="H1962" s="1014">
        <v>1.0273759933219038</v>
      </c>
      <c r="I1962" s="1014">
        <v>0.99229415392265485</v>
      </c>
      <c r="K1962">
        <v>2.4495542833304769</v>
      </c>
      <c r="L1962">
        <v>0</v>
      </c>
      <c r="M1962">
        <v>1.7292721068391907E-3</v>
      </c>
      <c r="N1962">
        <v>0.15833139384775669</v>
      </c>
      <c r="O1962">
        <v>2.1599677354648798E-2</v>
      </c>
      <c r="P1962">
        <v>2.8829995758326291E-2</v>
      </c>
      <c r="Q1962">
        <v>5.6628838977497587E-3</v>
      </c>
      <c r="R1962">
        <v>1.7070543534758412E-3</v>
      </c>
      <c r="S1962">
        <v>0.26648187210135621</v>
      </c>
      <c r="T1962">
        <v>1.3789531663657808</v>
      </c>
      <c r="U1962">
        <v>0.21819143615449038</v>
      </c>
      <c r="V1962">
        <v>0.24614236557382796</v>
      </c>
      <c r="W1962">
        <v>0.10389690077560179</v>
      </c>
      <c r="X1962">
        <v>1.6840770034453736E-2</v>
      </c>
      <c r="Y1962">
        <v>4.6460392198448535E-3</v>
      </c>
    </row>
    <row r="1963" spans="1:25">
      <c r="A1963" s="1010"/>
      <c r="B1963" s="1351">
        <v>1713</v>
      </c>
      <c r="C1963" s="1014">
        <v>0.99451697662652638</v>
      </c>
      <c r="D1963" s="1014">
        <v>0.96963675330358068</v>
      </c>
      <c r="E1963" s="1014">
        <v>0.99397279674246586</v>
      </c>
      <c r="F1963" s="1014">
        <v>1.0051460818558631</v>
      </c>
      <c r="G1963" s="1014">
        <v>0.97791658452527119</v>
      </c>
      <c r="H1963" s="1014">
        <v>0.99930320738442691</v>
      </c>
      <c r="I1963" s="1014">
        <v>1.0169972128085838</v>
      </c>
      <c r="K1963">
        <v>2.4278660080033014</v>
      </c>
      <c r="L1963">
        <v>0</v>
      </c>
      <c r="M1963">
        <v>1.681844077871079E-3</v>
      </c>
      <c r="N1963">
        <v>0.15029833924344213</v>
      </c>
      <c r="O1963">
        <v>2.1240872502990258E-2</v>
      </c>
      <c r="P1963">
        <v>2.8558806675087364E-2</v>
      </c>
      <c r="Q1963">
        <v>5.5246782925821112E-3</v>
      </c>
      <c r="R1963">
        <v>1.659628650758674E-3</v>
      </c>
      <c r="S1963">
        <v>0.26848590533520938</v>
      </c>
      <c r="T1963">
        <v>1.3785662150908784</v>
      </c>
      <c r="U1963">
        <v>0.2131213416266835</v>
      </c>
      <c r="V1963">
        <v>0.24212489269017959</v>
      </c>
      <c r="W1963">
        <v>9.9090967474366076E-2</v>
      </c>
      <c r="X1963">
        <v>1.6359242408065994E-2</v>
      </c>
      <c r="Y1963">
        <v>4.5169620909274238E-3</v>
      </c>
    </row>
    <row r="1964" spans="1:25">
      <c r="A1964" s="1010"/>
      <c r="B1964" s="1351">
        <v>1714</v>
      </c>
      <c r="C1964" s="1014">
        <v>0.99844878738433573</v>
      </c>
      <c r="D1964" s="1014">
        <v>1.0080370809730483</v>
      </c>
      <c r="E1964" s="1014">
        <v>1.0256071368176505</v>
      </c>
      <c r="F1964" s="1014">
        <v>0.99765526433555962</v>
      </c>
      <c r="G1964" s="1014">
        <v>1.0091612224493349</v>
      </c>
      <c r="H1964" s="1014">
        <v>0.98173911385295021</v>
      </c>
      <c r="I1964" s="1014">
        <v>1.0141855371576076</v>
      </c>
      <c r="K1964">
        <v>2.4133010773512997</v>
      </c>
      <c r="L1964">
        <v>0</v>
      </c>
      <c r="M1964">
        <v>1.5279854299380981E-3</v>
      </c>
      <c r="N1964">
        <v>0.15019696878387423</v>
      </c>
      <c r="O1964">
        <v>2.0998241629831139E-2</v>
      </c>
      <c r="P1964">
        <v>2.904574413668546E-2</v>
      </c>
      <c r="Q1964">
        <v>5.6370654949413467E-3</v>
      </c>
      <c r="R1964">
        <v>1.5074412250700615E-3</v>
      </c>
      <c r="S1964">
        <v>0.26028247357446449</v>
      </c>
      <c r="T1964">
        <v>1.3689764060960812</v>
      </c>
      <c r="U1964">
        <v>0.21239055082414243</v>
      </c>
      <c r="V1964">
        <v>0.24710091658490058</v>
      </c>
      <c r="W1964">
        <v>9.7193699824966492E-2</v>
      </c>
      <c r="X1964">
        <v>1.7396796519506867E-2</v>
      </c>
      <c r="Y1964">
        <v>4.1027580867744155E-3</v>
      </c>
    </row>
    <row r="1965" spans="1:25">
      <c r="A1965" s="1010"/>
      <c r="B1965" s="1351">
        <v>1715</v>
      </c>
      <c r="C1965" s="1014">
        <v>0.98749602501421863</v>
      </c>
      <c r="D1965" s="1014">
        <v>0.97501507373442409</v>
      </c>
      <c r="E1965" s="1014">
        <v>1.0151726397758278</v>
      </c>
      <c r="F1965" s="1014">
        <v>1.0005650257556775</v>
      </c>
      <c r="G1965" s="1014">
        <v>0.97216339358300174</v>
      </c>
      <c r="H1965" s="1014">
        <v>0.9777994866009363</v>
      </c>
      <c r="I1965" s="1014">
        <v>1.0095463135609122</v>
      </c>
      <c r="K1965">
        <v>2.4213948288562395</v>
      </c>
      <c r="L1965">
        <v>0</v>
      </c>
      <c r="M1965">
        <v>1.5840725605875136E-3</v>
      </c>
      <c r="N1965">
        <v>0.15087683905748925</v>
      </c>
      <c r="O1965">
        <v>2.1380213488590677E-2</v>
      </c>
      <c r="P1965">
        <v>2.8910123183423803E-2</v>
      </c>
      <c r="Q1965">
        <v>5.6803885014026934E-3</v>
      </c>
      <c r="R1965">
        <v>1.5626884355751682E-3</v>
      </c>
      <c r="S1965">
        <v>0.26596407508441638</v>
      </c>
      <c r="T1965">
        <v>1.3727424500500292</v>
      </c>
      <c r="U1965">
        <v>0.21471003837852737</v>
      </c>
      <c r="V1965">
        <v>0.24151574447552651</v>
      </c>
      <c r="W1965">
        <v>9.8231318326090541E-2</v>
      </c>
      <c r="X1965">
        <v>1.7151899654222522E-2</v>
      </c>
      <c r="Y1965">
        <v>4.2531227815312701E-3</v>
      </c>
    </row>
    <row r="1966" spans="1:25">
      <c r="A1966" s="1010"/>
      <c r="B1966" s="1351">
        <v>1716</v>
      </c>
      <c r="C1966" s="1014">
        <v>0.99311845674890287</v>
      </c>
      <c r="D1966" s="1014">
        <v>0.95718886019435123</v>
      </c>
      <c r="E1966" s="1014">
        <v>0.99165167978636892</v>
      </c>
      <c r="F1966" s="1014">
        <v>0.96710717304187677</v>
      </c>
      <c r="G1966" s="1014">
        <v>0.99181309257133077</v>
      </c>
      <c r="H1966" s="1014">
        <v>0.98180457399982812</v>
      </c>
      <c r="I1966" s="1014">
        <v>0.96822126887924642</v>
      </c>
      <c r="K1966">
        <v>2.3611024648252767</v>
      </c>
      <c r="L1966">
        <v>0</v>
      </c>
      <c r="M1966">
        <v>1.6674308058489756E-3</v>
      </c>
      <c r="N1966">
        <v>0.14793315135522647</v>
      </c>
      <c r="O1966">
        <v>2.1329769597139565E-2</v>
      </c>
      <c r="P1966">
        <v>2.7671291060103624E-2</v>
      </c>
      <c r="Q1966">
        <v>5.5348198986163938E-3</v>
      </c>
      <c r="R1966">
        <v>1.6450132124319183E-3</v>
      </c>
      <c r="S1966">
        <v>0.25616304367253184</v>
      </c>
      <c r="T1966">
        <v>1.3263470555341421</v>
      </c>
      <c r="U1966">
        <v>0.2134134813285315</v>
      </c>
      <c r="V1966">
        <v>0.24459502760746524</v>
      </c>
      <c r="W1966">
        <v>9.7667019954909423E-2</v>
      </c>
      <c r="X1966">
        <v>1.5993038724246355E-2</v>
      </c>
      <c r="Y1966">
        <v>4.4771836857799433E-3</v>
      </c>
    </row>
    <row r="1967" spans="1:25">
      <c r="A1967" s="1010"/>
      <c r="B1967" s="1351">
        <v>1717</v>
      </c>
      <c r="C1967" s="1014">
        <v>0.97750770400760212</v>
      </c>
      <c r="D1967" s="1014">
        <v>0.99356387695590098</v>
      </c>
      <c r="E1967" s="1014">
        <v>1.001346135053591</v>
      </c>
      <c r="F1967" s="1014">
        <v>1.0276227092126584</v>
      </c>
      <c r="G1967" s="1014">
        <v>0.98975725980600915</v>
      </c>
      <c r="H1967" s="1014">
        <v>1.0090152560315149</v>
      </c>
      <c r="I1967" s="1014">
        <v>1.0385257897911364</v>
      </c>
      <c r="K1967">
        <v>2.4822554604314124</v>
      </c>
      <c r="L1967">
        <v>0</v>
      </c>
      <c r="M1967">
        <v>1.6924240546661467E-3</v>
      </c>
      <c r="N1967">
        <v>0.15467132023999544</v>
      </c>
      <c r="O1967">
        <v>2.1499904263746889E-2</v>
      </c>
      <c r="P1967">
        <v>2.9342262299696831E-2</v>
      </c>
      <c r="Q1967">
        <v>5.6337053568980867E-3</v>
      </c>
      <c r="R1967">
        <v>1.6702840516812361E-3</v>
      </c>
      <c r="S1967">
        <v>0.2764823069483891</v>
      </c>
      <c r="T1967">
        <v>1.4095568965843581</v>
      </c>
      <c r="U1967">
        <v>0.21685556641932779</v>
      </c>
      <c r="V1967">
        <v>0.24521290106822438</v>
      </c>
      <c r="W1967">
        <v>0.10152732479457</v>
      </c>
      <c r="X1967">
        <v>1.6949449879502223E-2</v>
      </c>
      <c r="Y1967">
        <v>4.5459625796866673E-3</v>
      </c>
    </row>
    <row r="1968" spans="1:25">
      <c r="A1968" s="1010"/>
      <c r="B1968" s="1351">
        <v>1718</v>
      </c>
      <c r="C1968" s="1014">
        <v>1.0020732612151018</v>
      </c>
      <c r="D1968" s="1014">
        <v>0.98112917511580722</v>
      </c>
      <c r="E1968" s="1014">
        <v>1.0101727146203501</v>
      </c>
      <c r="F1968" s="1014">
        <v>0.99333806720935447</v>
      </c>
      <c r="G1968" s="1014">
        <v>1.0041226013564288</v>
      </c>
      <c r="H1968" s="1014">
        <v>0.99206790068311401</v>
      </c>
      <c r="I1968" s="1014">
        <v>0.98159308738933837</v>
      </c>
      <c r="K1968">
        <v>2.3996220481539643</v>
      </c>
      <c r="L1968">
        <v>0</v>
      </c>
      <c r="M1968">
        <v>1.598152781990792E-3</v>
      </c>
      <c r="N1968">
        <v>0.14996744073469562</v>
      </c>
      <c r="O1968">
        <v>2.1036906233198968E-2</v>
      </c>
      <c r="P1968">
        <v>2.8537199075398721E-2</v>
      </c>
      <c r="Q1968">
        <v>5.5613524000552835E-3</v>
      </c>
      <c r="R1968">
        <v>1.5768888724683021E-3</v>
      </c>
      <c r="S1968">
        <v>0.25518768282607673</v>
      </c>
      <c r="T1968">
        <v>1.3627196101095844</v>
      </c>
      <c r="U1968">
        <v>0.21156954619933113</v>
      </c>
      <c r="V1968">
        <v>0.24606956767064284</v>
      </c>
      <c r="W1968">
        <v>9.7926927917311515E-2</v>
      </c>
      <c r="X1968">
        <v>1.6775307207609565E-2</v>
      </c>
      <c r="Y1968">
        <v>4.2917716895816138E-3</v>
      </c>
    </row>
    <row r="1969" spans="1:25">
      <c r="A1969" s="1010"/>
      <c r="B1969" s="1351">
        <v>1719</v>
      </c>
      <c r="C1969" s="1014">
        <v>1.0171279767554433</v>
      </c>
      <c r="D1969" s="1014">
        <v>1.014115650886118</v>
      </c>
      <c r="E1969" s="1014">
        <v>0.97890163158137777</v>
      </c>
      <c r="F1969" s="1014">
        <v>0.98583214408422548</v>
      </c>
      <c r="G1969" s="1014">
        <v>1.012395728816168</v>
      </c>
      <c r="H1969" s="1014">
        <v>0.9915208685555581</v>
      </c>
      <c r="I1969" s="1014">
        <v>0.98634068271252429</v>
      </c>
      <c r="K1969">
        <v>2.3651676938258848</v>
      </c>
      <c r="L1969">
        <v>0</v>
      </c>
      <c r="M1969">
        <v>1.6668242601679964E-3</v>
      </c>
      <c r="N1969">
        <v>0.1423043182831345</v>
      </c>
      <c r="O1969">
        <v>2.0554980180300525E-2</v>
      </c>
      <c r="P1969">
        <v>2.7599792483880777E-2</v>
      </c>
      <c r="Q1969">
        <v>5.2652959625207009E-3</v>
      </c>
      <c r="R1969">
        <v>1.6446344201032225E-3</v>
      </c>
      <c r="S1969">
        <v>0.24817823417908702</v>
      </c>
      <c r="T1969">
        <v>1.3517565369565516</v>
      </c>
      <c r="U1969">
        <v>0.20833306327243775</v>
      </c>
      <c r="V1969">
        <v>0.24667531398411391</v>
      </c>
      <c r="W1969">
        <v>9.4673866247582894E-2</v>
      </c>
      <c r="X1969">
        <v>1.5372329378409136E-2</v>
      </c>
      <c r="Y1969">
        <v>4.47615273793009E-3</v>
      </c>
    </row>
    <row r="1970" spans="1:25">
      <c r="A1970" s="1010"/>
      <c r="B1970" s="1351">
        <v>1720</v>
      </c>
      <c r="C1970" s="1014">
        <v>0.98634829631253107</v>
      </c>
      <c r="D1970" s="1014">
        <v>0.97017358295357103</v>
      </c>
      <c r="E1970" s="1014">
        <v>1.0074942627394619</v>
      </c>
      <c r="F1970" s="1014">
        <v>1.0187811651102976</v>
      </c>
      <c r="G1970" s="1014">
        <v>0.97338168428618255</v>
      </c>
      <c r="H1970" s="1014">
        <v>1.0198169110333539</v>
      </c>
      <c r="I1970" s="1014">
        <v>0.97380935527880141</v>
      </c>
      <c r="K1970">
        <v>2.4520612788267555</v>
      </c>
      <c r="L1970">
        <v>0</v>
      </c>
      <c r="M1970">
        <v>1.682508877834218E-3</v>
      </c>
      <c r="N1970">
        <v>0.15666906790179558</v>
      </c>
      <c r="O1970">
        <v>2.1423336146641048E-2</v>
      </c>
      <c r="P1970">
        <v>2.9026394284433536E-2</v>
      </c>
      <c r="Q1970">
        <v>5.6483562505956486E-3</v>
      </c>
      <c r="R1970">
        <v>1.6607317112367283E-3</v>
      </c>
      <c r="S1970">
        <v>0.26098665867377352</v>
      </c>
      <c r="T1970">
        <v>1.3975648266873306</v>
      </c>
      <c r="U1970">
        <v>0.21493322168542695</v>
      </c>
      <c r="V1970">
        <v>0.2418233566924112</v>
      </c>
      <c r="W1970">
        <v>0.10246486539280171</v>
      </c>
      <c r="X1970">
        <v>1.7023008020215703E-2</v>
      </c>
      <c r="Y1970">
        <v>4.5199642579248972E-3</v>
      </c>
    </row>
    <row r="1971" spans="1:25">
      <c r="A1971" s="1010"/>
      <c r="B1971" s="1351">
        <v>1721</v>
      </c>
      <c r="C1971" s="1014">
        <v>1.0105053549942118</v>
      </c>
      <c r="D1971" s="1014">
        <v>1.0170731277602241</v>
      </c>
      <c r="E1971" s="1014">
        <v>1.0031335417103293</v>
      </c>
      <c r="F1971" s="1014">
        <v>0.96629772957023496</v>
      </c>
      <c r="G1971" s="1014">
        <v>1.0113647109584272</v>
      </c>
      <c r="H1971" s="1014">
        <v>0.96847936830324777</v>
      </c>
      <c r="I1971" s="1014">
        <v>0.97508849961001365</v>
      </c>
      <c r="K1971">
        <v>2.3379458805510347</v>
      </c>
      <c r="L1971">
        <v>0</v>
      </c>
      <c r="M1971">
        <v>1.5575364995160216E-3</v>
      </c>
      <c r="N1971">
        <v>0.143035121052661</v>
      </c>
      <c r="O1971">
        <v>2.0692275262941585E-2</v>
      </c>
      <c r="P1971">
        <v>2.7724296607087917E-2</v>
      </c>
      <c r="Q1971">
        <v>5.4318174446560232E-3</v>
      </c>
      <c r="R1971">
        <v>1.5363082551714984E-3</v>
      </c>
      <c r="S1971">
        <v>0.24490027788966598</v>
      </c>
      <c r="T1971">
        <v>1.3254767741579796</v>
      </c>
      <c r="U1971">
        <v>0.20978028240628713</v>
      </c>
      <c r="V1971">
        <v>0.24681181390445991</v>
      </c>
      <c r="W1971">
        <v>9.3789730099744423E-2</v>
      </c>
      <c r="X1971">
        <v>1.6143395343196181E-2</v>
      </c>
      <c r="Y1971">
        <v>4.1813246266966123E-3</v>
      </c>
    </row>
    <row r="1972" spans="1:25">
      <c r="A1972" s="1010"/>
      <c r="B1972" s="1351">
        <v>1722</v>
      </c>
      <c r="C1972" s="1014">
        <v>1.0152710966723713</v>
      </c>
      <c r="D1972" s="1014">
        <v>0.97022115744320048</v>
      </c>
      <c r="E1972" s="1014">
        <v>1.0025181697456915</v>
      </c>
      <c r="F1972" s="1014">
        <v>0.99335848406395477</v>
      </c>
      <c r="G1972" s="1014">
        <v>1.0132014876254429</v>
      </c>
      <c r="H1972" s="1014">
        <v>0.9839003847433847</v>
      </c>
      <c r="I1972" s="1014">
        <v>1.0110189932252147</v>
      </c>
      <c r="K1972">
        <v>2.3956119950028927</v>
      </c>
      <c r="L1972">
        <v>0</v>
      </c>
      <c r="M1972">
        <v>1.5933680691091361E-3</v>
      </c>
      <c r="N1972">
        <v>0.14608558006811634</v>
      </c>
      <c r="O1972">
        <v>2.0809531626325598E-2</v>
      </c>
      <c r="P1972">
        <v>2.8414009572020376E-2</v>
      </c>
      <c r="Q1972">
        <v>5.4592251599590337E-3</v>
      </c>
      <c r="R1972">
        <v>1.5719918349719965E-3</v>
      </c>
      <c r="S1972">
        <v>0.26012910803786099</v>
      </c>
      <c r="T1972">
        <v>1.3625829555797964</v>
      </c>
      <c r="U1972">
        <v>0.20879348877871204</v>
      </c>
      <c r="V1972">
        <v>0.2468378515530793</v>
      </c>
      <c r="W1972">
        <v>9.5824913093489214E-2</v>
      </c>
      <c r="X1972">
        <v>1.6418264199843775E-2</v>
      </c>
      <c r="Y1972">
        <v>4.2784435678246465E-3</v>
      </c>
    </row>
    <row r="1973" spans="1:25">
      <c r="A1973" s="1010"/>
      <c r="B1973" s="1351">
        <v>1723</v>
      </c>
      <c r="C1973" s="1014">
        <v>1.005312805656926</v>
      </c>
      <c r="D1973" s="1014">
        <v>0.98467094129161248</v>
      </c>
      <c r="E1973" s="1014">
        <v>0.98592216665271892</v>
      </c>
      <c r="F1973" s="1014">
        <v>1.0284235458370179</v>
      </c>
      <c r="G1973" s="1014">
        <v>0.97449195597510752</v>
      </c>
      <c r="H1973" s="1014">
        <v>1.0013412826864059</v>
      </c>
      <c r="I1973" s="1014">
        <v>1.039219130630761</v>
      </c>
      <c r="K1973">
        <v>2.4521437152819554</v>
      </c>
      <c r="L1973">
        <v>0</v>
      </c>
      <c r="M1973">
        <v>1.6894782417450499E-3</v>
      </c>
      <c r="N1973">
        <v>0.14735398051480642</v>
      </c>
      <c r="O1973">
        <v>2.0936440865067046E-2</v>
      </c>
      <c r="P1973">
        <v>2.8779826242619506E-2</v>
      </c>
      <c r="Q1973">
        <v>5.401363494719663E-3</v>
      </c>
      <c r="R1973">
        <v>1.6672073965038213E-3</v>
      </c>
      <c r="S1973">
        <v>0.26942173636684469</v>
      </c>
      <c r="T1973">
        <v>1.4103127473304669</v>
      </c>
      <c r="U1973">
        <v>0.21080534947000015</v>
      </c>
      <c r="V1973">
        <v>0.2408945050553328</v>
      </c>
      <c r="W1973">
        <v>9.7619453781866344E-2</v>
      </c>
      <c r="X1973">
        <v>1.6102994066957185E-2</v>
      </c>
      <c r="Y1973">
        <v>4.537588938512852E-3</v>
      </c>
    </row>
    <row r="1974" spans="1:25">
      <c r="A1974" s="1010"/>
      <c r="B1974" s="1351">
        <v>1724</v>
      </c>
      <c r="C1974" s="1014">
        <v>1.008015630054192</v>
      </c>
      <c r="D1974" s="1014">
        <v>1.0184552640916054</v>
      </c>
      <c r="E1974" s="1014">
        <v>0.99077858612298075</v>
      </c>
      <c r="F1974" s="1014">
        <v>1.018023044869016</v>
      </c>
      <c r="G1974" s="1014">
        <v>0.99272448130108282</v>
      </c>
      <c r="H1974" s="1014">
        <v>1.0015331951916244</v>
      </c>
      <c r="I1974" s="1014">
        <v>1.0159118602683015</v>
      </c>
      <c r="K1974">
        <v>2.42719090140274</v>
      </c>
      <c r="L1974">
        <v>0</v>
      </c>
      <c r="M1974">
        <v>1.6560735119502869E-3</v>
      </c>
      <c r="N1974">
        <v>0.14657757857575338</v>
      </c>
      <c r="O1974">
        <v>2.0729089280802974E-2</v>
      </c>
      <c r="P1974">
        <v>2.8575388350809909E-2</v>
      </c>
      <c r="Q1974">
        <v>5.3742089510567786E-3</v>
      </c>
      <c r="R1974">
        <v>1.6342471938184265E-3</v>
      </c>
      <c r="S1974">
        <v>0.25833116750375562</v>
      </c>
      <c r="T1974">
        <v>1.396156855598927</v>
      </c>
      <c r="U1974">
        <v>0.21025654823490705</v>
      </c>
      <c r="V1974">
        <v>0.24382547212421624</v>
      </c>
      <c r="W1974">
        <v>9.6822636451421043E-2</v>
      </c>
      <c r="X1974">
        <v>1.6115900517090786E-2</v>
      </c>
      <c r="Y1974">
        <v>4.4478821321311014E-3</v>
      </c>
    </row>
    <row r="1975" spans="1:25">
      <c r="A1975" s="1010"/>
      <c r="B1975" s="1351">
        <v>1725</v>
      </c>
      <c r="C1975" s="1014">
        <v>0.97516969982844881</v>
      </c>
      <c r="D1975" s="1014">
        <v>1.0258555314455817</v>
      </c>
      <c r="E1975" s="1014">
        <v>1.0368581269356145</v>
      </c>
      <c r="F1975" s="1014">
        <v>0.98009549536836038</v>
      </c>
      <c r="G1975" s="1014">
        <v>1.0059828881295856</v>
      </c>
      <c r="H1975" s="1014">
        <v>1.0160403545197745</v>
      </c>
      <c r="I1975" s="1014">
        <v>0.95779908975829531</v>
      </c>
      <c r="K1975">
        <v>2.4046959800626553</v>
      </c>
      <c r="L1975">
        <v>0</v>
      </c>
      <c r="M1975">
        <v>1.5755124143714515E-3</v>
      </c>
      <c r="N1975">
        <v>0.16028473411584454</v>
      </c>
      <c r="O1975">
        <v>2.142444070272078E-2</v>
      </c>
      <c r="P1975">
        <v>2.8923416564967764E-2</v>
      </c>
      <c r="Q1975">
        <v>5.8157722572528903E-3</v>
      </c>
      <c r="R1975">
        <v>1.5550443350844396E-3</v>
      </c>
      <c r="S1975">
        <v>0.25242475162938965</v>
      </c>
      <c r="T1975">
        <v>1.3451209409659592</v>
      </c>
      <c r="U1975">
        <v>0.21750032551432036</v>
      </c>
      <c r="V1975">
        <v>0.2480118860110897</v>
      </c>
      <c r="W1975">
        <v>0.1030470331865863</v>
      </c>
      <c r="X1975">
        <v>1.7930829133937499E-2</v>
      </c>
      <c r="Y1975">
        <v>4.2323180598725536E-3</v>
      </c>
    </row>
    <row r="1976" spans="1:25">
      <c r="A1976" s="1010"/>
      <c r="B1976" s="1351">
        <v>1726</v>
      </c>
      <c r="C1976" s="1014">
        <v>0.99331881316242099</v>
      </c>
      <c r="D1976" s="1014">
        <v>1.0047534568302636</v>
      </c>
      <c r="E1976" s="1014">
        <v>0.98142740126064598</v>
      </c>
      <c r="F1976" s="1014">
        <v>0.99862201179116439</v>
      </c>
      <c r="G1976" s="1014">
        <v>0.95553034576142537</v>
      </c>
      <c r="H1976" s="1014">
        <v>0.99248994180156813</v>
      </c>
      <c r="I1976" s="1014">
        <v>1.0214565586182927</v>
      </c>
      <c r="K1976">
        <v>2.4043298026369193</v>
      </c>
      <c r="L1976">
        <v>0</v>
      </c>
      <c r="M1976">
        <v>1.7030166378127814E-3</v>
      </c>
      <c r="N1976">
        <v>0.14651151833558113</v>
      </c>
      <c r="O1976">
        <v>2.1092339746647971E-2</v>
      </c>
      <c r="P1976">
        <v>2.8065477372697569E-2</v>
      </c>
      <c r="Q1976">
        <v>5.4168311338528615E-3</v>
      </c>
      <c r="R1976">
        <v>1.6803671182076202E-3</v>
      </c>
      <c r="S1976">
        <v>0.26450429552819016</v>
      </c>
      <c r="T1976">
        <v>1.3693481191978545</v>
      </c>
      <c r="U1976">
        <v>0.21333532646695896</v>
      </c>
      <c r="V1976">
        <v>0.23841973761872351</v>
      </c>
      <c r="W1976">
        <v>9.7324355970661594E-2</v>
      </c>
      <c r="X1976">
        <v>1.5761045422464849E-2</v>
      </c>
      <c r="Y1976">
        <v>4.573405362889498E-3</v>
      </c>
    </row>
    <row r="1977" spans="1:25">
      <c r="A1977" s="1010"/>
      <c r="B1977" s="1351">
        <v>1727</v>
      </c>
      <c r="C1977" s="1014">
        <v>1.0317005592919588</v>
      </c>
      <c r="D1977" s="1014">
        <v>1.0018806361702415</v>
      </c>
      <c r="E1977" s="1014">
        <v>0.9956813533366724</v>
      </c>
      <c r="F1977" s="1014">
        <v>1.0031109718650841</v>
      </c>
      <c r="G1977" s="1014">
        <v>0.986233684209332</v>
      </c>
      <c r="H1977" s="1014">
        <v>0.9877571786967112</v>
      </c>
      <c r="I1977" s="1014">
        <v>1.010177105520941</v>
      </c>
      <c r="K1977">
        <v>2.3847220046274025</v>
      </c>
      <c r="L1977">
        <v>0</v>
      </c>
      <c r="M1977">
        <v>1.5853812857734237E-3</v>
      </c>
      <c r="N1977">
        <v>0.14238913921877663</v>
      </c>
      <c r="O1977">
        <v>2.03295992378771E-2</v>
      </c>
      <c r="P1977">
        <v>2.8216788948307227E-2</v>
      </c>
      <c r="Q1977">
        <v>5.2967741909234305E-3</v>
      </c>
      <c r="R1977">
        <v>1.5641952475694255E-3</v>
      </c>
      <c r="S1977">
        <v>0.25193314962819996</v>
      </c>
      <c r="T1977">
        <v>1.3758120740436386</v>
      </c>
      <c r="U1977">
        <v>0.20544587855588473</v>
      </c>
      <c r="V1977">
        <v>0.24127844258141254</v>
      </c>
      <c r="W1977">
        <v>9.3780799670548379E-2</v>
      </c>
      <c r="X1977">
        <v>1.6003320762976316E-2</v>
      </c>
      <c r="Y1977">
        <v>4.2572238270591964E-3</v>
      </c>
    </row>
    <row r="1978" spans="1:25">
      <c r="A1978" s="1010"/>
      <c r="B1978" s="1351">
        <v>1728</v>
      </c>
      <c r="C1978" s="1014">
        <v>0.99057472827563409</v>
      </c>
      <c r="D1978" s="1014">
        <v>0.98352534395870805</v>
      </c>
      <c r="E1978" s="1014">
        <v>0.99602648746491784</v>
      </c>
      <c r="F1978" s="1014">
        <v>0.99403806252981985</v>
      </c>
      <c r="G1978" s="1014">
        <v>0.99818075184511179</v>
      </c>
      <c r="H1978" s="1014">
        <v>1.0232826481035027</v>
      </c>
      <c r="I1978" s="1014">
        <v>0.99512264018466257</v>
      </c>
      <c r="K1978">
        <v>2.4193515406738841</v>
      </c>
      <c r="L1978">
        <v>0</v>
      </c>
      <c r="M1978">
        <v>1.7163329560343284E-3</v>
      </c>
      <c r="N1978">
        <v>0.15438383794343818</v>
      </c>
      <c r="O1978">
        <v>2.1260166981958192E-2</v>
      </c>
      <c r="P1978">
        <v>2.8396309089697251E-2</v>
      </c>
      <c r="Q1978">
        <v>5.5411553375058781E-3</v>
      </c>
      <c r="R1978">
        <v>1.6941932347015807E-3</v>
      </c>
      <c r="S1978">
        <v>0.2639465495110882</v>
      </c>
      <c r="T1978">
        <v>1.3633755824002727</v>
      </c>
      <c r="U1978">
        <v>0.21397659433335803</v>
      </c>
      <c r="V1978">
        <v>0.24582831059711294</v>
      </c>
      <c r="W1978">
        <v>0.10165986337825325</v>
      </c>
      <c r="X1978">
        <v>1.6394275328322001E-2</v>
      </c>
      <c r="Y1978">
        <v>4.6110354942079795E-3</v>
      </c>
    </row>
    <row r="1979" spans="1:25">
      <c r="A1979" s="1010"/>
      <c r="B1979" s="1351">
        <v>1729</v>
      </c>
      <c r="C1979" s="1014">
        <v>0.98563988482431664</v>
      </c>
      <c r="D1979" s="1014">
        <v>0.98624222920499227</v>
      </c>
      <c r="E1979" s="1014">
        <v>1.0125701303299723</v>
      </c>
      <c r="F1979" s="1014">
        <v>1.019870728201552</v>
      </c>
      <c r="G1979" s="1014">
        <v>0.9930649029606321</v>
      </c>
      <c r="H1979" s="1014">
        <v>0.97515112662796366</v>
      </c>
      <c r="I1979" s="1014">
        <v>1.0157018901371297</v>
      </c>
      <c r="K1979">
        <v>2.4513230802761492</v>
      </c>
      <c r="L1979">
        <v>0</v>
      </c>
      <c r="M1979">
        <v>1.5873397079609116E-3</v>
      </c>
      <c r="N1979">
        <v>0.14999955680391119</v>
      </c>
      <c r="O1979">
        <v>2.136482897646828E-2</v>
      </c>
      <c r="P1979">
        <v>2.9279611922244955E-2</v>
      </c>
      <c r="Q1979">
        <v>5.6615843996447035E-3</v>
      </c>
      <c r="R1979">
        <v>1.5658532824564136E-3</v>
      </c>
      <c r="S1979">
        <v>0.26628799699196143</v>
      </c>
      <c r="T1979">
        <v>1.3991716775176279</v>
      </c>
      <c r="U1979">
        <v>0.21510533178991842</v>
      </c>
      <c r="V1979">
        <v>0.24521169124797818</v>
      </c>
      <c r="W1979">
        <v>9.7809677608865206E-2</v>
      </c>
      <c r="X1979">
        <v>1.7190872991582649E-2</v>
      </c>
      <c r="Y1979">
        <v>4.2617364514505223E-3</v>
      </c>
    </row>
    <row r="1980" spans="1:25">
      <c r="A1980" s="1010"/>
      <c r="B1980" s="1351">
        <v>1730</v>
      </c>
      <c r="C1980" s="1014">
        <v>1.0035443256716343</v>
      </c>
      <c r="D1980" s="1014">
        <v>1.041278327223115</v>
      </c>
      <c r="E1980" s="1014">
        <v>1.0282476051914113</v>
      </c>
      <c r="F1980" s="1014">
        <v>0.98622332593116924</v>
      </c>
      <c r="G1980" s="1014">
        <v>0.96896411685039585</v>
      </c>
      <c r="H1980" s="1014">
        <v>1.0171849734938816</v>
      </c>
      <c r="I1980" s="1014">
        <v>1.0251034798100211</v>
      </c>
      <c r="K1980">
        <v>2.395618434571106</v>
      </c>
      <c r="L1980">
        <v>0</v>
      </c>
      <c r="M1980">
        <v>1.5553350392655183E-3</v>
      </c>
      <c r="N1980">
        <v>0.15418063388289235</v>
      </c>
      <c r="O1980">
        <v>2.0744772451147468E-2</v>
      </c>
      <c r="P1980">
        <v>2.8773547174052526E-2</v>
      </c>
      <c r="Q1980">
        <v>5.5836028263820323E-3</v>
      </c>
      <c r="R1980">
        <v>1.5351518292803991E-3</v>
      </c>
      <c r="S1980">
        <v>0.26061906177704225</v>
      </c>
      <c r="T1980">
        <v>1.353346188633161</v>
      </c>
      <c r="U1980">
        <v>0.21132115943346341</v>
      </c>
      <c r="V1980">
        <v>0.23991504282421341</v>
      </c>
      <c r="W1980">
        <v>9.9618388220102799E-2</v>
      </c>
      <c r="X1980">
        <v>1.7358043341998284E-2</v>
      </c>
      <c r="Y1980">
        <v>4.1781772166367311E-3</v>
      </c>
    </row>
    <row r="1981" spans="1:25">
      <c r="A1981" s="1010"/>
      <c r="B1981" s="1351">
        <v>1731</v>
      </c>
      <c r="C1981" s="1014">
        <v>1.0228827615608531</v>
      </c>
      <c r="D1981" s="1014">
        <v>1.0123349674555562</v>
      </c>
      <c r="E1981" s="1014">
        <v>1.0093695889072374</v>
      </c>
      <c r="F1981" s="1014">
        <v>1.000049631429629</v>
      </c>
      <c r="G1981" s="1014">
        <v>0.99692183508024557</v>
      </c>
      <c r="H1981" s="1014">
        <v>1.0346590556589321</v>
      </c>
      <c r="I1981" s="1014">
        <v>0.98554807750031581</v>
      </c>
      <c r="K1981">
        <v>2.4001573691533835</v>
      </c>
      <c r="L1981">
        <v>0</v>
      </c>
      <c r="M1981">
        <v>1.6243544334882834E-3</v>
      </c>
      <c r="N1981">
        <v>0.15214142018707577</v>
      </c>
      <c r="O1981">
        <v>2.0466937852094177E-2</v>
      </c>
      <c r="P1981">
        <v>2.8489583380256749E-2</v>
      </c>
      <c r="Q1981">
        <v>5.4063318996927599E-3</v>
      </c>
      <c r="R1981">
        <v>1.6036315706084295E-3</v>
      </c>
      <c r="S1981">
        <v>0.25056528251088733</v>
      </c>
      <c r="T1981">
        <v>1.3719095239342374</v>
      </c>
      <c r="U1981">
        <v>0.20726269292880156</v>
      </c>
      <c r="V1981">
        <v>0.24357617006040588</v>
      </c>
      <c r="W1981">
        <v>9.9393578803007337E-2</v>
      </c>
      <c r="X1981">
        <v>1.6602013961611154E-2</v>
      </c>
      <c r="Y1981">
        <v>4.364556498190968E-3</v>
      </c>
    </row>
    <row r="1982" spans="1:25">
      <c r="A1982" s="1010"/>
      <c r="B1982" s="1351">
        <v>1732</v>
      </c>
      <c r="C1982" s="1014">
        <v>0.99369121253439541</v>
      </c>
      <c r="D1982" s="1014">
        <v>1.0088698876726603</v>
      </c>
      <c r="E1982" s="1014">
        <v>0.97629072930165084</v>
      </c>
      <c r="F1982" s="1014">
        <v>1.0355465962173709</v>
      </c>
      <c r="G1982" s="1014">
        <v>1.005407043116664</v>
      </c>
      <c r="H1982" s="1014">
        <v>0.99585193113273685</v>
      </c>
      <c r="I1982" s="1014">
        <v>0.99729375658172881</v>
      </c>
      <c r="K1982">
        <v>2.4568871134190196</v>
      </c>
      <c r="L1982">
        <v>0</v>
      </c>
      <c r="M1982">
        <v>1.724829403790694E-3</v>
      </c>
      <c r="N1982">
        <v>0.1461061485472471</v>
      </c>
      <c r="O1982">
        <v>2.106206597671902E-2</v>
      </c>
      <c r="P1982">
        <v>2.8657166615690243E-2</v>
      </c>
      <c r="Q1982">
        <v>5.380871950213654E-3</v>
      </c>
      <c r="R1982">
        <v>1.701967226110944E-3</v>
      </c>
      <c r="S1982">
        <v>0.25786725531825594</v>
      </c>
      <c r="T1982">
        <v>1.4198659559742897</v>
      </c>
      <c r="U1982">
        <v>0.213237766443299</v>
      </c>
      <c r="V1982">
        <v>0.2469370821643109</v>
      </c>
      <c r="W1982">
        <v>9.7356848781485608E-2</v>
      </c>
      <c r="X1982">
        <v>1.5806620089058178E-2</v>
      </c>
      <c r="Y1982">
        <v>4.6321937361286881E-3</v>
      </c>
    </row>
    <row r="1983" spans="1:25">
      <c r="A1983" s="1010"/>
      <c r="B1983" s="1351">
        <v>1733</v>
      </c>
      <c r="C1983" s="1014">
        <v>0.97205825575285787</v>
      </c>
      <c r="D1983" s="1014">
        <v>0.95882564446121743</v>
      </c>
      <c r="E1983" s="1014">
        <v>0.98735455610732958</v>
      </c>
      <c r="F1983" s="1014">
        <v>0.99696576708233753</v>
      </c>
      <c r="G1983" s="1014">
        <v>1.0174417929994701</v>
      </c>
      <c r="H1983" s="1014">
        <v>0.97696362066835141</v>
      </c>
      <c r="I1983" s="1014">
        <v>0.99704571907193207</v>
      </c>
      <c r="K1983">
        <v>2.4298741631106733</v>
      </c>
      <c r="L1983">
        <v>0</v>
      </c>
      <c r="M1983">
        <v>1.7096666403064523E-3</v>
      </c>
      <c r="N1983">
        <v>0.14971220410764838</v>
      </c>
      <c r="O1983">
        <v>2.1780745575132862E-2</v>
      </c>
      <c r="P1983">
        <v>2.8445257359533356E-2</v>
      </c>
      <c r="Q1983">
        <v>5.627341125527742E-3</v>
      </c>
      <c r="R1983">
        <v>1.6865673166557599E-3</v>
      </c>
      <c r="S1983">
        <v>0.26880782147487536</v>
      </c>
      <c r="T1983">
        <v>1.3672044099265117</v>
      </c>
      <c r="U1983">
        <v>0.21802212149843034</v>
      </c>
      <c r="V1983">
        <v>0.25034948078864872</v>
      </c>
      <c r="W1983">
        <v>9.9096439262799763E-2</v>
      </c>
      <c r="X1983">
        <v>1.6261161056046615E-2</v>
      </c>
      <c r="Y1983">
        <v>4.5902802591704659E-3</v>
      </c>
    </row>
    <row r="1984" spans="1:25">
      <c r="A1984" s="1010"/>
      <c r="B1984" s="1351">
        <v>1734</v>
      </c>
      <c r="C1984" s="1014">
        <v>1.0349533618288582</v>
      </c>
      <c r="D1984" s="1014">
        <v>1.0166132333120246</v>
      </c>
      <c r="E1984" s="1014">
        <v>0.99549598212607104</v>
      </c>
      <c r="F1984" s="1014">
        <v>0.99059061071882482</v>
      </c>
      <c r="G1984" s="1014">
        <v>1.0294443039681755</v>
      </c>
      <c r="H1984" s="1014">
        <v>1.0088763253245847</v>
      </c>
      <c r="I1984" s="1014">
        <v>1.0023008071476751</v>
      </c>
      <c r="K1984">
        <v>2.3744384799740028</v>
      </c>
      <c r="L1984">
        <v>0</v>
      </c>
      <c r="M1984">
        <v>1.6096315578204975E-3</v>
      </c>
      <c r="N1984">
        <v>0.14452714676467104</v>
      </c>
      <c r="O1984">
        <v>2.0200606483079454E-2</v>
      </c>
      <c r="P1984">
        <v>2.8029702632605537E-2</v>
      </c>
      <c r="Q1984">
        <v>5.2621827821311704E-3</v>
      </c>
      <c r="R1984">
        <v>1.5885717324513845E-3</v>
      </c>
      <c r="S1984">
        <v>0.24910011797027148</v>
      </c>
      <c r="T1984">
        <v>1.3586358643794711</v>
      </c>
      <c r="U1984">
        <v>0.20479956143533901</v>
      </c>
      <c r="V1984">
        <v>0.24846910105860584</v>
      </c>
      <c r="W1984">
        <v>9.5199465759051333E-2</v>
      </c>
      <c r="X1984">
        <v>1.5912221950945077E-2</v>
      </c>
      <c r="Y1984">
        <v>4.3235685832018044E-3</v>
      </c>
    </row>
    <row r="1985" spans="1:25">
      <c r="A1985" s="1010"/>
      <c r="B1985" s="1351">
        <v>1735</v>
      </c>
      <c r="C1985" s="1014">
        <v>0.99873970958867364</v>
      </c>
      <c r="D1985" s="1014">
        <v>0.98999849737415258</v>
      </c>
      <c r="E1985" s="1014">
        <v>0.99777471860240885</v>
      </c>
      <c r="F1985" s="1014">
        <v>0.99151071949993608</v>
      </c>
      <c r="G1985" s="1014">
        <v>0.98568093825510861</v>
      </c>
      <c r="H1985" s="1014">
        <v>1.0347769615291582</v>
      </c>
      <c r="I1985" s="1014">
        <v>1.008472781753619</v>
      </c>
      <c r="K1985">
        <v>2.413439537412561</v>
      </c>
      <c r="L1985">
        <v>0</v>
      </c>
      <c r="M1985">
        <v>1.7127212313886606E-3</v>
      </c>
      <c r="N1985">
        <v>0.15489749049832305</v>
      </c>
      <c r="O1985">
        <v>2.1057112829705599E-2</v>
      </c>
      <c r="P1985">
        <v>2.8347086012423087E-2</v>
      </c>
      <c r="Q1985">
        <v>5.4979016718521758E-3</v>
      </c>
      <c r="R1985">
        <v>1.690873509999905E-3</v>
      </c>
      <c r="S1985">
        <v>0.26543535996338069</v>
      </c>
      <c r="T1985">
        <v>1.3599466650092775</v>
      </c>
      <c r="U1985">
        <v>0.21223325527507886</v>
      </c>
      <c r="V1985">
        <v>0.24317239598811177</v>
      </c>
      <c r="W1985">
        <v>0.10189191144469498</v>
      </c>
      <c r="X1985">
        <v>1.6380206143181839E-2</v>
      </c>
      <c r="Y1985">
        <v>4.6020002979169717E-3</v>
      </c>
    </row>
    <row r="1986" spans="1:25">
      <c r="A1986" s="1010"/>
      <c r="B1986" s="1351">
        <v>1736</v>
      </c>
      <c r="C1986" s="1014">
        <v>1.0081709267851777</v>
      </c>
      <c r="D1986" s="1014">
        <v>0.95797487929125158</v>
      </c>
      <c r="E1986" s="1014">
        <v>0.99739191549555395</v>
      </c>
      <c r="F1986" s="1014">
        <v>0.99671102216132401</v>
      </c>
      <c r="G1986" s="1014">
        <v>1.0200187244591734</v>
      </c>
      <c r="H1986" s="1014">
        <v>1.0156683352367859</v>
      </c>
      <c r="I1986" s="1014">
        <v>0.99321174712128635</v>
      </c>
      <c r="K1986">
        <v>2.4145755556799617</v>
      </c>
      <c r="L1986">
        <v>0</v>
      </c>
      <c r="M1986">
        <v>1.6787901229666751E-3</v>
      </c>
      <c r="N1986">
        <v>0.15161639108333522</v>
      </c>
      <c r="O1986">
        <v>2.1011323415100567E-2</v>
      </c>
      <c r="P1986">
        <v>2.8429354778501056E-2</v>
      </c>
      <c r="Q1986">
        <v>5.4838329630391156E-3</v>
      </c>
      <c r="R1986">
        <v>1.6569723352999456E-3</v>
      </c>
      <c r="S1986">
        <v>0.26165504759684216</v>
      </c>
      <c r="T1986">
        <v>1.3670711025259608</v>
      </c>
      <c r="U1986">
        <v>0.21024656245622</v>
      </c>
      <c r="V1986">
        <v>0.24845368316380415</v>
      </c>
      <c r="W1986">
        <v>9.9756334046364914E-2</v>
      </c>
      <c r="X1986">
        <v>1.6364008962558674E-2</v>
      </c>
      <c r="Y1986">
        <v>4.509732475902921E-3</v>
      </c>
    </row>
    <row r="1987" spans="1:25">
      <c r="A1987" s="1010"/>
      <c r="B1987" s="1351">
        <v>1737</v>
      </c>
      <c r="C1987" s="1014">
        <v>1.0212904523493742</v>
      </c>
      <c r="D1987" s="1014">
        <v>1.0305066754700263</v>
      </c>
      <c r="E1987" s="1014">
        <v>0.97084004362264109</v>
      </c>
      <c r="F1987" s="1014">
        <v>1.0024577581426342</v>
      </c>
      <c r="G1987" s="1014">
        <v>0.99618076709430614</v>
      </c>
      <c r="H1987" s="1014">
        <v>0.96958023370753987</v>
      </c>
      <c r="I1987" s="1014">
        <v>0.9782455111034587</v>
      </c>
      <c r="K1987">
        <v>2.3680962240838324</v>
      </c>
      <c r="L1987">
        <v>0</v>
      </c>
      <c r="M1987">
        <v>1.6447491883259742E-3</v>
      </c>
      <c r="N1987">
        <v>0.1369929389472038</v>
      </c>
      <c r="O1987">
        <v>2.0393938148408147E-2</v>
      </c>
      <c r="P1987">
        <v>2.7589879866060658E-2</v>
      </c>
      <c r="Q1987">
        <v>5.1812927066983878E-3</v>
      </c>
      <c r="R1987">
        <v>1.622357742042377E-3</v>
      </c>
      <c r="S1987">
        <v>0.24134956693519605</v>
      </c>
      <c r="T1987">
        <v>1.3743794251869856</v>
      </c>
      <c r="U1987">
        <v>0.20745708754805398</v>
      </c>
      <c r="V1987">
        <v>0.24368434409341058</v>
      </c>
      <c r="W1987">
        <v>9.1586800103195518E-2</v>
      </c>
      <c r="X1987">
        <v>1.508781903114898E-2</v>
      </c>
      <c r="Y1987">
        <v>4.4155229637534198E-3</v>
      </c>
    </row>
    <row r="1988" spans="1:25">
      <c r="A1988" s="1010"/>
      <c r="B1988" s="1351">
        <v>1738</v>
      </c>
      <c r="C1988" s="1014">
        <v>1.0326922688785147</v>
      </c>
      <c r="D1988" s="1014">
        <v>1.0469527923955395</v>
      </c>
      <c r="E1988" s="1014">
        <v>0.99875564049695986</v>
      </c>
      <c r="F1988" s="1014">
        <v>0.9737142800297689</v>
      </c>
      <c r="G1988" s="1014">
        <v>0.97221480554309336</v>
      </c>
      <c r="H1988" s="1014">
        <v>0.96477828095687157</v>
      </c>
      <c r="I1988" s="1014">
        <v>1.0028880314629094</v>
      </c>
      <c r="K1988">
        <v>2.323675626478559</v>
      </c>
      <c r="L1988">
        <v>0</v>
      </c>
      <c r="M1988">
        <v>1.5223728894101899E-3</v>
      </c>
      <c r="N1988">
        <v>0.13796173317326654</v>
      </c>
      <c r="O1988">
        <v>2.0116356418969795E-2</v>
      </c>
      <c r="P1988">
        <v>2.7569423518017111E-2</v>
      </c>
      <c r="Q1988">
        <v>5.2574613994799705E-3</v>
      </c>
      <c r="R1988">
        <v>1.5015443056212148E-3</v>
      </c>
      <c r="S1988">
        <v>0.24259419822120004</v>
      </c>
      <c r="T1988">
        <v>1.3355578887815125</v>
      </c>
      <c r="U1988">
        <v>0.20525875736031987</v>
      </c>
      <c r="V1988">
        <v>0.23881532463601238</v>
      </c>
      <c r="W1988">
        <v>9.0698567085393422E-2</v>
      </c>
      <c r="X1988">
        <v>1.5780035852221985E-2</v>
      </c>
      <c r="Y1988">
        <v>4.0867086159536289E-3</v>
      </c>
    </row>
    <row r="1989" spans="1:25">
      <c r="A1989" s="1010"/>
      <c r="B1989" s="1351">
        <v>1739</v>
      </c>
      <c r="C1989" s="1014">
        <v>0.98557993309052105</v>
      </c>
      <c r="D1989" s="1014">
        <v>0.96581154520690449</v>
      </c>
      <c r="E1989" s="1014">
        <v>0.98431939067209506</v>
      </c>
      <c r="F1989" s="1014">
        <v>1.0220061542112886</v>
      </c>
      <c r="G1989" s="1014">
        <v>1.0237238240093425</v>
      </c>
      <c r="H1989" s="1014">
        <v>0.99663791741967411</v>
      </c>
      <c r="I1989" s="1014">
        <v>0.97557918975371527</v>
      </c>
      <c r="K1989">
        <v>2.4530578555204507</v>
      </c>
      <c r="L1989">
        <v>0</v>
      </c>
      <c r="M1989">
        <v>1.7282456829554621E-3</v>
      </c>
      <c r="N1989">
        <v>0.1499968269989306</v>
      </c>
      <c r="O1989">
        <v>2.1445588357998022E-2</v>
      </c>
      <c r="P1989">
        <v>2.8687189256474305E-2</v>
      </c>
      <c r="Q1989">
        <v>5.5237375581337761E-3</v>
      </c>
      <c r="R1989">
        <v>1.7053562890465231E-3</v>
      </c>
      <c r="S1989">
        <v>0.26010096719245496</v>
      </c>
      <c r="T1989">
        <v>1.4014770363423301</v>
      </c>
      <c r="U1989">
        <v>0.21502046111249914</v>
      </c>
      <c r="V1989">
        <v>0.25055355295558202</v>
      </c>
      <c r="W1989">
        <v>9.9466120449597434E-2</v>
      </c>
      <c r="X1989">
        <v>1.6167847042122319E-2</v>
      </c>
      <c r="Y1989">
        <v>4.6414176482350395E-3</v>
      </c>
    </row>
    <row r="1990" spans="1:25">
      <c r="A1990" s="1010"/>
      <c r="B1990" s="1351">
        <v>1740</v>
      </c>
      <c r="C1990" s="1014">
        <v>0.98727397017977936</v>
      </c>
      <c r="D1990" s="1014">
        <v>1.0031310151298287</v>
      </c>
      <c r="E1990" s="1014">
        <v>1.0048255332782001</v>
      </c>
      <c r="F1990" s="1014">
        <v>1.0013145415677016</v>
      </c>
      <c r="G1990" s="1014">
        <v>1.0372221452410741</v>
      </c>
      <c r="H1990" s="1014">
        <v>0.99022240595689393</v>
      </c>
      <c r="I1990" s="1014">
        <v>0.97810902563816071</v>
      </c>
      <c r="K1990">
        <v>2.4215671701509023</v>
      </c>
      <c r="L1990">
        <v>0</v>
      </c>
      <c r="M1990">
        <v>1.629202806240834E-3</v>
      </c>
      <c r="N1990">
        <v>0.15042872012591946</v>
      </c>
      <c r="O1990">
        <v>2.1244730435558325E-2</v>
      </c>
      <c r="P1990">
        <v>2.8704218952181951E-2</v>
      </c>
      <c r="Q1990">
        <v>5.586311483875144E-3</v>
      </c>
      <c r="R1990">
        <v>1.6074853668128638E-3</v>
      </c>
      <c r="S1990">
        <v>0.25503434007944398</v>
      </c>
      <c r="T1990">
        <v>1.3735462312817144</v>
      </c>
      <c r="U1990">
        <v>0.21472245025954509</v>
      </c>
      <c r="V1990">
        <v>0.25267380053541083</v>
      </c>
      <c r="W1990">
        <v>9.8538963506826768E-2</v>
      </c>
      <c r="X1990">
        <v>1.673407566879756E-2</v>
      </c>
      <c r="Y1990">
        <v>4.3750452610558611E-3</v>
      </c>
    </row>
    <row r="1991" spans="1:25">
      <c r="A1991" s="1010"/>
      <c r="B1991" s="1351">
        <v>1741</v>
      </c>
      <c r="C1991" s="1014">
        <v>0.99985080031569762</v>
      </c>
      <c r="D1991" s="1014">
        <v>1.0123733044295529</v>
      </c>
      <c r="E1991" s="1014">
        <v>1.0043001494675923</v>
      </c>
      <c r="F1991" s="1014">
        <v>1.0082995850715255</v>
      </c>
      <c r="G1991" s="1014">
        <v>0.98628294199439304</v>
      </c>
      <c r="H1991" s="1014">
        <v>0.96422306776100752</v>
      </c>
      <c r="I1991" s="1014">
        <v>0.97015244409240797</v>
      </c>
      <c r="K1991">
        <v>2.3992197057994522</v>
      </c>
      <c r="L1991">
        <v>0</v>
      </c>
      <c r="M1991">
        <v>1.5650195661023516E-3</v>
      </c>
      <c r="N1991">
        <v>0.14422084016236481</v>
      </c>
      <c r="O1991">
        <v>2.0934868018422523E-2</v>
      </c>
      <c r="P1991">
        <v>2.8540156539132548E-2</v>
      </c>
      <c r="Q1991">
        <v>5.5019339832663473E-3</v>
      </c>
      <c r="R1991">
        <v>1.5435951757424684E-3</v>
      </c>
      <c r="S1991">
        <v>0.24648881919142393</v>
      </c>
      <c r="T1991">
        <v>1.3831164480063887</v>
      </c>
      <c r="U1991">
        <v>0.21201972206884687</v>
      </c>
      <c r="V1991">
        <v>0.24318285927481789</v>
      </c>
      <c r="W1991">
        <v>9.4501864179086265E-2</v>
      </c>
      <c r="X1991">
        <v>1.6532461543703501E-2</v>
      </c>
      <c r="Y1991">
        <v>4.20115722235807E-3</v>
      </c>
    </row>
    <row r="1992" spans="1:25">
      <c r="A1992" s="1010"/>
      <c r="B1992" s="1351">
        <v>1742</v>
      </c>
      <c r="C1992" s="1014">
        <v>0.98632136821326455</v>
      </c>
      <c r="D1992" s="1014">
        <v>0.97700374457012928</v>
      </c>
      <c r="E1992" s="1014">
        <v>1.0299860554722171</v>
      </c>
      <c r="F1992" s="1014">
        <v>1.0054990494488383</v>
      </c>
      <c r="G1992" s="1014">
        <v>1.0178045497561368</v>
      </c>
      <c r="H1992" s="1014">
        <v>1.0057272567426112</v>
      </c>
      <c r="I1992" s="1014">
        <v>1.0116481858576929</v>
      </c>
      <c r="K1992">
        <v>2.4512808025712784</v>
      </c>
      <c r="L1992">
        <v>0</v>
      </c>
      <c r="M1992">
        <v>1.5810181092654355E-3</v>
      </c>
      <c r="N1992">
        <v>0.15752656726889366</v>
      </c>
      <c r="O1992">
        <v>2.1406136245809698E-2</v>
      </c>
      <c r="P1992">
        <v>2.948112210859636E-2</v>
      </c>
      <c r="Q1992">
        <v>5.7715299551648683E-3</v>
      </c>
      <c r="R1992">
        <v>1.5602678827232493E-3</v>
      </c>
      <c r="S1992">
        <v>0.26913702530938244</v>
      </c>
      <c r="T1992">
        <v>1.379835344972917</v>
      </c>
      <c r="U1992">
        <v>0.21501726092636855</v>
      </c>
      <c r="V1992">
        <v>0.24932903390884506</v>
      </c>
      <c r="W1992">
        <v>0.10167751663372199</v>
      </c>
      <c r="X1992">
        <v>1.7873480633519092E-2</v>
      </c>
      <c r="Y1992">
        <v>4.2465348346033775E-3</v>
      </c>
    </row>
    <row r="1993" spans="1:25">
      <c r="A1993" s="1010"/>
      <c r="B1993" s="1351">
        <v>1743</v>
      </c>
      <c r="C1993" s="1014">
        <v>0.98974579890914338</v>
      </c>
      <c r="D1993" s="1014">
        <v>0.98251563730906732</v>
      </c>
      <c r="E1993" s="1014">
        <v>0.991496047767084</v>
      </c>
      <c r="F1993" s="1014">
        <v>1.0429475888881188</v>
      </c>
      <c r="G1993" s="1014">
        <v>0.99961750750412304</v>
      </c>
      <c r="H1993" s="1014">
        <v>1.033074968667167</v>
      </c>
      <c r="I1993" s="1014">
        <v>0.9797275416533201</v>
      </c>
      <c r="K1993">
        <v>2.4868039081704092</v>
      </c>
      <c r="L1993">
        <v>0</v>
      </c>
      <c r="M1993">
        <v>1.7509623556763623E-3</v>
      </c>
      <c r="N1993">
        <v>0.1553759477504553</v>
      </c>
      <c r="O1993">
        <v>2.1279734803662357E-2</v>
      </c>
      <c r="P1993">
        <v>2.9174847066220814E-2</v>
      </c>
      <c r="Q1993">
        <v>5.5209686688452112E-3</v>
      </c>
      <c r="R1993">
        <v>1.7285900271116193E-3</v>
      </c>
      <c r="S1993">
        <v>0.26100491260263875</v>
      </c>
      <c r="T1993">
        <v>1.4303555105731331</v>
      </c>
      <c r="U1993">
        <v>0.21414017233844149</v>
      </c>
      <c r="V1993">
        <v>0.24614272725332195</v>
      </c>
      <c r="W1993">
        <v>0.10259038476117399</v>
      </c>
      <c r="X1993">
        <v>1.6536422456833684E-2</v>
      </c>
      <c r="Y1993">
        <v>4.7046522242485331E-3</v>
      </c>
    </row>
    <row r="1994" spans="1:25">
      <c r="A1994" s="1010"/>
      <c r="B1994" s="1351">
        <v>1744</v>
      </c>
      <c r="C1994" s="1014">
        <v>0.98009839289017586</v>
      </c>
      <c r="D1994" s="1014">
        <v>0.98736615337558198</v>
      </c>
      <c r="E1994" s="1014">
        <v>0.98995231662886118</v>
      </c>
      <c r="F1994" s="1014">
        <v>1.0070625928064874</v>
      </c>
      <c r="G1994" s="1014">
        <v>1.0221681031430794</v>
      </c>
      <c r="H1994" s="1014">
        <v>0.99968817498407325</v>
      </c>
      <c r="I1994" s="1014">
        <v>1.0026611897686544</v>
      </c>
      <c r="K1994">
        <v>2.4421233409777274</v>
      </c>
      <c r="L1994">
        <v>0</v>
      </c>
      <c r="M1994">
        <v>1.7146743793655802E-3</v>
      </c>
      <c r="N1994">
        <v>0.15138190707759269</v>
      </c>
      <c r="O1994">
        <v>2.1464881501023242E-2</v>
      </c>
      <c r="P1994">
        <v>2.8632882228122068E-2</v>
      </c>
      <c r="Q1994">
        <v>5.5603251344411193E-3</v>
      </c>
      <c r="R1994">
        <v>1.6920340196846348E-3</v>
      </c>
      <c r="S1994">
        <v>0.26615506487900609</v>
      </c>
      <c r="T1994">
        <v>1.3811072987469575</v>
      </c>
      <c r="U1994">
        <v>0.21624264299704948</v>
      </c>
      <c r="V1994">
        <v>0.25062079576798585</v>
      </c>
      <c r="W1994">
        <v>0.10004565702815907</v>
      </c>
      <c r="X1994">
        <v>1.6329367154353073E-2</v>
      </c>
      <c r="Y1994">
        <v>4.6051588227168927E-3</v>
      </c>
    </row>
    <row r="1995" spans="1:25">
      <c r="A1995" s="1010"/>
      <c r="B1995" s="1351">
        <v>1745</v>
      </c>
      <c r="C1995" s="1014">
        <v>0.95978017502722079</v>
      </c>
      <c r="D1995" s="1014">
        <v>1.0165628131009918</v>
      </c>
      <c r="E1995" s="1014">
        <v>0.98546745962908999</v>
      </c>
      <c r="F1995" s="1014">
        <v>0.98092976536675969</v>
      </c>
      <c r="G1995" s="1014">
        <v>1.0357517379580539</v>
      </c>
      <c r="H1995" s="1014">
        <v>1.0130065003809681</v>
      </c>
      <c r="I1995" s="1014">
        <v>1.0003708321176712</v>
      </c>
      <c r="K1995">
        <v>2.4228687165371592</v>
      </c>
      <c r="L1995">
        <v>0</v>
      </c>
      <c r="M1995">
        <v>1.779407356170521E-3</v>
      </c>
      <c r="N1995">
        <v>0.15500803244121819</v>
      </c>
      <c r="O1995">
        <v>2.1776123915536176E-2</v>
      </c>
      <c r="P1995">
        <v>2.8192568380528773E-2</v>
      </c>
      <c r="Q1995">
        <v>5.6154045412548578E-3</v>
      </c>
      <c r="R1995">
        <v>1.7562211673745032E-3</v>
      </c>
      <c r="S1995">
        <v>0.26837966037206201</v>
      </c>
      <c r="T1995">
        <v>1.345173266226392</v>
      </c>
      <c r="U1995">
        <v>0.22080448428707333</v>
      </c>
      <c r="V1995">
        <v>0.25430546331290865</v>
      </c>
      <c r="W1995">
        <v>0.10271820210263796</v>
      </c>
      <c r="X1995">
        <v>1.6138842066898647E-2</v>
      </c>
      <c r="Y1995">
        <v>4.7798550794411658E-3</v>
      </c>
    </row>
    <row r="1996" spans="1:25">
      <c r="A1996" s="1010"/>
      <c r="B1996" s="1351">
        <v>1746</v>
      </c>
      <c r="C1996" s="1014">
        <v>0.9645838108300907</v>
      </c>
      <c r="D1996" s="1014">
        <v>1.0087414028650823</v>
      </c>
      <c r="E1996" s="1014">
        <v>1.0310677304049456</v>
      </c>
      <c r="F1996" s="1014">
        <v>0.98202652904688692</v>
      </c>
      <c r="G1996" s="1014">
        <v>1.004060954592205</v>
      </c>
      <c r="H1996" s="1014">
        <v>0.96054348196874262</v>
      </c>
      <c r="I1996" s="1014">
        <v>1.0008561525466788</v>
      </c>
      <c r="K1996">
        <v>2.4097913097158132</v>
      </c>
      <c r="L1996">
        <v>0</v>
      </c>
      <c r="M1996">
        <v>1.5297440277507106E-3</v>
      </c>
      <c r="N1996">
        <v>0.15281994664657725</v>
      </c>
      <c r="O1996">
        <v>2.1735882271497628E-2</v>
      </c>
      <c r="P1996">
        <v>2.9037484628867891E-2</v>
      </c>
      <c r="Q1996">
        <v>5.866705153217547E-3</v>
      </c>
      <c r="R1996">
        <v>1.5087223218728609E-3</v>
      </c>
      <c r="S1996">
        <v>0.26396347359788241</v>
      </c>
      <c r="T1996">
        <v>1.3476473725860889</v>
      </c>
      <c r="U1996">
        <v>0.21986667309419802</v>
      </c>
      <c r="V1996">
        <v>0.24840652074173938</v>
      </c>
      <c r="W1996">
        <v>9.8577679401881946E-2</v>
      </c>
      <c r="X1996">
        <v>1.7784348489780732E-2</v>
      </c>
      <c r="Y1996">
        <v>4.1062448099581867E-3</v>
      </c>
    </row>
    <row r="1997" spans="1:25">
      <c r="A1997" s="1010"/>
      <c r="B1997" s="1351">
        <v>1747</v>
      </c>
      <c r="C1997" s="1014">
        <v>1.0161537817520154</v>
      </c>
      <c r="D1997" s="1014">
        <v>1.0238667601545057</v>
      </c>
      <c r="E1997" s="1014">
        <v>1.0178099167924173</v>
      </c>
      <c r="F1997" s="1014">
        <v>0.98541733078691918</v>
      </c>
      <c r="G1997" s="1014">
        <v>1.0066287070831639</v>
      </c>
      <c r="H1997" s="1014">
        <v>0.98098292669877629</v>
      </c>
      <c r="I1997" s="1014">
        <v>0.99651171117710391</v>
      </c>
      <c r="K1997">
        <v>2.3715373947899465</v>
      </c>
      <c r="L1997">
        <v>0</v>
      </c>
      <c r="M1997">
        <v>1.5195315958531352E-3</v>
      </c>
      <c r="N1997">
        <v>0.14589241161886274</v>
      </c>
      <c r="O1997">
        <v>2.0556689960070658E-2</v>
      </c>
      <c r="P1997">
        <v>2.8420901263605181E-2</v>
      </c>
      <c r="Q1997">
        <v>5.4759571117184809E-3</v>
      </c>
      <c r="R1997">
        <v>1.4990853064143373E-3</v>
      </c>
      <c r="S1997">
        <v>0.24921423623137226</v>
      </c>
      <c r="T1997">
        <v>1.3520166996933565</v>
      </c>
      <c r="U1997">
        <v>0.20866364016128192</v>
      </c>
      <c r="V1997">
        <v>0.24560716222800927</v>
      </c>
      <c r="W1997">
        <v>9.4839259341443674E-2</v>
      </c>
      <c r="X1997">
        <v>1.6790867438939511E-2</v>
      </c>
      <c r="Y1997">
        <v>4.0800160307213791E-3</v>
      </c>
    </row>
    <row r="1998" spans="1:25">
      <c r="A1998" s="1010"/>
      <c r="B1998" s="1351">
        <v>1748</v>
      </c>
      <c r="C1998" s="1014">
        <v>0.96104966434028927</v>
      </c>
      <c r="D1998" s="1014">
        <v>1.0086469884869789</v>
      </c>
      <c r="E1998" s="1014">
        <v>1.0178946749878979</v>
      </c>
      <c r="F1998" s="1014">
        <v>0.96678884862927927</v>
      </c>
      <c r="G1998" s="1014">
        <v>0.97083593734385076</v>
      </c>
      <c r="H1998" s="1014">
        <v>1.0099482254052006</v>
      </c>
      <c r="I1998" s="1014">
        <v>1.0157225135206376</v>
      </c>
      <c r="K1998">
        <v>2.4042287558978113</v>
      </c>
      <c r="L1998">
        <v>0</v>
      </c>
      <c r="M1998">
        <v>1.6592635501022975E-3</v>
      </c>
      <c r="N1998">
        <v>0.15941135637346018</v>
      </c>
      <c r="O1998">
        <v>2.1807149121690163E-2</v>
      </c>
      <c r="P1998">
        <v>2.8530768926690937E-2</v>
      </c>
      <c r="Q1998">
        <v>5.8095485222397873E-3</v>
      </c>
      <c r="R1998">
        <v>1.6375773989286808E-3</v>
      </c>
      <c r="S1998">
        <v>0.27320556619856323</v>
      </c>
      <c r="T1998">
        <v>1.3264597447029502</v>
      </c>
      <c r="U1998">
        <v>0.22062817921586159</v>
      </c>
      <c r="V1998">
        <v>0.2430191812214485</v>
      </c>
      <c r="W1998">
        <v>0.1036222779377952</v>
      </c>
      <c r="X1998">
        <v>1.7299723975644204E-2</v>
      </c>
      <c r="Y1998">
        <v>4.4569458526393943E-3</v>
      </c>
    </row>
    <row r="1999" spans="1:25">
      <c r="A1999" s="1010"/>
      <c r="B1999" s="1351">
        <v>1749</v>
      </c>
      <c r="C1999" s="1014">
        <v>1.0211153789869112</v>
      </c>
      <c r="D1999" s="1014">
        <v>1.0000003196738823</v>
      </c>
      <c r="E1999" s="1014">
        <v>0.9984807110351207</v>
      </c>
      <c r="F1999" s="1014">
        <v>1.0170620127828558</v>
      </c>
      <c r="G1999" s="1014">
        <v>1.0222912184244812</v>
      </c>
      <c r="H1999" s="1014">
        <v>0.95638110532608367</v>
      </c>
      <c r="I1999" s="1014">
        <v>0.99418879766612611</v>
      </c>
      <c r="K1999">
        <v>2.4052198224261003</v>
      </c>
      <c r="L1999">
        <v>0</v>
      </c>
      <c r="M1999">
        <v>1.542595891815775E-3</v>
      </c>
      <c r="N1999">
        <v>0.13966130715094893</v>
      </c>
      <c r="O1999">
        <v>2.0550651112770064E-2</v>
      </c>
      <c r="P1999">
        <v>2.8607777484525077E-2</v>
      </c>
      <c r="Q1999">
        <v>5.3694802179032183E-3</v>
      </c>
      <c r="R1999">
        <v>1.521305316290665E-3</v>
      </c>
      <c r="S1999">
        <v>0.24817598432061455</v>
      </c>
      <c r="T1999">
        <v>1.3950080997211376</v>
      </c>
      <c r="U1999">
        <v>0.20758495723225914</v>
      </c>
      <c r="V1999">
        <v>0.24805323044060576</v>
      </c>
      <c r="W1999">
        <v>9.1830918709624537E-2</v>
      </c>
      <c r="X1999">
        <v>1.6258215038457556E-2</v>
      </c>
      <c r="Y1999">
        <v>4.1404915727804555E-3</v>
      </c>
    </row>
    <row r="2000" spans="1:25">
      <c r="A2000" s="1010"/>
      <c r="B2000" s="1351">
        <v>1750</v>
      </c>
      <c r="C2000" s="1014">
        <v>0.984750026430944</v>
      </c>
      <c r="D2000" s="1014">
        <v>0.98674759745137131</v>
      </c>
      <c r="E2000" s="1014">
        <v>0.97706113460174193</v>
      </c>
      <c r="F2000" s="1014">
        <v>1.0303430490904855</v>
      </c>
      <c r="G2000" s="1014">
        <v>1.0099007737283523</v>
      </c>
      <c r="H2000" s="1014">
        <v>0.95681609546882296</v>
      </c>
      <c r="I2000" s="1014">
        <v>1.0040635793831378</v>
      </c>
      <c r="K2000">
        <v>2.4507834105166695</v>
      </c>
      <c r="L2000">
        <v>0</v>
      </c>
      <c r="M2000">
        <v>1.6777692037156201E-3</v>
      </c>
      <c r="N2000">
        <v>0.14237347170034231</v>
      </c>
      <c r="O2000">
        <v>2.1357743392748148E-2</v>
      </c>
      <c r="P2000">
        <v>2.8671382121757329E-2</v>
      </c>
      <c r="Q2000">
        <v>5.4606928803179102E-3</v>
      </c>
      <c r="R2000">
        <v>1.6546235226509872E-3</v>
      </c>
      <c r="S2000">
        <v>0.26151728038534389</v>
      </c>
      <c r="T2000">
        <v>1.4127483169685513</v>
      </c>
      <c r="U2000">
        <v>0.21517655498412738</v>
      </c>
      <c r="V2000">
        <v>0.2482720363846585</v>
      </c>
      <c r="W2000">
        <v>9.482536626220886E-2</v>
      </c>
      <c r="X2000">
        <v>1.5900371335519286E-2</v>
      </c>
      <c r="Y2000">
        <v>4.5033397821583375E-3</v>
      </c>
    </row>
    <row r="2001" spans="1:25">
      <c r="A2001" s="1010"/>
      <c r="B2001" s="1351">
        <v>1751</v>
      </c>
      <c r="C2001" s="1014">
        <v>1.0257970677777033</v>
      </c>
      <c r="D2001" s="1014">
        <v>0.99503649202700328</v>
      </c>
      <c r="E2001" s="1014">
        <v>0.99897781068470004</v>
      </c>
      <c r="F2001" s="1014">
        <v>0.99375166759886435</v>
      </c>
      <c r="G2001" s="1014">
        <v>0.96817312967797908</v>
      </c>
      <c r="H2001" s="1014">
        <v>1.0076600275967735</v>
      </c>
      <c r="I2001" s="1014">
        <v>1.0077927479085136</v>
      </c>
      <c r="K2001">
        <v>2.381313746764071</v>
      </c>
      <c r="L2001">
        <v>0</v>
      </c>
      <c r="M2001">
        <v>1.6179917315165017E-3</v>
      </c>
      <c r="N2001">
        <v>0.14681205710451078</v>
      </c>
      <c r="O2001">
        <v>2.0479588465707459E-2</v>
      </c>
      <c r="P2001">
        <v>2.8137687949994657E-2</v>
      </c>
      <c r="Q2001">
        <v>5.3535892122010516E-3</v>
      </c>
      <c r="R2001">
        <v>1.5967969723929471E-3</v>
      </c>
      <c r="S2001">
        <v>0.25534810154817889</v>
      </c>
      <c r="T2001">
        <v>1.3630461778429728</v>
      </c>
      <c r="U2001">
        <v>0.20663920554918164</v>
      </c>
      <c r="V2001">
        <v>0.23853044358488357</v>
      </c>
      <c r="W2001">
        <v>9.6504176713594444E-2</v>
      </c>
      <c r="X2001">
        <v>1.6137958577095417E-2</v>
      </c>
      <c r="Y2001">
        <v>4.3459549748731214E-3</v>
      </c>
    </row>
    <row r="2002" spans="1:25">
      <c r="A2002" s="1010"/>
      <c r="B2002" s="1351">
        <v>1752</v>
      </c>
      <c r="C2002" s="1014">
        <v>1.0234995443378134</v>
      </c>
      <c r="D2002" s="1014">
        <v>0.99507661106851109</v>
      </c>
      <c r="E2002" s="1014">
        <v>1.0071950610314946</v>
      </c>
      <c r="F2002" s="1014">
        <v>1.0056927516848606</v>
      </c>
      <c r="G2002" s="1014">
        <v>1.001634355052871</v>
      </c>
      <c r="H2002" s="1014">
        <v>1.0102415320550191</v>
      </c>
      <c r="I2002" s="1014">
        <v>1.0045386886909282</v>
      </c>
      <c r="K2002">
        <v>2.4077938773380936</v>
      </c>
      <c r="L2002">
        <v>0</v>
      </c>
      <c r="M2002">
        <v>1.5982742683380657E-3</v>
      </c>
      <c r="N2002">
        <v>0.1486725708190057</v>
      </c>
      <c r="O2002">
        <v>2.0530715173553912E-2</v>
      </c>
      <c r="P2002">
        <v>2.8624118264221007E-2</v>
      </c>
      <c r="Q2002">
        <v>5.411391697657154E-3</v>
      </c>
      <c r="R2002">
        <v>1.5773912962940612E-3</v>
      </c>
      <c r="S2002">
        <v>0.25537194293248794</v>
      </c>
      <c r="T2002">
        <v>1.3796036129557545</v>
      </c>
      <c r="U2002">
        <v>0.20713052027801998</v>
      </c>
      <c r="V2002">
        <v>0.24435174931681181</v>
      </c>
      <c r="W2002">
        <v>9.7252180953776038E-2</v>
      </c>
      <c r="X2002">
        <v>1.6572818797236016E-2</v>
      </c>
      <c r="Y2002">
        <v>4.2931391216113604E-3</v>
      </c>
    </row>
    <row r="2003" spans="1:25">
      <c r="A2003" s="1010"/>
      <c r="B2003" s="1351">
        <v>1753</v>
      </c>
      <c r="C2003" s="1014">
        <v>1.0088543054006762</v>
      </c>
      <c r="D2003" s="1014">
        <v>0.97791036758714478</v>
      </c>
      <c r="E2003" s="1014">
        <v>0.9969363144928729</v>
      </c>
      <c r="F2003" s="1014">
        <v>0.98974549657351618</v>
      </c>
      <c r="G2003" s="1014">
        <v>0.99538175291035735</v>
      </c>
      <c r="H2003" s="1014">
        <v>1.0092936875717295</v>
      </c>
      <c r="I2003" s="1014">
        <v>1.0215827161741666</v>
      </c>
      <c r="K2003">
        <v>2.4011666368129778</v>
      </c>
      <c r="L2003">
        <v>0</v>
      </c>
      <c r="M2003">
        <v>1.6611549099338205E-3</v>
      </c>
      <c r="N2003">
        <v>0.14980484077606468</v>
      </c>
      <c r="O2003">
        <v>2.0901862445708835E-2</v>
      </c>
      <c r="P2003">
        <v>2.8283644724247152E-2</v>
      </c>
      <c r="Q2003">
        <v>5.4527626394803375E-3</v>
      </c>
      <c r="R2003">
        <v>1.6394299594361937E-3</v>
      </c>
      <c r="S2003">
        <v>0.26561654076088115</v>
      </c>
      <c r="T2003">
        <v>1.3575075643442807</v>
      </c>
      <c r="U2003">
        <v>0.21010260246086063</v>
      </c>
      <c r="V2003">
        <v>0.24420580354913859</v>
      </c>
      <c r="W2003">
        <v>9.8591173749965733E-2</v>
      </c>
      <c r="X2003">
        <v>1.6259578401203238E-2</v>
      </c>
      <c r="Y2003">
        <v>4.4619879116444367E-3</v>
      </c>
    </row>
    <row r="2004" spans="1:25">
      <c r="A2004" s="1010"/>
      <c r="B2004" s="1351">
        <v>1754</v>
      </c>
      <c r="C2004" s="1014">
        <v>0.99572667594251396</v>
      </c>
      <c r="D2004" s="1014">
        <v>0.98853701752086587</v>
      </c>
      <c r="E2004" s="1014">
        <v>1.0060571589041609</v>
      </c>
      <c r="F2004" s="1014">
        <v>0.98851245892913098</v>
      </c>
      <c r="G2004" s="1014">
        <v>0.98438636260190571</v>
      </c>
      <c r="H2004" s="1014">
        <v>1.0085983612805107</v>
      </c>
      <c r="I2004" s="1014">
        <v>0.98348554394151011</v>
      </c>
      <c r="K2004">
        <v>2.3983638513738375</v>
      </c>
      <c r="L2004">
        <v>0</v>
      </c>
      <c r="M2004">
        <v>1.6464478763764524E-3</v>
      </c>
      <c r="N2004">
        <v>0.15262506115827301</v>
      </c>
      <c r="O2004">
        <v>2.1133232729573771E-2</v>
      </c>
      <c r="P2004">
        <v>2.8370625186544086E-2</v>
      </c>
      <c r="Q2004">
        <v>5.5638562566773008E-3</v>
      </c>
      <c r="R2004">
        <v>1.6249004231591326E-3</v>
      </c>
      <c r="S2004">
        <v>0.25769592958179838</v>
      </c>
      <c r="T2004">
        <v>1.3560114244236765</v>
      </c>
      <c r="U2004">
        <v>0.21290390689055164</v>
      </c>
      <c r="V2004">
        <v>0.24311137444218295</v>
      </c>
      <c r="W2004">
        <v>9.9904841250837012E-2</v>
      </c>
      <c r="X2004">
        <v>1.6642703603379837E-2</v>
      </c>
      <c r="Y2004">
        <v>4.4224433035586243E-3</v>
      </c>
    </row>
    <row r="2005" spans="1:25">
      <c r="A2005" s="1010"/>
      <c r="B2005" s="1351">
        <v>1755</v>
      </c>
      <c r="C2005" s="1014">
        <v>0.9885125560907746</v>
      </c>
      <c r="D2005" s="1014">
        <v>0.9720957678913964</v>
      </c>
      <c r="E2005" s="1014">
        <v>0.99482232314634411</v>
      </c>
      <c r="F2005" s="1014">
        <v>0.99410342851135913</v>
      </c>
      <c r="G2005" s="1014">
        <v>1.0264046640907538</v>
      </c>
      <c r="H2005" s="1014">
        <v>1.0447885616697157</v>
      </c>
      <c r="I2005" s="1014">
        <v>0.97909386674367627</v>
      </c>
      <c r="K2005">
        <v>2.4312135841847922</v>
      </c>
      <c r="L2005">
        <v>0</v>
      </c>
      <c r="M2005">
        <v>1.7649818201864091E-3</v>
      </c>
      <c r="N2005">
        <v>0.15822562579287441</v>
      </c>
      <c r="O2005">
        <v>2.1358562820495187E-2</v>
      </c>
      <c r="P2005">
        <v>2.8439970025830805E-2</v>
      </c>
      <c r="Q2005">
        <v>5.5600497310996106E-3</v>
      </c>
      <c r="R2005">
        <v>1.7426831971627567E-3</v>
      </c>
      <c r="S2005">
        <v>0.2635799855877311</v>
      </c>
      <c r="T2005">
        <v>1.3634393688468183</v>
      </c>
      <c r="U2005">
        <v>0.21441881778428465</v>
      </c>
      <c r="V2005">
        <v>0.25078454306794107</v>
      </c>
      <c r="W2005">
        <v>0.10426449781959644</v>
      </c>
      <c r="X2005">
        <v>1.6421452143827557E-2</v>
      </c>
      <c r="Y2005">
        <v>4.7430091873154724E-3</v>
      </c>
    </row>
    <row r="2006" spans="1:25">
      <c r="A2006" s="1010"/>
      <c r="B2006" s="1351">
        <v>1756</v>
      </c>
      <c r="C2006" s="1014">
        <v>0.98072255739778202</v>
      </c>
      <c r="D2006" s="1014">
        <v>0.96773088827798326</v>
      </c>
      <c r="E2006" s="1014">
        <v>0.99963080941976279</v>
      </c>
      <c r="F2006" s="1014">
        <v>1.0306128710970208</v>
      </c>
      <c r="G2006" s="1014">
        <v>1.009293720492352</v>
      </c>
      <c r="H2006" s="1014">
        <v>1.017259352784206</v>
      </c>
      <c r="I2006" s="1014">
        <v>0.97630722915078205</v>
      </c>
      <c r="K2006">
        <v>2.4778334060008445</v>
      </c>
      <c r="L2006">
        <v>0</v>
      </c>
      <c r="M2006">
        <v>1.7166415474262164E-3</v>
      </c>
      <c r="N2006">
        <v>0.15609043118742441</v>
      </c>
      <c r="O2006">
        <v>2.1552817485889757E-2</v>
      </c>
      <c r="P2006">
        <v>2.9212038466248712E-2</v>
      </c>
      <c r="Q2006">
        <v>5.6378438403175005E-3</v>
      </c>
      <c r="R2006">
        <v>1.6943667303447485E-3</v>
      </c>
      <c r="S2006">
        <v>0.26320726209069428</v>
      </c>
      <c r="T2006">
        <v>1.4136201660871188</v>
      </c>
      <c r="U2006">
        <v>0.2161387248618605</v>
      </c>
      <c r="V2006">
        <v>0.24834598336437111</v>
      </c>
      <c r="W2006">
        <v>0.10256330833553261</v>
      </c>
      <c r="X2006">
        <v>1.6875597406312764E-2</v>
      </c>
      <c r="Y2006">
        <v>4.6115076921558612E-3</v>
      </c>
    </row>
    <row r="2007" spans="1:25">
      <c r="A2007" s="1010"/>
      <c r="B2007" s="1351">
        <v>1757</v>
      </c>
      <c r="C2007" s="1014">
        <v>0.99462224886496842</v>
      </c>
      <c r="D2007" s="1014">
        <v>0.99451243125471966</v>
      </c>
      <c r="E2007" s="1014">
        <v>0.99113045944981137</v>
      </c>
      <c r="F2007" s="1014">
        <v>1.0051709945390812</v>
      </c>
      <c r="G2007" s="1014">
        <v>1.0171129610337801</v>
      </c>
      <c r="H2007" s="1014">
        <v>0.96126938003251172</v>
      </c>
      <c r="I2007" s="1014">
        <v>1.0075530132347896</v>
      </c>
      <c r="K2007">
        <v>2.4132255838685586</v>
      </c>
      <c r="L2007">
        <v>0</v>
      </c>
      <c r="M2007">
        <v>1.6181728483154764E-3</v>
      </c>
      <c r="N2007">
        <v>0.14329525935214671</v>
      </c>
      <c r="O2007">
        <v>2.1118697470942166E-2</v>
      </c>
      <c r="P2007">
        <v>2.8463269679144084E-2</v>
      </c>
      <c r="Q2007">
        <v>5.4771651322876201E-3</v>
      </c>
      <c r="R2007">
        <v>1.5959527477834962E-3</v>
      </c>
      <c r="S2007">
        <v>0.25929183085958074</v>
      </c>
      <c r="T2007">
        <v>1.3785386838225104</v>
      </c>
      <c r="U2007">
        <v>0.21308902776392541</v>
      </c>
      <c r="V2007">
        <v>0.24882347764268162</v>
      </c>
      <c r="W2007">
        <v>9.4634546801129746E-2</v>
      </c>
      <c r="X2007">
        <v>1.6172188170958165E-2</v>
      </c>
      <c r="Y2007">
        <v>4.3436572737847639E-3</v>
      </c>
    </row>
    <row r="2008" spans="1:25">
      <c r="A2008" s="1010"/>
      <c r="B2008" s="1351">
        <v>1758</v>
      </c>
      <c r="C2008" s="1014">
        <v>0.96654447049105385</v>
      </c>
      <c r="D2008" s="1014">
        <v>1.0030155707544519</v>
      </c>
      <c r="E2008" s="1014">
        <v>0.98823694664180872</v>
      </c>
      <c r="F2008" s="1014">
        <v>0.98288689569342469</v>
      </c>
      <c r="G2008" s="1014">
        <v>0.99661946990567707</v>
      </c>
      <c r="H2008" s="1014">
        <v>0.99453687423231774</v>
      </c>
      <c r="I2008" s="1014">
        <v>0.98886342319006304</v>
      </c>
      <c r="K2008">
        <v>2.406582141869976</v>
      </c>
      <c r="L2008">
        <v>0</v>
      </c>
      <c r="M2008">
        <v>1.729920031982124E-3</v>
      </c>
      <c r="N2008">
        <v>0.15192725967751039</v>
      </c>
      <c r="O2008">
        <v>2.1689539306697835E-2</v>
      </c>
      <c r="P2008">
        <v>2.8106783452958851E-2</v>
      </c>
      <c r="Q2008">
        <v>5.6087830968609507E-3</v>
      </c>
      <c r="R2008">
        <v>1.7069600598758339E-3</v>
      </c>
      <c r="S2008">
        <v>0.263620547386274</v>
      </c>
      <c r="T2008">
        <v>1.3479158433148999</v>
      </c>
      <c r="U2008">
        <v>0.21926897309871557</v>
      </c>
      <c r="V2008">
        <v>0.24715529666379851</v>
      </c>
      <c r="W2008">
        <v>0.10050937646003469</v>
      </c>
      <c r="X2008">
        <v>1.6156916800583138E-2</v>
      </c>
      <c r="Y2008">
        <v>4.6457825837495107E-3</v>
      </c>
    </row>
    <row r="2009" spans="1:25">
      <c r="A2009" s="1010"/>
      <c r="B2009" s="1351">
        <v>1759</v>
      </c>
      <c r="C2009" s="1014">
        <v>1.0023672323477428</v>
      </c>
      <c r="D2009" s="1014">
        <v>1.0199906731738928</v>
      </c>
      <c r="E2009" s="1014">
        <v>0.98470395921734</v>
      </c>
      <c r="F2009" s="1014">
        <v>1.0128966756948956</v>
      </c>
      <c r="G2009" s="1014">
        <v>0.96754488537685623</v>
      </c>
      <c r="H2009" s="1014">
        <v>1.0420546843272001</v>
      </c>
      <c r="I2009" s="1014">
        <v>0.99444763543388792</v>
      </c>
      <c r="K2009">
        <v>2.4264798910888241</v>
      </c>
      <c r="L2009">
        <v>0</v>
      </c>
      <c r="M2009">
        <v>1.7541354975597612E-3</v>
      </c>
      <c r="N2009">
        <v>0.15251019496054988</v>
      </c>
      <c r="O2009">
        <v>2.0834994527510704E-2</v>
      </c>
      <c r="P2009">
        <v>2.8299208780978666E-2</v>
      </c>
      <c r="Q2009">
        <v>5.3685597479935995E-3</v>
      </c>
      <c r="R2009">
        <v>1.7319157640771649E-3</v>
      </c>
      <c r="S2009">
        <v>0.25746179736014185</v>
      </c>
      <c r="T2009">
        <v>1.3889936065392934</v>
      </c>
      <c r="U2009">
        <v>0.21142068109288265</v>
      </c>
      <c r="V2009">
        <v>0.23989425970049813</v>
      </c>
      <c r="W2009">
        <v>0.1011093910830075</v>
      </c>
      <c r="X2009">
        <v>1.589571324550788E-2</v>
      </c>
      <c r="Y2009">
        <v>4.7137037839398554E-3</v>
      </c>
    </row>
    <row r="2010" spans="1:25">
      <c r="A2010" s="1010"/>
      <c r="B2010" s="1351">
        <v>1760</v>
      </c>
      <c r="C2010" s="1014">
        <v>1.041605384880498</v>
      </c>
      <c r="D2010" s="1014">
        <v>1.0047367071622448</v>
      </c>
      <c r="E2010" s="1014">
        <v>1.046249767135436</v>
      </c>
      <c r="F2010" s="1014">
        <v>0.98017440825075564</v>
      </c>
      <c r="G2010" s="1014">
        <v>1.0352085458605356</v>
      </c>
      <c r="H2010" s="1014">
        <v>1.0018341897677563</v>
      </c>
      <c r="I2010" s="1014">
        <v>0.99982760677187332</v>
      </c>
      <c r="K2010">
        <v>2.3680065393642797</v>
      </c>
      <c r="L2010">
        <v>0</v>
      </c>
      <c r="M2010">
        <v>1.4327073838269282E-3</v>
      </c>
      <c r="N2010">
        <v>0.14991048660628609</v>
      </c>
      <c r="O2010">
        <v>2.0155963260044256E-2</v>
      </c>
      <c r="P2010">
        <v>2.888043784198735E-2</v>
      </c>
      <c r="Q2010">
        <v>5.5221555595240807E-3</v>
      </c>
      <c r="R2010">
        <v>1.4138306058114609E-3</v>
      </c>
      <c r="S2010">
        <v>0.24817419027846055</v>
      </c>
      <c r="T2010">
        <v>1.3454299283376567</v>
      </c>
      <c r="U2010">
        <v>0.20365872825020326</v>
      </c>
      <c r="V2010">
        <v>0.24888021409886579</v>
      </c>
      <c r="W2010">
        <v>9.5858156513421527E-2</v>
      </c>
      <c r="X2010">
        <v>1.7707174555962824E-2</v>
      </c>
      <c r="Y2010">
        <v>3.84798083988485E-3</v>
      </c>
    </row>
    <row r="2011" spans="1:25">
      <c r="A2011" s="1010"/>
      <c r="B2011" s="1351">
        <v>1761</v>
      </c>
      <c r="C2011" s="1014">
        <v>0.99822546481901675</v>
      </c>
      <c r="D2011" s="1014">
        <v>1.0024540933332646</v>
      </c>
      <c r="E2011" s="1014">
        <v>1.042693967002678</v>
      </c>
      <c r="F2011" s="1014">
        <v>1.020054426993505</v>
      </c>
      <c r="G2011" s="1014">
        <v>0.98215265427448339</v>
      </c>
      <c r="H2011" s="1014">
        <v>0.98193206323906501</v>
      </c>
      <c r="I2011" s="1014">
        <v>0.99603757325830922</v>
      </c>
      <c r="K2011">
        <v>2.4410152052568885</v>
      </c>
      <c r="L2011">
        <v>0</v>
      </c>
      <c r="M2011">
        <v>1.476929403664228E-3</v>
      </c>
      <c r="N2011">
        <v>0.15285031727226756</v>
      </c>
      <c r="O2011">
        <v>2.1040029793228554E-2</v>
      </c>
      <c r="P2011">
        <v>2.9728402218322743E-2</v>
      </c>
      <c r="Q2011">
        <v>5.7442942483095167E-3</v>
      </c>
      <c r="R2011">
        <v>1.4570755638379912E-3</v>
      </c>
      <c r="S2011">
        <v>0.25655128743998995</v>
      </c>
      <c r="T2011">
        <v>1.4000918578225712</v>
      </c>
      <c r="U2011">
        <v>0.21249687668730485</v>
      </c>
      <c r="V2011">
        <v>0.24244829706729309</v>
      </c>
      <c r="W2011">
        <v>9.7937655912095106E-2</v>
      </c>
      <c r="X2011">
        <v>1.8180361275393169E-2</v>
      </c>
      <c r="Y2011">
        <v>3.9656793599364823E-3</v>
      </c>
    </row>
    <row r="2012" spans="1:25">
      <c r="A2012" s="1010"/>
      <c r="B2012" s="1351">
        <v>1762</v>
      </c>
      <c r="C2012" s="1014">
        <v>0.98392724052823577</v>
      </c>
      <c r="D2012" s="1014">
        <v>1.0043096701002938</v>
      </c>
      <c r="E2012" s="1014">
        <v>0.99029574928874387</v>
      </c>
      <c r="F2012" s="1014">
        <v>1.0106764035743521</v>
      </c>
      <c r="G2012" s="1014">
        <v>1.0242284935430903</v>
      </c>
      <c r="H2012" s="1014">
        <v>0.98024305857937488</v>
      </c>
      <c r="I2012" s="1014">
        <v>1.0144547335705834</v>
      </c>
      <c r="K2012">
        <v>2.4373481608267973</v>
      </c>
      <c r="L2012">
        <v>0</v>
      </c>
      <c r="M2012">
        <v>1.6673354904247735E-3</v>
      </c>
      <c r="N2012">
        <v>0.14731635398711468</v>
      </c>
      <c r="O2012">
        <v>2.1301698282950685E-2</v>
      </c>
      <c r="P2012">
        <v>2.8671835317968464E-2</v>
      </c>
      <c r="Q2012">
        <v>5.5199693624833771E-3</v>
      </c>
      <c r="R2012">
        <v>1.6448834695498935E-3</v>
      </c>
      <c r="S2012">
        <v>0.26425877491005573</v>
      </c>
      <c r="T2012">
        <v>1.3860708486090663</v>
      </c>
      <c r="U2012">
        <v>0.21540234911643469</v>
      </c>
      <c r="V2012">
        <v>0.2507237838702967</v>
      </c>
      <c r="W2012">
        <v>9.7338777746633895E-2</v>
      </c>
      <c r="X2012">
        <v>1.6289391076245618E-2</v>
      </c>
      <c r="Y2012">
        <v>4.4768305684248022E-3</v>
      </c>
    </row>
    <row r="2013" spans="1:25">
      <c r="A2013" s="1010"/>
      <c r="B2013" s="1351">
        <v>1763</v>
      </c>
      <c r="C2013" s="1014">
        <v>0.97963044782233277</v>
      </c>
      <c r="D2013" s="1014">
        <v>0.99638767879790646</v>
      </c>
      <c r="E2013" s="1014">
        <v>1.003718128342928</v>
      </c>
      <c r="F2013" s="1014">
        <v>1.009332359225555</v>
      </c>
      <c r="G2013" s="1014">
        <v>1.0055461715909946</v>
      </c>
      <c r="H2013" s="1014">
        <v>0.99032576829434671</v>
      </c>
      <c r="I2013" s="1014">
        <v>1.0261830653639561</v>
      </c>
      <c r="K2013">
        <v>2.4477012061016468</v>
      </c>
      <c r="L2013">
        <v>0</v>
      </c>
      <c r="M2013">
        <v>1.6483089482743334E-3</v>
      </c>
      <c r="N2013">
        <v>0.15168487310487194</v>
      </c>
      <c r="O2013">
        <v>2.1441534686950599E-2</v>
      </c>
      <c r="P2013">
        <v>2.899912075698113E-2</v>
      </c>
      <c r="Q2013">
        <v>5.6318035843376723E-3</v>
      </c>
      <c r="R2013">
        <v>1.6263391153020933E-3</v>
      </c>
      <c r="S2013">
        <v>0.27057085616621224</v>
      </c>
      <c r="T2013">
        <v>1.3845204211893019</v>
      </c>
      <c r="U2013">
        <v>0.21639394583618762</v>
      </c>
      <c r="V2013">
        <v>0.24776228508875478</v>
      </c>
      <c r="W2013">
        <v>9.9427011111962602E-2</v>
      </c>
      <c r="X2013">
        <v>1.6864965459750449E-2</v>
      </c>
      <c r="Y2013">
        <v>4.4263589493070245E-3</v>
      </c>
    </row>
    <row r="2014" spans="1:25">
      <c r="A2014" s="1010"/>
      <c r="B2014" s="1351">
        <v>1764</v>
      </c>
      <c r="C2014" s="1014">
        <v>0.98374239085040016</v>
      </c>
      <c r="D2014" s="1014">
        <v>0.97948514485138793</v>
      </c>
      <c r="E2014" s="1014">
        <v>1.0144312102194877</v>
      </c>
      <c r="F2014" s="1014">
        <v>1.0325157014653343</v>
      </c>
      <c r="G2014" s="1014">
        <v>0.99527065769047485</v>
      </c>
      <c r="H2014" s="1014">
        <v>0.98071371890738379</v>
      </c>
      <c r="I2014" s="1014">
        <v>1.0423009392425031</v>
      </c>
      <c r="K2014">
        <v>2.481999923898643</v>
      </c>
      <c r="L2014">
        <v>0</v>
      </c>
      <c r="M2014">
        <v>1.5957097385798703E-3</v>
      </c>
      <c r="N2014">
        <v>0.15165170224159211</v>
      </c>
      <c r="O2014">
        <v>2.1439703275761227E-2</v>
      </c>
      <c r="P2014">
        <v>2.9695995472180117E-2</v>
      </c>
      <c r="Q2014">
        <v>5.6919849301793743E-3</v>
      </c>
      <c r="R2014">
        <v>1.5742325285909679E-3</v>
      </c>
      <c r="S2014">
        <v>0.27526150934161481</v>
      </c>
      <c r="T2014">
        <v>1.4165611250621013</v>
      </c>
      <c r="U2014">
        <v>0.2155267184321219</v>
      </c>
      <c r="V2014">
        <v>0.24570386239589365</v>
      </c>
      <c r="W2014">
        <v>9.8778822220753501E-2</v>
      </c>
      <c r="X2014">
        <v>1.7425435739222395E-2</v>
      </c>
      <c r="Y2014">
        <v>4.2845419972110345E-3</v>
      </c>
    </row>
    <row r="2015" spans="1:25">
      <c r="A2015" s="1010"/>
      <c r="B2015" s="1351">
        <v>1765</v>
      </c>
      <c r="C2015" s="1014">
        <v>0.99836952534707679</v>
      </c>
      <c r="D2015" s="1014">
        <v>1.0010158925073231</v>
      </c>
      <c r="E2015" s="1014">
        <v>0.95867172855772709</v>
      </c>
      <c r="F2015" s="1014">
        <v>0.96868361729003427</v>
      </c>
      <c r="G2015" s="1014">
        <v>1.0093045592186694</v>
      </c>
      <c r="H2015" s="1014">
        <v>1.0127729876449449</v>
      </c>
      <c r="I2015" s="1014">
        <v>0.98998977616314643</v>
      </c>
      <c r="K2015">
        <v>2.3610884280459112</v>
      </c>
      <c r="L2015">
        <v>0</v>
      </c>
      <c r="M2015">
        <v>1.8136804490380865E-3</v>
      </c>
      <c r="N2015">
        <v>0.14568249845236542</v>
      </c>
      <c r="O2015">
        <v>2.0987797700721875E-2</v>
      </c>
      <c r="P2015">
        <v>2.7036068723251924E-2</v>
      </c>
      <c r="Q2015">
        <v>5.2660714658440003E-3</v>
      </c>
      <c r="R2015">
        <v>1.7900422230457203E-3</v>
      </c>
      <c r="S2015">
        <v>0.25706112411621512</v>
      </c>
      <c r="T2015">
        <v>1.3278216951562472</v>
      </c>
      <c r="U2015">
        <v>0.21217854063705807</v>
      </c>
      <c r="V2015">
        <v>0.24737503606091202</v>
      </c>
      <c r="W2015">
        <v>9.8123251937509759E-2</v>
      </c>
      <c r="X2015">
        <v>1.4708077177908672E-2</v>
      </c>
      <c r="Y2015">
        <v>4.8719048438702131E-3</v>
      </c>
    </row>
    <row r="2016" spans="1:25">
      <c r="A2016" s="1010"/>
      <c r="B2016" s="1351">
        <v>1766</v>
      </c>
      <c r="C2016" s="1014">
        <v>1.0088040295243488</v>
      </c>
      <c r="D2016" s="1014">
        <v>0.98928122866082835</v>
      </c>
      <c r="E2016" s="1014">
        <v>0.97770556835440026</v>
      </c>
      <c r="F2016" s="1014">
        <v>1.019856808112994</v>
      </c>
      <c r="G2016" s="1014">
        <v>0.98848260476773653</v>
      </c>
      <c r="H2016" s="1014">
        <v>1.009383148133038</v>
      </c>
      <c r="I2016" s="1014">
        <v>1.0032645199902057</v>
      </c>
      <c r="K2016">
        <v>2.4299328680493377</v>
      </c>
      <c r="L2016">
        <v>0</v>
      </c>
      <c r="M2016">
        <v>1.7244694284206225E-3</v>
      </c>
      <c r="N2016">
        <v>0.14672887592243683</v>
      </c>
      <c r="O2016">
        <v>2.0837152504976305E-2</v>
      </c>
      <c r="P2016">
        <v>2.8323475849714765E-2</v>
      </c>
      <c r="Q2016">
        <v>5.3310853513268931E-3</v>
      </c>
      <c r="R2016">
        <v>1.701918435525722E-3</v>
      </c>
      <c r="S2016">
        <v>0.25920711438932154</v>
      </c>
      <c r="T2016">
        <v>1.3983843226296446</v>
      </c>
      <c r="U2016">
        <v>0.21004804382070905</v>
      </c>
      <c r="V2016">
        <v>0.24309952293729375</v>
      </c>
      <c r="W2016">
        <v>9.7688108064655194E-2</v>
      </c>
      <c r="X2016">
        <v>1.567565662791193E-2</v>
      </c>
      <c r="Y2016">
        <v>4.6320609442395263E-3</v>
      </c>
    </row>
    <row r="2017" spans="1:25">
      <c r="A2017" s="1010"/>
      <c r="B2017" s="1351">
        <v>1767</v>
      </c>
      <c r="C2017" s="1014">
        <v>1.0012045555626587</v>
      </c>
      <c r="D2017" s="1014">
        <v>1.0339141522045989</v>
      </c>
      <c r="E2017" s="1014">
        <v>0.98044524147362888</v>
      </c>
      <c r="F2017" s="1014">
        <v>1.0412357959386751</v>
      </c>
      <c r="G2017" s="1014">
        <v>0.99417960396015126</v>
      </c>
      <c r="H2017" s="1014">
        <v>0.96573026672422801</v>
      </c>
      <c r="I2017" s="1014">
        <v>0.98604404072263829</v>
      </c>
      <c r="K2017">
        <v>2.4401101542582158</v>
      </c>
      <c r="L2017">
        <v>0</v>
      </c>
      <c r="M2017">
        <v>1.637054388232822E-3</v>
      </c>
      <c r="N2017">
        <v>0.1403664302400803</v>
      </c>
      <c r="O2017">
        <v>2.0794268718117234E-2</v>
      </c>
      <c r="P2017">
        <v>2.8660865020823916E-2</v>
      </c>
      <c r="Q2017">
        <v>5.3349564118614634E-3</v>
      </c>
      <c r="R2017">
        <v>1.6146788503545314E-3</v>
      </c>
      <c r="S2017">
        <v>0.24750025370368822</v>
      </c>
      <c r="T2017">
        <v>1.4277597136935345</v>
      </c>
      <c r="U2017">
        <v>0.21165170008080395</v>
      </c>
      <c r="V2017">
        <v>0.24453235073950585</v>
      </c>
      <c r="W2017">
        <v>9.3297582885002409E-2</v>
      </c>
      <c r="X2017">
        <v>1.5839784750750173E-2</v>
      </c>
      <c r="Y2017">
        <v>4.3946235519250684E-3</v>
      </c>
    </row>
    <row r="2018" spans="1:25">
      <c r="A2018" s="1010"/>
      <c r="B2018" s="1351">
        <v>1768</v>
      </c>
      <c r="C2018" s="1014">
        <v>0.99632164982100779</v>
      </c>
      <c r="D2018" s="1014">
        <v>1.0338495881091641</v>
      </c>
      <c r="E2018" s="1014">
        <v>1.0027514684398755</v>
      </c>
      <c r="F2018" s="1014">
        <v>0.99587788521592169</v>
      </c>
      <c r="G2018" s="1014">
        <v>1.0263959699509126</v>
      </c>
      <c r="H2018" s="1014">
        <v>0.97808514810781144</v>
      </c>
      <c r="I2018" s="1014">
        <v>0.9755257166591611</v>
      </c>
      <c r="K2018">
        <v>2.3934883167151813</v>
      </c>
      <c r="L2018">
        <v>0</v>
      </c>
      <c r="M2018">
        <v>1.5909069809417972E-3</v>
      </c>
      <c r="N2018">
        <v>0.14595096307180139</v>
      </c>
      <c r="O2018">
        <v>2.0911197789164396E-2</v>
      </c>
      <c r="P2018">
        <v>2.839139016490453E-2</v>
      </c>
      <c r="Q2018">
        <v>5.4871812757752887E-3</v>
      </c>
      <c r="R2018">
        <v>1.5694368673779162E-3</v>
      </c>
      <c r="S2018">
        <v>0.24726291783553694</v>
      </c>
      <c r="T2018">
        <v>1.3660438284070682</v>
      </c>
      <c r="U2018">
        <v>0.21276541784084968</v>
      </c>
      <c r="V2018">
        <v>0.25025895732069031</v>
      </c>
      <c r="W2018">
        <v>9.5723364663009E-2</v>
      </c>
      <c r="X2018">
        <v>1.6443078671667107E-2</v>
      </c>
      <c r="Y2018">
        <v>4.2714897882784016E-3</v>
      </c>
    </row>
    <row r="2019" spans="1:25">
      <c r="A2019" s="1010"/>
      <c r="B2019" s="1351">
        <v>1769</v>
      </c>
      <c r="C2019" s="1014">
        <v>1.01314495137134</v>
      </c>
      <c r="D2019" s="1014">
        <v>0.98071185203800981</v>
      </c>
      <c r="E2019" s="1014">
        <v>0.9843563724303741</v>
      </c>
      <c r="F2019" s="1014">
        <v>0.96801705077045941</v>
      </c>
      <c r="G2019" s="1014">
        <v>1.011034619123337</v>
      </c>
      <c r="H2019" s="1014">
        <v>1.0202561636681402</v>
      </c>
      <c r="I2019" s="1014">
        <v>0.9742020053584356</v>
      </c>
      <c r="K2019">
        <v>2.3573719312061066</v>
      </c>
      <c r="L2019">
        <v>0</v>
      </c>
      <c r="M2019">
        <v>1.7151477945368111E-3</v>
      </c>
      <c r="N2019">
        <v>0.14892295312089565</v>
      </c>
      <c r="O2019">
        <v>2.079198501260603E-2</v>
      </c>
      <c r="P2019">
        <v>2.7457818310732757E-2</v>
      </c>
      <c r="Q2019">
        <v>5.3555898428583612E-3</v>
      </c>
      <c r="R2019">
        <v>1.6929577312704324E-3</v>
      </c>
      <c r="S2019">
        <v>0.25266223861193504</v>
      </c>
      <c r="T2019">
        <v>1.3274425507309184</v>
      </c>
      <c r="U2019">
        <v>0.20917044247751629</v>
      </c>
      <c r="V2019">
        <v>0.24666353447802133</v>
      </c>
      <c r="W2019">
        <v>9.8751813965208629E-2</v>
      </c>
      <c r="X2019">
        <v>1.5567521857523829E-2</v>
      </c>
      <c r="Y2019">
        <v>4.6076728611519928E-3</v>
      </c>
    </row>
    <row r="2020" spans="1:25">
      <c r="A2020" s="1010"/>
      <c r="B2020" s="1351">
        <v>1770</v>
      </c>
      <c r="C2020" s="1014">
        <v>1.005063522638894</v>
      </c>
      <c r="D2020" s="1014">
        <v>1.0159063914162065</v>
      </c>
      <c r="E2020" s="1014">
        <v>0.96648119642829666</v>
      </c>
      <c r="F2020" s="1014">
        <v>1.001298575774805</v>
      </c>
      <c r="G2020" s="1014">
        <v>1.0289060429134513</v>
      </c>
      <c r="H2020" s="1014">
        <v>0.98968934544122333</v>
      </c>
      <c r="I2020" s="1014">
        <v>1.008729796335559</v>
      </c>
      <c r="K2020">
        <v>2.4009117115161995</v>
      </c>
      <c r="L2020">
        <v>0</v>
      </c>
      <c r="M2020">
        <v>1.7267965620755266E-3</v>
      </c>
      <c r="N2020">
        <v>0.14198060564159101</v>
      </c>
      <c r="O2020">
        <v>2.0785506097279968E-2</v>
      </c>
      <c r="P2020">
        <v>2.7807457307634634E-2</v>
      </c>
      <c r="Q2020">
        <v>5.2572831842143753E-3</v>
      </c>
      <c r="R2020">
        <v>1.7037657899191061E-3</v>
      </c>
      <c r="S2020">
        <v>0.25637592370055712</v>
      </c>
      <c r="T2020">
        <v>1.3726963960949408</v>
      </c>
      <c r="U2020">
        <v>0.21079177045191447</v>
      </c>
      <c r="V2020">
        <v>0.25028015737957482</v>
      </c>
      <c r="W2020">
        <v>9.5173734609011379E-2</v>
      </c>
      <c r="X2020">
        <v>1.5148818987715499E-2</v>
      </c>
      <c r="Y2020">
        <v>4.6370888339181066E-3</v>
      </c>
    </row>
    <row r="2021" spans="1:25">
      <c r="A2021" s="1010"/>
      <c r="B2021" s="1351">
        <v>1771</v>
      </c>
      <c r="C2021" s="1014">
        <v>0.98237037935528659</v>
      </c>
      <c r="D2021" s="1014">
        <v>0.96777243948858904</v>
      </c>
      <c r="E2021" s="1014">
        <v>1.0314230573870093</v>
      </c>
      <c r="F2021" s="1014">
        <v>0.96688425627728369</v>
      </c>
      <c r="G2021" s="1014">
        <v>0.98890079298447398</v>
      </c>
      <c r="H2021" s="1014">
        <v>1.02647655830132</v>
      </c>
      <c r="I2021" s="1014">
        <v>0.98692587857509895</v>
      </c>
      <c r="K2021">
        <v>2.3986985104067808</v>
      </c>
      <c r="L2021">
        <v>0</v>
      </c>
      <c r="M2021">
        <v>1.6186587990289387E-3</v>
      </c>
      <c r="N2021">
        <v>0.16202060760693693</v>
      </c>
      <c r="O2021">
        <v>2.1538146782960302E-2</v>
      </c>
      <c r="P2021">
        <v>2.8684753494727176E-2</v>
      </c>
      <c r="Q2021">
        <v>5.8153758561890409E-3</v>
      </c>
      <c r="R2021">
        <v>1.5978439869172088E-3</v>
      </c>
      <c r="S2021">
        <v>0.26667983561002984</v>
      </c>
      <c r="T2021">
        <v>1.3268749166650624</v>
      </c>
      <c r="U2021">
        <v>0.21588706069232247</v>
      </c>
      <c r="V2021">
        <v>0.2446468722078122</v>
      </c>
      <c r="W2021">
        <v>0.10449110299923907</v>
      </c>
      <c r="X2021">
        <v>1.7731848700349748E-2</v>
      </c>
      <c r="Y2021">
        <v>4.3488046032599172E-3</v>
      </c>
    </row>
    <row r="2022" spans="1:25">
      <c r="A2022" s="1010"/>
      <c r="B2022" s="1351">
        <v>1772</v>
      </c>
      <c r="C2022" s="1014">
        <v>1.0078662390286683</v>
      </c>
      <c r="D2022" s="1014">
        <v>0.989229315431572</v>
      </c>
      <c r="E2022" s="1014">
        <v>0.99938012471452997</v>
      </c>
      <c r="F2022" s="1014">
        <v>1.0040780550577397</v>
      </c>
      <c r="G2022" s="1014">
        <v>1.0136058592880093</v>
      </c>
      <c r="H2022" s="1014">
        <v>1.0152121383336683</v>
      </c>
      <c r="I2022" s="1014">
        <v>1.0133400141010269</v>
      </c>
      <c r="K2022">
        <v>2.4233856064411565</v>
      </c>
      <c r="L2022">
        <v>0</v>
      </c>
      <c r="M2022">
        <v>1.659871577795358E-3</v>
      </c>
      <c r="N2022">
        <v>0.15081019495561432</v>
      </c>
      <c r="O2022">
        <v>2.0871062217860399E-2</v>
      </c>
      <c r="P2022">
        <v>2.861096749681951E-2</v>
      </c>
      <c r="Q2022">
        <v>5.4581325608274315E-3</v>
      </c>
      <c r="R2022">
        <v>1.6382899645646116E-3</v>
      </c>
      <c r="S2022">
        <v>0.26273990592694241</v>
      </c>
      <c r="T2022">
        <v>1.3772187566001375</v>
      </c>
      <c r="U2022">
        <v>0.21031686344703759</v>
      </c>
      <c r="V2022">
        <v>0.24736989810590693</v>
      </c>
      <c r="W2022">
        <v>9.9108561918303167E-2</v>
      </c>
      <c r="X2022">
        <v>1.6443959603532576E-2</v>
      </c>
      <c r="Y2022">
        <v>4.458885221403198E-3</v>
      </c>
    </row>
    <row r="2023" spans="1:25">
      <c r="A2023" s="1010"/>
      <c r="B2023" s="1351">
        <v>1773</v>
      </c>
      <c r="C2023" s="1014">
        <v>1.0156346106852834</v>
      </c>
      <c r="D2023" s="1014">
        <v>1.03162425098716</v>
      </c>
      <c r="E2023" s="1014">
        <v>0.97381313792478208</v>
      </c>
      <c r="F2023" s="1014">
        <v>0.98726377574812663</v>
      </c>
      <c r="G2023" s="1014">
        <v>1.0038483385829384</v>
      </c>
      <c r="H2023" s="1014">
        <v>0.99518627337180965</v>
      </c>
      <c r="I2023" s="1014">
        <v>1.0113050913344386</v>
      </c>
      <c r="K2023">
        <v>2.3699546719714792</v>
      </c>
      <c r="L2023">
        <v>0</v>
      </c>
      <c r="M2023">
        <v>1.6867933854441792E-3</v>
      </c>
      <c r="N2023">
        <v>0.14181544240483823</v>
      </c>
      <c r="O2023">
        <v>2.0504538688354855E-2</v>
      </c>
      <c r="P2023">
        <v>2.7567331558124842E-2</v>
      </c>
      <c r="Q2023">
        <v>5.2252253536955937E-3</v>
      </c>
      <c r="R2023">
        <v>1.6644204107937727E-3</v>
      </c>
      <c r="S2023">
        <v>0.25293531938742647</v>
      </c>
      <c r="T2023">
        <v>1.3536114446435832</v>
      </c>
      <c r="U2023">
        <v>0.20862233095299232</v>
      </c>
      <c r="V2023">
        <v>0.24532381851958177</v>
      </c>
      <c r="W2023">
        <v>9.4639799365261859E-2</v>
      </c>
      <c r="X2023">
        <v>1.5201790390130823E-2</v>
      </c>
      <c r="Y2023">
        <v>4.5300036821396905E-3</v>
      </c>
    </row>
    <row r="2024" spans="1:25">
      <c r="A2024" s="1010"/>
      <c r="B2024" s="1351">
        <v>1774</v>
      </c>
      <c r="C2024" s="1014">
        <v>0.99652790841933614</v>
      </c>
      <c r="D2024" s="1014">
        <v>1.0003612947645717</v>
      </c>
      <c r="E2024" s="1014">
        <v>0.99241715576151046</v>
      </c>
      <c r="F2024" s="1014">
        <v>0.99493271872121825</v>
      </c>
      <c r="G2024" s="1014">
        <v>0.99530676529732676</v>
      </c>
      <c r="H2024" s="1014">
        <v>1.0128251032533271</v>
      </c>
      <c r="I2024" s="1014">
        <v>0.99556413401171362</v>
      </c>
      <c r="K2024">
        <v>2.4072821878119273</v>
      </c>
      <c r="L2024">
        <v>0</v>
      </c>
      <c r="M2024">
        <v>1.6949818438689011E-3</v>
      </c>
      <c r="N2024">
        <v>0.15078874776862572</v>
      </c>
      <c r="O2024">
        <v>2.1051993186292872E-2</v>
      </c>
      <c r="P2024">
        <v>2.8243758601717864E-2</v>
      </c>
      <c r="Q2024">
        <v>5.4669637222640403E-3</v>
      </c>
      <c r="R2024">
        <v>1.6728917881165643E-3</v>
      </c>
      <c r="S2024">
        <v>0.25935111477535028</v>
      </c>
      <c r="T2024">
        <v>1.3645250734755292</v>
      </c>
      <c r="U2024">
        <v>0.2126859455844585</v>
      </c>
      <c r="V2024">
        <v>0.24497412044753225</v>
      </c>
      <c r="W2024">
        <v>9.9506747146421923E-2</v>
      </c>
      <c r="X2024">
        <v>1.6156753180862609E-2</v>
      </c>
      <c r="Y2024">
        <v>4.5530599786235441E-3</v>
      </c>
    </row>
    <row r="2025" spans="1:25">
      <c r="A2025" s="1010"/>
      <c r="B2025" s="1351">
        <v>1775</v>
      </c>
      <c r="C2025" s="1014">
        <v>0.97960007702212137</v>
      </c>
      <c r="D2025" s="1014">
        <v>0.98707719737673782</v>
      </c>
      <c r="E2025" s="1014">
        <v>0.97264206342919812</v>
      </c>
      <c r="F2025" s="1014">
        <v>1.0063897138426057</v>
      </c>
      <c r="G2025" s="1014">
        <v>0.99399600892775231</v>
      </c>
      <c r="H2025" s="1014">
        <v>1.0102455206390559</v>
      </c>
      <c r="I2025" s="1014">
        <v>0.98642249941786153</v>
      </c>
      <c r="K2025">
        <v>2.4314142533431973</v>
      </c>
      <c r="L2025">
        <v>0</v>
      </c>
      <c r="M2025">
        <v>1.7969712785291163E-3</v>
      </c>
      <c r="N2025">
        <v>0.15057407059693753</v>
      </c>
      <c r="O2025">
        <v>2.1465457523652552E-2</v>
      </c>
      <c r="P2025">
        <v>2.8134776224813352E-2</v>
      </c>
      <c r="Q2025">
        <v>5.4635671820892169E-3</v>
      </c>
      <c r="R2025">
        <v>1.7734922339378695E-3</v>
      </c>
      <c r="S2025">
        <v>0.26277933077498455</v>
      </c>
      <c r="T2025">
        <v>1.3798091679153492</v>
      </c>
      <c r="U2025">
        <v>0.21629242301260043</v>
      </c>
      <c r="V2025">
        <v>0.24590320015218681</v>
      </c>
      <c r="W2025">
        <v>0.10055628758106981</v>
      </c>
      <c r="X2025">
        <v>1.5632590194881456E-2</v>
      </c>
      <c r="Y2025">
        <v>4.8268612292210857E-3</v>
      </c>
    </row>
    <row r="2026" spans="1:25">
      <c r="A2026" s="1010"/>
      <c r="B2026" s="1351">
        <v>1776</v>
      </c>
      <c r="C2026" s="1014">
        <v>1.0276467975419081</v>
      </c>
      <c r="D2026" s="1014">
        <v>0.95386794706936207</v>
      </c>
      <c r="E2026" s="1014">
        <v>1.0150979792802701</v>
      </c>
      <c r="F2026" s="1014">
        <v>1.0224021649464561</v>
      </c>
      <c r="G2026" s="1014">
        <v>0.99963355963037437</v>
      </c>
      <c r="H2026" s="1014">
        <v>1.0120894440240176</v>
      </c>
      <c r="I2026" s="1014">
        <v>0.97082702261322829</v>
      </c>
      <c r="K2026">
        <v>2.4295258614724502</v>
      </c>
      <c r="L2026">
        <v>0</v>
      </c>
      <c r="M2026">
        <v>1.5834273276121571E-3</v>
      </c>
      <c r="N2026">
        <v>0.15085131203196189</v>
      </c>
      <c r="O2026">
        <v>2.0644176785700848E-2</v>
      </c>
      <c r="P2026">
        <v>2.9034478130137334E-2</v>
      </c>
      <c r="Q2026">
        <v>5.4844268758548935E-3</v>
      </c>
      <c r="R2026">
        <v>1.5627761196997793E-3</v>
      </c>
      <c r="S2026">
        <v>0.25130611012907367</v>
      </c>
      <c r="T2026">
        <v>1.4027006340263413</v>
      </c>
      <c r="U2026">
        <v>0.20632094036198742</v>
      </c>
      <c r="V2026">
        <v>0.2437359009054775</v>
      </c>
      <c r="W2026">
        <v>9.8219005052784983E-2</v>
      </c>
      <c r="X2026">
        <v>1.6996166952226156E-2</v>
      </c>
      <c r="Y2026">
        <v>4.2533614288133934E-3</v>
      </c>
    </row>
    <row r="2027" spans="1:25">
      <c r="A2027" s="1010"/>
      <c r="B2027" s="1351">
        <v>1777</v>
      </c>
      <c r="C2027" s="1014">
        <v>0.99590953332438348</v>
      </c>
      <c r="D2027" s="1014">
        <v>1.004905946933681</v>
      </c>
      <c r="E2027" s="1014">
        <v>0.9773576605828318</v>
      </c>
      <c r="F2027" s="1014">
        <v>1.0381683727984334</v>
      </c>
      <c r="G2027" s="1014">
        <v>0.99730218769641577</v>
      </c>
      <c r="H2027" s="1014">
        <v>0.95542154026238413</v>
      </c>
      <c r="I2027" s="1014">
        <v>0.99169393817779927</v>
      </c>
      <c r="K2027">
        <v>2.443166799337626</v>
      </c>
      <c r="L2027">
        <v>0</v>
      </c>
      <c r="M2027">
        <v>1.6489081390450233E-3</v>
      </c>
      <c r="N2027">
        <v>0.14004711744207005</v>
      </c>
      <c r="O2027">
        <v>2.1034068402498586E-2</v>
      </c>
      <c r="P2027">
        <v>2.8636094269665992E-2</v>
      </c>
      <c r="Q2027">
        <v>5.3795601039245281E-3</v>
      </c>
      <c r="R2027">
        <v>1.6261274082596732E-3</v>
      </c>
      <c r="S2027">
        <v>0.25294269160457389</v>
      </c>
      <c r="T2027">
        <v>1.4234845865317993</v>
      </c>
      <c r="U2027">
        <v>0.21276644211868317</v>
      </c>
      <c r="V2027">
        <v>0.24540837518291853</v>
      </c>
      <c r="W2027">
        <v>9.3259202121914339E-2</v>
      </c>
      <c r="X2027">
        <v>1.5805659537835939E-2</v>
      </c>
      <c r="Y2027">
        <v>4.4257827525267645E-3</v>
      </c>
    </row>
    <row r="2028" spans="1:25">
      <c r="A2028" s="1010"/>
      <c r="B2028" s="1351">
        <v>1778</v>
      </c>
      <c r="C2028" s="1014">
        <v>1.0354512166906242</v>
      </c>
      <c r="D2028" s="1014">
        <v>1.0320379453632862</v>
      </c>
      <c r="E2028" s="1014">
        <v>1.0229300585713799</v>
      </c>
      <c r="F2028" s="1014">
        <v>0.95946516336865684</v>
      </c>
      <c r="G2028" s="1014">
        <v>0.972597820998643</v>
      </c>
      <c r="H2028" s="1014">
        <v>0.99115320176577326</v>
      </c>
      <c r="I2028" s="1014">
        <v>0.99984557354525161</v>
      </c>
      <c r="K2028">
        <v>2.3183574862655814</v>
      </c>
      <c r="L2028">
        <v>0</v>
      </c>
      <c r="M2028">
        <v>1.4881011719716649E-3</v>
      </c>
      <c r="N2028">
        <v>0.14511900455344112</v>
      </c>
      <c r="O2028">
        <v>2.0141601033767123E-2</v>
      </c>
      <c r="P2028">
        <v>2.782993306062042E-2</v>
      </c>
      <c r="Q2028">
        <v>5.3927590948155048E-3</v>
      </c>
      <c r="R2028">
        <v>1.4682832602789498E-3</v>
      </c>
      <c r="S2028">
        <v>0.24528636545812044</v>
      </c>
      <c r="T2028">
        <v>1.3165163673534719</v>
      </c>
      <c r="U2028">
        <v>0.20479178535704967</v>
      </c>
      <c r="V2028">
        <v>0.2386364192691294</v>
      </c>
      <c r="W2028">
        <v>9.4054410435896754E-2</v>
      </c>
      <c r="X2028">
        <v>1.6612475545926614E-2</v>
      </c>
      <c r="Y2028">
        <v>3.9961830150326335E-3</v>
      </c>
    </row>
    <row r="2029" spans="1:25">
      <c r="A2029" s="1010"/>
      <c r="B2029" s="1351">
        <v>1779</v>
      </c>
      <c r="C2029" s="1014">
        <v>0.9931272273610634</v>
      </c>
      <c r="D2029" s="1014">
        <v>0.98181791811030328</v>
      </c>
      <c r="E2029" s="1014">
        <v>1.0246373921802425</v>
      </c>
      <c r="F2029" s="1014">
        <v>0.95657506086830124</v>
      </c>
      <c r="G2029" s="1014">
        <v>1.0340538884352741</v>
      </c>
      <c r="H2029" s="1014">
        <v>0.99516875331912502</v>
      </c>
      <c r="I2029" s="1014">
        <v>1.011016010648528</v>
      </c>
      <c r="K2029">
        <v>2.3735197774741104</v>
      </c>
      <c r="L2029">
        <v>0</v>
      </c>
      <c r="M2029">
        <v>1.5694075340118277E-3</v>
      </c>
      <c r="N2029">
        <v>0.15384645667102201</v>
      </c>
      <c r="O2029">
        <v>2.1232860029192151E-2</v>
      </c>
      <c r="P2029">
        <v>2.8393641248119862E-2</v>
      </c>
      <c r="Q2029">
        <v>5.6945726530153156E-3</v>
      </c>
      <c r="R2029">
        <v>1.5485911533965877E-3</v>
      </c>
      <c r="S2029">
        <v>0.26550207993074265</v>
      </c>
      <c r="T2029">
        <v>1.3125862423500154</v>
      </c>
      <c r="U2029">
        <v>0.21352527111610836</v>
      </c>
      <c r="V2029">
        <v>0.25168736160714356</v>
      </c>
      <c r="W2029">
        <v>9.9611585501035979E-2</v>
      </c>
      <c r="X2029">
        <v>1.7245768121716628E-2</v>
      </c>
      <c r="Y2029">
        <v>4.2147546266089932E-3</v>
      </c>
    </row>
    <row r="2030" spans="1:25">
      <c r="A2030" s="1010"/>
      <c r="B2030" s="1351">
        <v>1780</v>
      </c>
      <c r="C2030" s="1014">
        <v>0.96548063211624613</v>
      </c>
      <c r="D2030" s="1014">
        <v>1.028613984009499</v>
      </c>
      <c r="E2030" s="1014">
        <v>1.0191122538644215</v>
      </c>
      <c r="F2030" s="1014">
        <v>1.03648333833537</v>
      </c>
      <c r="G2030" s="1014">
        <v>0.98076500598096195</v>
      </c>
      <c r="H2030" s="1014">
        <v>0.97463444746788019</v>
      </c>
      <c r="I2030" s="1014">
        <v>0.99616481828781067</v>
      </c>
      <c r="K2030">
        <v>2.4778296627833534</v>
      </c>
      <c r="L2030">
        <v>0</v>
      </c>
      <c r="M2030">
        <v>1.5830236165574475E-3</v>
      </c>
      <c r="N2030">
        <v>0.15257320041425615</v>
      </c>
      <c r="O2030">
        <v>2.1614490819374638E-2</v>
      </c>
      <c r="P2030">
        <v>2.971716995800798E-2</v>
      </c>
      <c r="Q2030">
        <v>5.765203261241466E-3</v>
      </c>
      <c r="R2030">
        <v>1.5615842546536417E-3</v>
      </c>
      <c r="S2030">
        <v>0.26105480755862898</v>
      </c>
      <c r="T2030">
        <v>1.422109813269872</v>
      </c>
      <c r="U2030">
        <v>0.21961995329422257</v>
      </c>
      <c r="V2030">
        <v>0.24441176850554275</v>
      </c>
      <c r="W2030">
        <v>9.9106559797958571E-2</v>
      </c>
      <c r="X2030">
        <v>1.7628017701096555E-2</v>
      </c>
      <c r="Y2030">
        <v>4.2501175650560153E-3</v>
      </c>
    </row>
    <row r="2031" spans="1:25">
      <c r="A2031" s="1010"/>
      <c r="B2031" s="1351">
        <v>1781</v>
      </c>
      <c r="C2031" s="1014">
        <v>0.99950442990192079</v>
      </c>
      <c r="D2031" s="1014">
        <v>1.0301705028832711</v>
      </c>
      <c r="E2031" s="1014">
        <v>1.0178160073988121</v>
      </c>
      <c r="F2031" s="1014">
        <v>0.98523238975235772</v>
      </c>
      <c r="G2031" s="1014">
        <v>1.0146329338418085</v>
      </c>
      <c r="H2031" s="1014">
        <v>1.009780980094608</v>
      </c>
      <c r="I2031" s="1014">
        <v>0.95369805494733617</v>
      </c>
      <c r="K2031">
        <v>2.3836921819814316</v>
      </c>
      <c r="L2031">
        <v>0</v>
      </c>
      <c r="M2031">
        <v>1.5880283022216279E-3</v>
      </c>
      <c r="N2031">
        <v>0.1525309887525923</v>
      </c>
      <c r="O2031">
        <v>2.0870917313308718E-2</v>
      </c>
      <c r="P2031">
        <v>2.8427364246372169E-2</v>
      </c>
      <c r="Q2031">
        <v>5.5596957076379473E-3</v>
      </c>
      <c r="R2031">
        <v>1.5672697399849184E-3</v>
      </c>
      <c r="S2031">
        <v>0.244061910573901</v>
      </c>
      <c r="T2031">
        <v>1.3517630863068464</v>
      </c>
      <c r="U2031">
        <v>0.21213949793173445</v>
      </c>
      <c r="V2031">
        <v>0.24799645584483562</v>
      </c>
      <c r="W2031">
        <v>9.9154398806030219E-2</v>
      </c>
      <c r="X2031">
        <v>1.6943033478502983E-2</v>
      </c>
      <c r="Y2031">
        <v>4.2655915819080148E-3</v>
      </c>
    </row>
    <row r="2032" spans="1:25">
      <c r="A2032" s="1010"/>
      <c r="B2032" s="1351">
        <v>1782</v>
      </c>
      <c r="C2032" s="1014">
        <v>0.98795497272957489</v>
      </c>
      <c r="D2032" s="1014">
        <v>0.99161330947424087</v>
      </c>
      <c r="E2032" s="1014">
        <v>0.97113095775907476</v>
      </c>
      <c r="F2032" s="1014">
        <v>0.98246468299282252</v>
      </c>
      <c r="G2032" s="1014">
        <v>0.99830258454856657</v>
      </c>
      <c r="H2032" s="1014">
        <v>1.0031818039033218</v>
      </c>
      <c r="I2032" s="1014">
        <v>0.97331362366152685</v>
      </c>
      <c r="K2032">
        <v>2.3844443405529852</v>
      </c>
      <c r="L2032">
        <v>0</v>
      </c>
      <c r="M2032">
        <v>1.7730569489755332E-3</v>
      </c>
      <c r="N2032">
        <v>0.14787829475167055</v>
      </c>
      <c r="O2032">
        <v>2.1261458852816176E-2</v>
      </c>
      <c r="P2032">
        <v>2.7550239835896481E-2</v>
      </c>
      <c r="Q2032">
        <v>5.4033008677387756E-3</v>
      </c>
      <c r="R2032">
        <v>1.7497272434405411E-3</v>
      </c>
      <c r="S2032">
        <v>0.25589953400795235</v>
      </c>
      <c r="T2032">
        <v>1.3469748672010244</v>
      </c>
      <c r="U2032">
        <v>0.21445808600195138</v>
      </c>
      <c r="V2032">
        <v>0.24610635049310253</v>
      </c>
      <c r="W2032">
        <v>9.8846728636645342E-2</v>
      </c>
      <c r="X2032">
        <v>1.5326628850504925E-2</v>
      </c>
      <c r="Y2032">
        <v>4.7621807592143706E-3</v>
      </c>
    </row>
    <row r="2033" spans="1:25">
      <c r="A2033" s="1010"/>
      <c r="B2033" s="1351">
        <v>1783</v>
      </c>
      <c r="C2033" s="1014">
        <v>1.0068929114471545</v>
      </c>
      <c r="D2033" s="1014">
        <v>1.0019594235695952</v>
      </c>
      <c r="E2033" s="1014">
        <v>1.0323018951675618</v>
      </c>
      <c r="F2033" s="1014">
        <v>1.0057283172717333</v>
      </c>
      <c r="G2033" s="1014">
        <v>0.98647282437499728</v>
      </c>
      <c r="H2033" s="1014">
        <v>1.0327899751112144</v>
      </c>
      <c r="I2033" s="1014">
        <v>1.0080218754281149</v>
      </c>
      <c r="K2033">
        <v>2.4327483695564167</v>
      </c>
      <c r="L2033">
        <v>0</v>
      </c>
      <c r="M2033">
        <v>1.5739749132973985E-3</v>
      </c>
      <c r="N2033">
        <v>0.15797841821191902</v>
      </c>
      <c r="O2033">
        <v>2.0854294856530835E-2</v>
      </c>
      <c r="P2033">
        <v>2.9277913909590496E-2</v>
      </c>
      <c r="Q2033">
        <v>5.6356230960964713E-3</v>
      </c>
      <c r="R2033">
        <v>1.5538584323264014E-3</v>
      </c>
      <c r="S2033">
        <v>0.26171560925936516</v>
      </c>
      <c r="T2033">
        <v>1.3802006458687426</v>
      </c>
      <c r="U2033">
        <v>0.21063220305415506</v>
      </c>
      <c r="V2033">
        <v>0.24268197571333555</v>
      </c>
      <c r="W2033">
        <v>0.10183230843438516</v>
      </c>
      <c r="X2033">
        <v>1.7730403209769388E-2</v>
      </c>
      <c r="Y2033">
        <v>4.2290904234979134E-3</v>
      </c>
    </row>
    <row r="2034" spans="1:25">
      <c r="A2034" s="1010"/>
      <c r="B2034" s="1351">
        <v>1784</v>
      </c>
      <c r="C2034" s="1014">
        <v>0.97500546509359232</v>
      </c>
      <c r="D2034" s="1014">
        <v>0.96679817589046968</v>
      </c>
      <c r="E2034" s="1014">
        <v>0.97727914572661068</v>
      </c>
      <c r="F2034" s="1014">
        <v>1.0417185961166524</v>
      </c>
      <c r="G2034" s="1014">
        <v>0.97052693522157618</v>
      </c>
      <c r="H2034" s="1014">
        <v>1.0032407701401329</v>
      </c>
      <c r="I2034" s="1014">
        <v>1.0112649015442592</v>
      </c>
      <c r="K2034">
        <v>2.4903932109221665</v>
      </c>
      <c r="L2034">
        <v>0</v>
      </c>
      <c r="M2034">
        <v>1.7839539307259573E-3</v>
      </c>
      <c r="N2034">
        <v>0.15158214818006882</v>
      </c>
      <c r="O2034">
        <v>2.1668495443356958E-2</v>
      </c>
      <c r="P2034">
        <v>2.898560876042405E-2</v>
      </c>
      <c r="Q2034">
        <v>5.5413748557235501E-3</v>
      </c>
      <c r="R2034">
        <v>1.760482223446306E-3</v>
      </c>
      <c r="S2034">
        <v>0.2729246891948196</v>
      </c>
      <c r="T2034">
        <v>1.4283507146240357</v>
      </c>
      <c r="U2034">
        <v>0.2173278697023929</v>
      </c>
      <c r="V2034">
        <v>0.24217600736263248</v>
      </c>
      <c r="W2034">
        <v>0.10094532533961639</v>
      </c>
      <c r="X2034">
        <v>1.6122996896963587E-2</v>
      </c>
      <c r="Y2034">
        <v>4.7914522694118555E-3</v>
      </c>
    </row>
    <row r="2035" spans="1:25">
      <c r="A2035" s="1010"/>
      <c r="B2035" s="1351">
        <v>1785</v>
      </c>
      <c r="C2035" s="1014">
        <v>1.0293894903081073</v>
      </c>
      <c r="D2035" s="1014">
        <v>0.99130849271369503</v>
      </c>
      <c r="E2035" s="1014">
        <v>1.0096757835237136</v>
      </c>
      <c r="F2035" s="1014">
        <v>0.97373205129374862</v>
      </c>
      <c r="G2035" s="1014">
        <v>1.0123307212760309</v>
      </c>
      <c r="H2035" s="1014">
        <v>1.0080544651101593</v>
      </c>
      <c r="I2035" s="1014">
        <v>1.036608398647979</v>
      </c>
      <c r="K2035">
        <v>2.3692315717901935</v>
      </c>
      <c r="L2035">
        <v>0</v>
      </c>
      <c r="M2035">
        <v>1.5788570442923245E-3</v>
      </c>
      <c r="N2035">
        <v>0.14796629925177182</v>
      </c>
      <c r="O2035">
        <v>2.0431892804882373E-2</v>
      </c>
      <c r="P2035">
        <v>2.8174701248340487E-2</v>
      </c>
      <c r="Q2035">
        <v>5.3987274137247765E-3</v>
      </c>
      <c r="R2035">
        <v>1.558183019636585E-3</v>
      </c>
      <c r="S2035">
        <v>0.26234791864524171</v>
      </c>
      <c r="T2035">
        <v>1.3358124377063014</v>
      </c>
      <c r="U2035">
        <v>0.20595361220915073</v>
      </c>
      <c r="V2035">
        <v>0.24582013647373716</v>
      </c>
      <c r="W2035">
        <v>9.6648524996633609E-2</v>
      </c>
      <c r="X2035">
        <v>1.6457134540504743E-2</v>
      </c>
      <c r="Y2035">
        <v>4.2408605245564087E-3</v>
      </c>
    </row>
    <row r="2036" spans="1:25">
      <c r="A2036" s="1010"/>
      <c r="B2036" s="1351">
        <v>1786</v>
      </c>
      <c r="C2036" s="1014">
        <v>0.98331157414355119</v>
      </c>
      <c r="D2036" s="1014">
        <v>0.96835938850372649</v>
      </c>
      <c r="E2036" s="1014">
        <v>1.0029345255930895</v>
      </c>
      <c r="F2036" s="1014">
        <v>1.0113965175180808</v>
      </c>
      <c r="G2036" s="1014">
        <v>0.99056082451574934</v>
      </c>
      <c r="H2036" s="1014">
        <v>1.01478094224445</v>
      </c>
      <c r="I2036" s="1014">
        <v>0.99252737730730933</v>
      </c>
      <c r="K2036">
        <v>2.4498348283720293</v>
      </c>
      <c r="L2036">
        <v>0</v>
      </c>
      <c r="M2036">
        <v>1.6960413442853148E-3</v>
      </c>
      <c r="N2036">
        <v>0.15575913965145499</v>
      </c>
      <c r="O2036">
        <v>2.1495245793784333E-2</v>
      </c>
      <c r="P2036">
        <v>2.8917122269908259E-2</v>
      </c>
      <c r="Q2036">
        <v>5.6414741238438367E-3</v>
      </c>
      <c r="R2036">
        <v>1.6739800823681922E-3</v>
      </c>
      <c r="S2036">
        <v>0.26660194773442725</v>
      </c>
      <c r="T2036">
        <v>1.3873347138650429</v>
      </c>
      <c r="U2036">
        <v>0.21558112780538385</v>
      </c>
      <c r="V2036">
        <v>0.24496778815027367</v>
      </c>
      <c r="W2036">
        <v>0.10214506408250677</v>
      </c>
      <c r="X2036">
        <v>1.685724420049976E-2</v>
      </c>
      <c r="Y2036">
        <v>4.5560219568203742E-3</v>
      </c>
    </row>
    <row r="2037" spans="1:25">
      <c r="A2037" s="1010"/>
      <c r="B2037" s="1351">
        <v>1787</v>
      </c>
      <c r="C2037" s="1014">
        <v>0.99939646232862112</v>
      </c>
      <c r="D2037" s="1014">
        <v>1.0143866477460841</v>
      </c>
      <c r="E2037" s="1014">
        <v>0.98593145325253151</v>
      </c>
      <c r="F2037" s="1014">
        <v>0.97253674277342794</v>
      </c>
      <c r="G2037" s="1014">
        <v>1.0056932593376364</v>
      </c>
      <c r="H2037" s="1014">
        <v>0.97954544279329514</v>
      </c>
      <c r="I2037" s="1014">
        <v>1.0144780343874964</v>
      </c>
      <c r="K2037">
        <v>2.3646547454567388</v>
      </c>
      <c r="L2037">
        <v>0</v>
      </c>
      <c r="M2037">
        <v>1.6516172149952416E-3</v>
      </c>
      <c r="N2037">
        <v>0.14401302138381317</v>
      </c>
      <c r="O2037">
        <v>2.0923082159932275E-2</v>
      </c>
      <c r="P2037">
        <v>2.7695223339250351E-2</v>
      </c>
      <c r="Q2037">
        <v>5.3979678837266475E-3</v>
      </c>
      <c r="R2037">
        <v>1.6293610142001564E-3</v>
      </c>
      <c r="S2037">
        <v>0.25877943552590188</v>
      </c>
      <c r="T2037">
        <v>1.3336734378000326</v>
      </c>
      <c r="U2037">
        <v>0.21205333116938876</v>
      </c>
      <c r="V2037">
        <v>0.24659219705217106</v>
      </c>
      <c r="W2037">
        <v>9.5405593882965697E-2</v>
      </c>
      <c r="X2037">
        <v>1.5709127898410186E-2</v>
      </c>
      <c r="Y2037">
        <v>4.4345835619388485E-3</v>
      </c>
    </row>
    <row r="2038" spans="1:25">
      <c r="A2038" s="1010"/>
      <c r="B2038" s="1351">
        <v>1788</v>
      </c>
      <c r="C2038" s="1014">
        <v>0.99178340885865834</v>
      </c>
      <c r="D2038" s="1014">
        <v>1.0374996882284917</v>
      </c>
      <c r="E2038" s="1014">
        <v>1.0020255277352079</v>
      </c>
      <c r="F2038" s="1014">
        <v>0.97995054846765761</v>
      </c>
      <c r="G2038" s="1014">
        <v>0.97402250835193327</v>
      </c>
      <c r="H2038" s="1014">
        <v>1.032362461720405</v>
      </c>
      <c r="I2038" s="1014">
        <v>0.97373296851056002</v>
      </c>
      <c r="K2038">
        <v>2.38305030823238</v>
      </c>
      <c r="L2038">
        <v>0</v>
      </c>
      <c r="M2038">
        <v>1.6881091885400143E-3</v>
      </c>
      <c r="N2038">
        <v>0.1546402792744036</v>
      </c>
      <c r="O2038">
        <v>2.0990120385127549E-2</v>
      </c>
      <c r="P2038">
        <v>2.8036991963437473E-2</v>
      </c>
      <c r="Q2038">
        <v>5.5038785373425032E-3</v>
      </c>
      <c r="R2038">
        <v>1.6665250585612284E-3</v>
      </c>
      <c r="S2038">
        <v>0.25199394715251933</v>
      </c>
      <c r="T2038">
        <v>1.344180937006958</v>
      </c>
      <c r="U2038">
        <v>0.2137364951597803</v>
      </c>
      <c r="V2038">
        <v>0.24160484208673735</v>
      </c>
      <c r="W2038">
        <v>0.1014660241721559</v>
      </c>
      <c r="X2038">
        <v>1.6382644784325984E-2</v>
      </c>
      <c r="Y2038">
        <v>4.5357318395657558E-3</v>
      </c>
    </row>
    <row r="2039" spans="1:25">
      <c r="A2039" s="1010"/>
      <c r="B2039" s="1351">
        <v>1789</v>
      </c>
      <c r="C2039" s="1014">
        <v>0.9761262439338132</v>
      </c>
      <c r="D2039" s="1014">
        <v>0.96528810452702096</v>
      </c>
      <c r="E2039" s="1014">
        <v>1.0035228741563615</v>
      </c>
      <c r="F2039" s="1014">
        <v>0.98291862242719263</v>
      </c>
      <c r="G2039" s="1014">
        <v>0.99150756420514596</v>
      </c>
      <c r="H2039" s="1014">
        <v>0.9952617432151325</v>
      </c>
      <c r="I2039" s="1014">
        <v>0.99763725155536587</v>
      </c>
      <c r="K2039">
        <v>2.4117839929199345</v>
      </c>
      <c r="L2039">
        <v>0</v>
      </c>
      <c r="M2039">
        <v>1.6747879788047383E-3</v>
      </c>
      <c r="N2039">
        <v>0.15404104709049485</v>
      </c>
      <c r="O2039">
        <v>2.1669015305510863E-2</v>
      </c>
      <c r="P2039">
        <v>2.8454154401209984E-2</v>
      </c>
      <c r="Q2039">
        <v>5.6904386151664342E-3</v>
      </c>
      <c r="R2039">
        <v>1.652575923670523E-3</v>
      </c>
      <c r="S2039">
        <v>0.26867401227969445</v>
      </c>
      <c r="T2039">
        <v>1.3482840414472983</v>
      </c>
      <c r="U2039">
        <v>0.21717009616490057</v>
      </c>
      <c r="V2039">
        <v>0.24559448959580243</v>
      </c>
      <c r="W2039">
        <v>0.10098313033627954</v>
      </c>
      <c r="X2039">
        <v>1.6748012845988931E-2</v>
      </c>
      <c r="Y2039">
        <v>4.4977668927243348E-3</v>
      </c>
    </row>
    <row r="2040" spans="1:25">
      <c r="A2040" s="1010"/>
      <c r="B2040" s="1351">
        <v>1790</v>
      </c>
      <c r="C2040" s="1014">
        <v>0.97623814506331119</v>
      </c>
      <c r="D2040" s="1014">
        <v>0.992464284434875</v>
      </c>
      <c r="E2040" s="1014">
        <v>1.0087182523633593</v>
      </c>
      <c r="F2040" s="1014">
        <v>1.0139039313368343</v>
      </c>
      <c r="G2040" s="1014">
        <v>0.96995967281799667</v>
      </c>
      <c r="H2040" s="1014">
        <v>1.0097665480054916</v>
      </c>
      <c r="I2040" s="1014">
        <v>1.0056683910912119</v>
      </c>
      <c r="K2040">
        <v>2.4543432397632068</v>
      </c>
      <c r="L2040">
        <v>0</v>
      </c>
      <c r="M2040">
        <v>1.6705375405772673E-3</v>
      </c>
      <c r="N2040">
        <v>0.1561099147276398</v>
      </c>
      <c r="O2040">
        <v>2.1538133212781134E-2</v>
      </c>
      <c r="P2040">
        <v>2.9094012687377938E-2</v>
      </c>
      <c r="Q2040">
        <v>5.685582593703868E-3</v>
      </c>
      <c r="R2040">
        <v>1.6487001129375644E-3</v>
      </c>
      <c r="S2040">
        <v>0.26836027751637809</v>
      </c>
      <c r="T2040">
        <v>1.3909011177300503</v>
      </c>
      <c r="U2040">
        <v>0.2171634116576735</v>
      </c>
      <c r="V2040">
        <v>0.24189014182760518</v>
      </c>
      <c r="W2040">
        <v>0.10202539323103017</v>
      </c>
      <c r="X2040">
        <v>1.7109873793034143E-2</v>
      </c>
      <c r="Y2040">
        <v>4.4872182135698886E-3</v>
      </c>
    </row>
    <row r="2041" spans="1:25">
      <c r="A2041" s="1010"/>
      <c r="B2041" s="1351">
        <v>1791</v>
      </c>
      <c r="C2041" s="1014">
        <v>1.0007432545276858</v>
      </c>
      <c r="D2041" s="1014">
        <v>0.95652768788053733</v>
      </c>
      <c r="E2041" s="1014">
        <v>0.97136670592718033</v>
      </c>
      <c r="F2041" s="1014">
        <v>0.98359273238441136</v>
      </c>
      <c r="G2041" s="1014">
        <v>0.99551244037514941</v>
      </c>
      <c r="H2041" s="1014">
        <v>1.0026431551268935</v>
      </c>
      <c r="I2041" s="1014">
        <v>0.99034936407886431</v>
      </c>
      <c r="K2041">
        <v>2.3863686610241355</v>
      </c>
      <c r="L2041">
        <v>0</v>
      </c>
      <c r="M2041">
        <v>1.7625212330170498E-3</v>
      </c>
      <c r="N2041">
        <v>0.14710348945040563</v>
      </c>
      <c r="O2041">
        <v>2.1156928699294832E-2</v>
      </c>
      <c r="P2041">
        <v>2.7599873729190046E-2</v>
      </c>
      <c r="Q2041">
        <v>5.3780307915545248E-3</v>
      </c>
      <c r="R2041">
        <v>1.739317696461382E-3</v>
      </c>
      <c r="S2041">
        <v>0.26171590168368508</v>
      </c>
      <c r="T2041">
        <v>1.3485264261776833</v>
      </c>
      <c r="U2041">
        <v>0.21171837394522766</v>
      </c>
      <c r="V2041">
        <v>0.24482195706915538</v>
      </c>
      <c r="W2041">
        <v>9.8314729588027533E-2</v>
      </c>
      <c r="X2041">
        <v>1.5322304022625239E-2</v>
      </c>
      <c r="Y2041">
        <v>4.733849403843339E-3</v>
      </c>
    </row>
    <row r="2042" spans="1:25">
      <c r="A2042" s="1010"/>
      <c r="B2042" s="1351">
        <v>1792</v>
      </c>
      <c r="C2042" s="1014">
        <v>0.99487018235715874</v>
      </c>
      <c r="D2042" s="1014">
        <v>0.98186117323385769</v>
      </c>
      <c r="E2042" s="1014">
        <v>1.0217690815845433</v>
      </c>
      <c r="F2042" s="1014">
        <v>1.0402077863535502</v>
      </c>
      <c r="G2042" s="1014">
        <v>0.99971468840003208</v>
      </c>
      <c r="H2042" s="1014">
        <v>1.0253538810773861</v>
      </c>
      <c r="I2042" s="1014">
        <v>0.98145947856480076</v>
      </c>
      <c r="K2042">
        <v>2.4848408140903291</v>
      </c>
      <c r="L2042">
        <v>0</v>
      </c>
      <c r="M2042">
        <v>1.6238284988444999E-3</v>
      </c>
      <c r="N2042">
        <v>0.15787255949078505</v>
      </c>
      <c r="O2042">
        <v>2.1193527902071355E-2</v>
      </c>
      <c r="P2042">
        <v>2.9757741999900007E-2</v>
      </c>
      <c r="Q2042">
        <v>5.667867396140773E-3</v>
      </c>
      <c r="R2042">
        <v>1.6029243447574352E-3</v>
      </c>
      <c r="S2042">
        <v>0.25980467454578693</v>
      </c>
      <c r="T2042">
        <v>1.4272799657280797</v>
      </c>
      <c r="U2042">
        <v>0.21314129730919285</v>
      </c>
      <c r="V2042">
        <v>0.24572713409085004</v>
      </c>
      <c r="W2042">
        <v>0.10238962859556991</v>
      </c>
      <c r="X2042">
        <v>1.7664689523477731E-2</v>
      </c>
      <c r="Y2042">
        <v>4.362631662561501E-3</v>
      </c>
    </row>
    <row r="2043" spans="1:25">
      <c r="A2043" s="1010"/>
      <c r="B2043" s="1351">
        <v>1793</v>
      </c>
      <c r="C2043" s="1014">
        <v>1.027767804012913</v>
      </c>
      <c r="D2043" s="1014">
        <v>1.0107526774398772</v>
      </c>
      <c r="E2043" s="1014">
        <v>0.96037129861091886</v>
      </c>
      <c r="F2043" s="1014">
        <v>1.0276316629241362</v>
      </c>
      <c r="G2043" s="1014">
        <v>0.99462107241988151</v>
      </c>
      <c r="H2043" s="1014">
        <v>1.0344295710973768</v>
      </c>
      <c r="I2043" s="1014">
        <v>1.0162771713282155</v>
      </c>
      <c r="K2043">
        <v>2.4297015320896742</v>
      </c>
      <c r="L2043">
        <v>0</v>
      </c>
      <c r="M2043">
        <v>1.7893686609371112E-3</v>
      </c>
      <c r="N2043">
        <v>0.14451174263682429</v>
      </c>
      <c r="O2043">
        <v>2.0345179667877127E-2</v>
      </c>
      <c r="P2043">
        <v>2.8003120164972368E-2</v>
      </c>
      <c r="Q2043">
        <v>5.1137588810583959E-3</v>
      </c>
      <c r="R2043">
        <v>1.7665355483530026E-3</v>
      </c>
      <c r="S2043">
        <v>0.25693248592210682</v>
      </c>
      <c r="T2043">
        <v>1.408662096780475</v>
      </c>
      <c r="U2043">
        <v>0.20611499876373149</v>
      </c>
      <c r="V2043">
        <v>0.24307178385599032</v>
      </c>
      <c r="W2043">
        <v>9.7233225184290784E-2</v>
      </c>
      <c r="X2043">
        <v>1.4928045920598326E-2</v>
      </c>
      <c r="Y2043">
        <v>4.8079274243298655E-3</v>
      </c>
    </row>
    <row r="2044" spans="1:25">
      <c r="A2044" s="1010"/>
      <c r="B2044" s="1351">
        <v>1794</v>
      </c>
      <c r="C2044" s="1014">
        <v>0.99019529895953984</v>
      </c>
      <c r="D2044" s="1014">
        <v>0.99610653479268674</v>
      </c>
      <c r="E2044" s="1014">
        <v>1.022503584848075</v>
      </c>
      <c r="F2044" s="1014">
        <v>1.0136957133537983</v>
      </c>
      <c r="G2044" s="1014">
        <v>1.010873670447193</v>
      </c>
      <c r="H2044" s="1014">
        <v>0.99686900124285005</v>
      </c>
      <c r="I2044" s="1014">
        <v>1.0006562447682172</v>
      </c>
      <c r="K2044">
        <v>2.4462095223741214</v>
      </c>
      <c r="L2044">
        <v>0</v>
      </c>
      <c r="M2044">
        <v>1.5787372099684354E-3</v>
      </c>
      <c r="N2044">
        <v>0.15377178055640475</v>
      </c>
      <c r="O2044">
        <v>2.1226709238493551E-2</v>
      </c>
      <c r="P2044">
        <v>2.9341134201505002E-2</v>
      </c>
      <c r="Q2044">
        <v>5.6808830176588781E-3</v>
      </c>
      <c r="R2044">
        <v>1.5578327971969964E-3</v>
      </c>
      <c r="S2044">
        <v>0.26178098835341157</v>
      </c>
      <c r="T2044">
        <v>1.3909186470935402</v>
      </c>
      <c r="U2044">
        <v>0.21415011837822495</v>
      </c>
      <c r="V2044">
        <v>0.24792520496099704</v>
      </c>
      <c r="W2044">
        <v>9.9687257328238466E-2</v>
      </c>
      <c r="X2044">
        <v>1.750779632389016E-2</v>
      </c>
      <c r="Y2044">
        <v>4.2399073345266462E-3</v>
      </c>
    </row>
    <row r="2045" spans="1:25">
      <c r="A2045" s="1010"/>
      <c r="B2045" s="1351">
        <v>1795</v>
      </c>
      <c r="C2045" s="1014">
        <v>0.9803338330436675</v>
      </c>
      <c r="D2045" s="1014">
        <v>0.99155487948792176</v>
      </c>
      <c r="E2045" s="1014">
        <v>0.98931091390473491</v>
      </c>
      <c r="F2045" s="1014">
        <v>1.011208979612674</v>
      </c>
      <c r="G2045" s="1014">
        <v>0.98044431281119748</v>
      </c>
      <c r="H2045" s="1014">
        <v>1.0264134101907463</v>
      </c>
      <c r="I2045" s="1014">
        <v>0.96943224678711948</v>
      </c>
      <c r="K2045">
        <v>2.439715504275612</v>
      </c>
      <c r="L2045">
        <v>0</v>
      </c>
      <c r="M2045">
        <v>1.7607897872358488E-3</v>
      </c>
      <c r="N2045">
        <v>0.15520613357959395</v>
      </c>
      <c r="O2045">
        <v>2.1439315173669756E-2</v>
      </c>
      <c r="P2045">
        <v>2.8501262804719683E-2</v>
      </c>
      <c r="Q2045">
        <v>5.5501022817584416E-3</v>
      </c>
      <c r="R2045">
        <v>1.7381458776833279E-3</v>
      </c>
      <c r="S2045">
        <v>0.25897265156462573</v>
      </c>
      <c r="T2045">
        <v>1.3867797445116579</v>
      </c>
      <c r="U2045">
        <v>0.21618847669693178</v>
      </c>
      <c r="V2045">
        <v>0.24348052614098142</v>
      </c>
      <c r="W2045">
        <v>0.10261245314224772</v>
      </c>
      <c r="X2045">
        <v>1.6276822189559528E-2</v>
      </c>
      <c r="Y2045">
        <v>4.7306600994194321E-3</v>
      </c>
    </row>
    <row r="2046" spans="1:25">
      <c r="A2046" s="1010"/>
      <c r="B2046" s="1351">
        <v>1796</v>
      </c>
      <c r="C2046" s="1014">
        <v>1.0086934933092881</v>
      </c>
      <c r="D2046" s="1014">
        <v>0.98070870728477821</v>
      </c>
      <c r="E2046" s="1014">
        <v>0.99587099643153243</v>
      </c>
      <c r="F2046" s="1014">
        <v>0.97606826630295651</v>
      </c>
      <c r="G2046" s="1014">
        <v>0.98731211686079967</v>
      </c>
      <c r="H2046" s="1014">
        <v>1.005055981610312</v>
      </c>
      <c r="I2046" s="1014">
        <v>0.99841762670672485</v>
      </c>
      <c r="K2046">
        <v>2.3723766594500022</v>
      </c>
      <c r="L2046">
        <v>0</v>
      </c>
      <c r="M2046">
        <v>1.6570599152489346E-3</v>
      </c>
      <c r="N2046">
        <v>0.14894690675481212</v>
      </c>
      <c r="O2046">
        <v>2.0891353446204408E-2</v>
      </c>
      <c r="P2046">
        <v>2.7896019006123776E-2</v>
      </c>
      <c r="Q2046">
        <v>5.4441765355150344E-3</v>
      </c>
      <c r="R2046">
        <v>1.6352971449849994E-3</v>
      </c>
      <c r="S2046">
        <v>0.25889523558506417</v>
      </c>
      <c r="T2046">
        <v>1.3387257801486361</v>
      </c>
      <c r="U2046">
        <v>0.2101324902256522</v>
      </c>
      <c r="V2046">
        <v>0.24284125963195824</v>
      </c>
      <c r="W2046">
        <v>9.8088804429891277E-2</v>
      </c>
      <c r="X2046">
        <v>1.6085656703318102E-2</v>
      </c>
      <c r="Y2046">
        <v>4.4507397530902052E-3</v>
      </c>
    </row>
    <row r="2047" spans="1:25">
      <c r="A2047" s="1010"/>
      <c r="B2047" s="1351">
        <v>1797</v>
      </c>
      <c r="C2047" s="1014">
        <v>1.0102110098327788</v>
      </c>
      <c r="D2047" s="1014">
        <v>1.000707936179515</v>
      </c>
      <c r="E2047" s="1014">
        <v>0.96374554241824606</v>
      </c>
      <c r="F2047" s="1014">
        <v>1.0190436122981958</v>
      </c>
      <c r="G2047" s="1014">
        <v>0.98970804892853181</v>
      </c>
      <c r="H2047" s="1014">
        <v>1.0029145999528297</v>
      </c>
      <c r="I2047" s="1014">
        <v>1.021461248676824</v>
      </c>
      <c r="K2047">
        <v>2.4246105940942773</v>
      </c>
      <c r="L2047">
        <v>0</v>
      </c>
      <c r="M2047">
        <v>1.7566233151298336E-3</v>
      </c>
      <c r="N2047">
        <v>0.14326669232930261</v>
      </c>
      <c r="O2047">
        <v>2.0746498732333873E-2</v>
      </c>
      <c r="P2047">
        <v>2.8029979217301444E-2</v>
      </c>
      <c r="Q2047">
        <v>5.2327255349222529E-3</v>
      </c>
      <c r="R2047">
        <v>1.7335036836379225E-3</v>
      </c>
      <c r="S2047">
        <v>0.26135931328238288</v>
      </c>
      <c r="T2047">
        <v>1.3969635004046617</v>
      </c>
      <c r="U2047">
        <v>0.20970848625506117</v>
      </c>
      <c r="V2047">
        <v>0.2432737979519517</v>
      </c>
      <c r="W2047">
        <v>9.619649292556684E-2</v>
      </c>
      <c r="X2047">
        <v>1.5138201514753794E-2</v>
      </c>
      <c r="Y2047">
        <v>4.7180255775266938E-3</v>
      </c>
    </row>
    <row r="2048" spans="1:25">
      <c r="A2048" s="1010"/>
      <c r="B2048" s="1351">
        <v>1798</v>
      </c>
      <c r="C2048" s="1014">
        <v>1.027773094646081</v>
      </c>
      <c r="D2048" s="1014">
        <v>1.0091030514644967</v>
      </c>
      <c r="E2048" s="1014">
        <v>1.0015477824047401</v>
      </c>
      <c r="F2048" s="1014">
        <v>1.0142159480653148</v>
      </c>
      <c r="G2048" s="1014">
        <v>0.98622630746827744</v>
      </c>
      <c r="H2048" s="1014">
        <v>1.0195365468292037</v>
      </c>
      <c r="I2048" s="1014">
        <v>1.0159082653516311</v>
      </c>
      <c r="K2048">
        <v>2.4155155894309859</v>
      </c>
      <c r="L2048">
        <v>0</v>
      </c>
      <c r="M2048">
        <v>1.6202154270062649E-3</v>
      </c>
      <c r="N2048">
        <v>0.14818263800430903</v>
      </c>
      <c r="O2048">
        <v>2.0378841939714305E-2</v>
      </c>
      <c r="P2048">
        <v>2.8621625323678065E-2</v>
      </c>
      <c r="Q2048">
        <v>5.3410305476205688E-3</v>
      </c>
      <c r="R2048">
        <v>1.5992387745370202E-3</v>
      </c>
      <c r="S2048">
        <v>0.25613053101518929</v>
      </c>
      <c r="T2048">
        <v>1.3911716996870582</v>
      </c>
      <c r="U2048">
        <v>0.20625046264577707</v>
      </c>
      <c r="V2048">
        <v>0.24148744505259356</v>
      </c>
      <c r="W2048">
        <v>9.7256465481426288E-2</v>
      </c>
      <c r="X2048">
        <v>1.6363225630716568E-2</v>
      </c>
      <c r="Y2048">
        <v>4.3526007553694283E-3</v>
      </c>
    </row>
    <row r="2049" spans="1:25">
      <c r="A2049" s="1010"/>
      <c r="B2049" s="1351">
        <v>1799</v>
      </c>
      <c r="C2049" s="1014">
        <v>1.0119268979227798</v>
      </c>
      <c r="D2049" s="1014">
        <v>1.0086628748271576</v>
      </c>
      <c r="E2049" s="1014">
        <v>0.97840817029389893</v>
      </c>
      <c r="F2049" s="1014">
        <v>0.99916850659333245</v>
      </c>
      <c r="G2049" s="1014">
        <v>1.0294489091203305</v>
      </c>
      <c r="H2049" s="1014">
        <v>1.0101191584658467</v>
      </c>
      <c r="I2049" s="1014">
        <v>1.0008425847834881</v>
      </c>
      <c r="K2049">
        <v>2.4017093319897818</v>
      </c>
      <c r="L2049">
        <v>0</v>
      </c>
      <c r="M2049">
        <v>1.7105870793716444E-3</v>
      </c>
      <c r="N2049">
        <v>0.1458588689162103</v>
      </c>
      <c r="O2049">
        <v>2.0684826491762009E-2</v>
      </c>
      <c r="P2049">
        <v>2.7988996480745255E-2</v>
      </c>
      <c r="Q2049">
        <v>5.2958981355557943E-3</v>
      </c>
      <c r="R2049">
        <v>1.6882339260239213E-3</v>
      </c>
      <c r="S2049">
        <v>0.25536167488771672</v>
      </c>
      <c r="T2049">
        <v>1.370032517192866</v>
      </c>
      <c r="U2049">
        <v>0.20940218765063509</v>
      </c>
      <c r="V2049">
        <v>0.24990630747016068</v>
      </c>
      <c r="W2049">
        <v>9.7067628037154172E-2</v>
      </c>
      <c r="X2049">
        <v>1.5537963659850823E-2</v>
      </c>
      <c r="Y2049">
        <v>4.5948162204729696E-3</v>
      </c>
    </row>
    <row r="2050" spans="1:25">
      <c r="A2050" s="1010"/>
      <c r="B2050" s="1351">
        <v>1800</v>
      </c>
      <c r="C2050" s="1014">
        <v>1.0224377782498661</v>
      </c>
      <c r="D2050" s="1014">
        <v>0.9888855800909051</v>
      </c>
      <c r="E2050" s="1014">
        <v>1.0107416112544882</v>
      </c>
      <c r="F2050" s="1014">
        <v>0.98584753616540355</v>
      </c>
      <c r="G2050" s="1014">
        <v>0.99567671268409697</v>
      </c>
      <c r="H2050" s="1014">
        <v>0.98257880146183663</v>
      </c>
      <c r="I2050" s="1014">
        <v>1.0124081639746236</v>
      </c>
      <c r="K2050">
        <v>2.3746635279086146</v>
      </c>
      <c r="L2050">
        <v>0</v>
      </c>
      <c r="M2050">
        <v>1.5468250023558518E-3</v>
      </c>
      <c r="N2050">
        <v>0.14538151244190722</v>
      </c>
      <c r="O2050">
        <v>2.0582584778029517E-2</v>
      </c>
      <c r="P2050">
        <v>2.8326238400336348E-2</v>
      </c>
      <c r="Q2050">
        <v>5.4443416935430087E-3</v>
      </c>
      <c r="R2050">
        <v>1.5260452670398759E-3</v>
      </c>
      <c r="S2050">
        <v>0.25613890415964596</v>
      </c>
      <c r="T2050">
        <v>1.3524558142295875</v>
      </c>
      <c r="U2050">
        <v>0.20735749148689303</v>
      </c>
      <c r="V2050">
        <v>0.24338527918330186</v>
      </c>
      <c r="W2050">
        <v>9.4900542458121157E-2</v>
      </c>
      <c r="X2050">
        <v>1.6558206656371519E-2</v>
      </c>
      <c r="Y2050">
        <v>4.1533921561954625E-3</v>
      </c>
    </row>
    <row r="2051" spans="1:25">
      <c r="A2051" s="1010"/>
      <c r="B2051" s="1351">
        <v>1801</v>
      </c>
      <c r="C2051" s="1014">
        <v>0.98053262631847693</v>
      </c>
      <c r="D2051" s="1014">
        <v>0.96698590867003453</v>
      </c>
      <c r="E2051" s="1014">
        <v>0.99601876380905108</v>
      </c>
      <c r="F2051" s="1014">
        <v>0.98569978000718295</v>
      </c>
      <c r="G2051" s="1014">
        <v>1.0056014339162165</v>
      </c>
      <c r="H2051" s="1014">
        <v>1.0174278842782007</v>
      </c>
      <c r="I2051" s="1014">
        <v>0.98450347977332486</v>
      </c>
      <c r="K2051">
        <v>2.4161044505972367</v>
      </c>
      <c r="L2051">
        <v>0</v>
      </c>
      <c r="M2051">
        <v>1.7304621586126817E-3</v>
      </c>
      <c r="N2051">
        <v>0.15563941906877865</v>
      </c>
      <c r="O2051">
        <v>2.1558182813936313E-2</v>
      </c>
      <c r="P2051">
        <v>2.8318268690888375E-2</v>
      </c>
      <c r="Q2051">
        <v>5.6187851394228156E-3</v>
      </c>
      <c r="R2051">
        <v>1.7080117272961731E-3</v>
      </c>
      <c r="S2051">
        <v>0.26555545679674819</v>
      </c>
      <c r="T2051">
        <v>1.3519390240166875</v>
      </c>
      <c r="U2051">
        <v>0.2161680037106076</v>
      </c>
      <c r="V2051">
        <v>0.24774076113780455</v>
      </c>
      <c r="W2051">
        <v>0.10248712009453005</v>
      </c>
      <c r="X2051">
        <v>1.6453234683364196E-2</v>
      </c>
      <c r="Y2051">
        <v>4.6486448757856024E-3</v>
      </c>
    </row>
    <row r="2052" spans="1:25">
      <c r="A2052" s="1010"/>
      <c r="B2052" s="1351">
        <v>1802</v>
      </c>
      <c r="C2052" s="1014">
        <v>1.0448924695860264</v>
      </c>
      <c r="D2052" s="1014">
        <v>1.0125763783925072</v>
      </c>
      <c r="E2052" s="1014">
        <v>1.0345506882242381</v>
      </c>
      <c r="F2052" s="1014">
        <v>1.040040743479975</v>
      </c>
      <c r="G2052" s="1014">
        <v>1.0404946381542124</v>
      </c>
      <c r="H2052" s="1014">
        <v>0.98967446760089395</v>
      </c>
      <c r="I2052" s="1014">
        <v>1.024643993061624</v>
      </c>
      <c r="K2052">
        <v>2.4477855960154535</v>
      </c>
      <c r="L2052">
        <v>0</v>
      </c>
      <c r="M2052">
        <v>1.4432668098251081E-3</v>
      </c>
      <c r="N2052">
        <v>0.1457622204165932</v>
      </c>
      <c r="O2052">
        <v>2.0050772890441999E-2</v>
      </c>
      <c r="P2052">
        <v>2.9831765225126216E-2</v>
      </c>
      <c r="Q2052">
        <v>5.4305189342518431E-3</v>
      </c>
      <c r="R2052">
        <v>1.4240172644644517E-3</v>
      </c>
      <c r="S2052">
        <v>0.25144496067803807</v>
      </c>
      <c r="T2052">
        <v>1.4273398544160703</v>
      </c>
      <c r="U2052">
        <v>0.20297954460721679</v>
      </c>
      <c r="V2052">
        <v>0.2496360668435246</v>
      </c>
      <c r="W2052">
        <v>9.3835551281579124E-2</v>
      </c>
      <c r="X2052">
        <v>1.7617884701259932E-2</v>
      </c>
      <c r="Y2052">
        <v>3.8757055667071683E-3</v>
      </c>
    </row>
    <row r="2053" spans="1:25">
      <c r="A2053" s="1010"/>
      <c r="B2053" s="1351">
        <v>1803</v>
      </c>
      <c r="C2053" s="1014">
        <v>1.0016529087662238</v>
      </c>
      <c r="D2053" s="1014">
        <v>1.0220720091959126</v>
      </c>
      <c r="E2053" s="1014">
        <v>1.0062815320958496</v>
      </c>
      <c r="F2053" s="1014">
        <v>1.0417289037127673</v>
      </c>
      <c r="G2053" s="1014">
        <v>1.0046641202501321</v>
      </c>
      <c r="H2053" s="1014">
        <v>1.0415192512570366</v>
      </c>
      <c r="I2053" s="1014">
        <v>0.97675948607807828</v>
      </c>
      <c r="K2053">
        <v>2.474384937293145</v>
      </c>
      <c r="L2053">
        <v>0</v>
      </c>
      <c r="M2053">
        <v>1.676988603520201E-3</v>
      </c>
      <c r="N2053">
        <v>0.15562674715196548</v>
      </c>
      <c r="O2053">
        <v>2.0854722855329563E-2</v>
      </c>
      <c r="P2053">
        <v>2.9336067472874722E-2</v>
      </c>
      <c r="Q2053">
        <v>5.4917657411228246E-3</v>
      </c>
      <c r="R2053">
        <v>1.6557351735745497E-3</v>
      </c>
      <c r="S2053">
        <v>0.25293608771349996</v>
      </c>
      <c r="T2053">
        <v>1.4290171916681877</v>
      </c>
      <c r="U2053">
        <v>0.2116450372614867</v>
      </c>
      <c r="V2053">
        <v>0.24620206803215075</v>
      </c>
      <c r="W2053">
        <v>0.10185615761730472</v>
      </c>
      <c r="X2053">
        <v>1.6933979879653175E-2</v>
      </c>
      <c r="Y2053">
        <v>4.5063653295166458E-3</v>
      </c>
    </row>
    <row r="2054" spans="1:25">
      <c r="A2054" s="1010"/>
      <c r="B2054" s="1351">
        <v>1804</v>
      </c>
      <c r="C2054" s="1014">
        <v>0.99645671311847805</v>
      </c>
      <c r="D2054" s="1014">
        <v>0.98556752529543035</v>
      </c>
      <c r="E2054" s="1014">
        <v>0.99469833155209342</v>
      </c>
      <c r="F2054" s="1014">
        <v>1.0097734364973818</v>
      </c>
      <c r="G2054" s="1014">
        <v>1.000758829634909</v>
      </c>
      <c r="H2054" s="1014">
        <v>1.0058883957618681</v>
      </c>
      <c r="I2054" s="1014">
        <v>0.96503939484520307</v>
      </c>
      <c r="K2054">
        <v>2.4220186587062438</v>
      </c>
      <c r="L2054">
        <v>0</v>
      </c>
      <c r="M2054">
        <v>1.6810551930937984E-3</v>
      </c>
      <c r="N2054">
        <v>0.15057083154749976</v>
      </c>
      <c r="O2054">
        <v>2.112414131584877E-2</v>
      </c>
      <c r="P2054">
        <v>2.8492522273454803E-2</v>
      </c>
      <c r="Q2054">
        <v>5.4983379363575157E-3</v>
      </c>
      <c r="R2054">
        <v>1.6589955545034689E-3</v>
      </c>
      <c r="S2054">
        <v>0.25274418408269095</v>
      </c>
      <c r="T2054">
        <v>1.3849284977213632</v>
      </c>
      <c r="U2054">
        <v>0.21270895902398998</v>
      </c>
      <c r="V2054">
        <v>0.24590161813207109</v>
      </c>
      <c r="W2054">
        <v>9.9227630375863282E-2</v>
      </c>
      <c r="X2054">
        <v>1.6328756924075271E-2</v>
      </c>
      <c r="Y2054">
        <v>4.5152390116208804E-3</v>
      </c>
    </row>
    <row r="2055" spans="1:25">
      <c r="A2055" s="1010"/>
      <c r="B2055" s="1351">
        <v>1805</v>
      </c>
      <c r="C2055" s="1014">
        <v>0.99303060651821351</v>
      </c>
      <c r="D2055" s="1014">
        <v>0.98372906635651014</v>
      </c>
      <c r="E2055" s="1014">
        <v>1.016537439286773</v>
      </c>
      <c r="F2055" s="1014">
        <v>0.99129820598949359</v>
      </c>
      <c r="G2055" s="1014">
        <v>1.0052745039589048</v>
      </c>
      <c r="H2055" s="1014">
        <v>0.99004631293733814</v>
      </c>
      <c r="I2055" s="1014">
        <v>0.98744424167160183</v>
      </c>
      <c r="K2055">
        <v>2.4065030935611746</v>
      </c>
      <c r="L2055">
        <v>0</v>
      </c>
      <c r="M2055">
        <v>1.5873434082514883E-3</v>
      </c>
      <c r="N2055">
        <v>0.15183803443376515</v>
      </c>
      <c r="O2055">
        <v>2.1220392990109992E-2</v>
      </c>
      <c r="P2055">
        <v>2.8718562925100607E-2</v>
      </c>
      <c r="Q2055">
        <v>5.6455989714239195E-3</v>
      </c>
      <c r="R2055">
        <v>1.5661801953723617E-3</v>
      </c>
      <c r="S2055">
        <v>0.25858174676041495</v>
      </c>
      <c r="T2055">
        <v>1.3600580299221681</v>
      </c>
      <c r="U2055">
        <v>0.21351807748684284</v>
      </c>
      <c r="V2055">
        <v>0.24681070211682424</v>
      </c>
      <c r="W2055">
        <v>9.8777961853106569E-2</v>
      </c>
      <c r="X2055">
        <v>1.7092523113654789E-2</v>
      </c>
      <c r="Y2055">
        <v>4.2626262006409217E-3</v>
      </c>
    </row>
    <row r="2056" spans="1:25">
      <c r="A2056" s="1010"/>
      <c r="B2056" s="1351">
        <v>1806</v>
      </c>
      <c r="C2056" s="1014">
        <v>1.0014154790943426</v>
      </c>
      <c r="D2056" s="1014">
        <v>0.99258532296602175</v>
      </c>
      <c r="E2056" s="1014">
        <v>1.0092437482692436</v>
      </c>
      <c r="F2056" s="1014">
        <v>1.0164256010676866</v>
      </c>
      <c r="G2056" s="1014">
        <v>1.0053632887956945</v>
      </c>
      <c r="H2056" s="1014">
        <v>0.9895562117913993</v>
      </c>
      <c r="I2056" s="1014">
        <v>0.96034392913238331</v>
      </c>
      <c r="K2056">
        <v>2.4236953987375474</v>
      </c>
      <c r="L2056">
        <v>0</v>
      </c>
      <c r="M2056">
        <v>1.5941584919102777E-3</v>
      </c>
      <c r="N2056">
        <v>0.14916855801915727</v>
      </c>
      <c r="O2056">
        <v>2.0996412941489764E-2</v>
      </c>
      <c r="P2056">
        <v>2.8861323237004251E-2</v>
      </c>
      <c r="Q2056">
        <v>5.5454945852914357E-3</v>
      </c>
      <c r="R2056">
        <v>1.5728938905295378E-3</v>
      </c>
      <c r="S2056">
        <v>0.24815961233023354</v>
      </c>
      <c r="T2056">
        <v>1.3943719861103228</v>
      </c>
      <c r="U2056">
        <v>0.21170534045541969</v>
      </c>
      <c r="V2056">
        <v>0.24632560657911465</v>
      </c>
      <c r="W2056">
        <v>9.7458651603671287E-2</v>
      </c>
      <c r="X2056">
        <v>1.6842778811533798E-2</v>
      </c>
      <c r="Y2056">
        <v>4.2808986656897403E-3</v>
      </c>
    </row>
    <row r="2057" spans="1:25">
      <c r="A2057" s="1010"/>
      <c r="B2057" s="1351">
        <v>1807</v>
      </c>
      <c r="C2057" s="1014">
        <v>1.0161037530016324</v>
      </c>
      <c r="D2057" s="1014">
        <v>0.99729436519452896</v>
      </c>
      <c r="E2057" s="1014">
        <v>1.004897498140809</v>
      </c>
      <c r="F2057" s="1014">
        <v>1.0115975954762897</v>
      </c>
      <c r="G2057" s="1014">
        <v>1.0221691557284645</v>
      </c>
      <c r="H2057" s="1014">
        <v>0.98965028628623508</v>
      </c>
      <c r="I2057" s="1014">
        <v>0.98906035226064548</v>
      </c>
      <c r="K2057">
        <v>2.4135309352557579</v>
      </c>
      <c r="L2057">
        <v>0</v>
      </c>
      <c r="M2057">
        <v>1.5838587637925787E-3</v>
      </c>
      <c r="N2057">
        <v>0.14627262732366692</v>
      </c>
      <c r="O2057">
        <v>2.0668520492159354E-2</v>
      </c>
      <c r="P2057">
        <v>2.8704076563315899E-2</v>
      </c>
      <c r="Q2057">
        <v>5.435188916967662E-3</v>
      </c>
      <c r="R2057">
        <v>1.5627335595859888E-3</v>
      </c>
      <c r="S2057">
        <v>0.25126055303967271</v>
      </c>
      <c r="T2057">
        <v>1.3876535147459874</v>
      </c>
      <c r="U2057">
        <v>0.20863039970789668</v>
      </c>
      <c r="V2057">
        <v>0.24831001723210283</v>
      </c>
      <c r="W2057">
        <v>9.5812415018263195E-2</v>
      </c>
      <c r="X2057">
        <v>1.6551501825715687E-2</v>
      </c>
      <c r="Y2057">
        <v>4.2532455942135951E-3</v>
      </c>
    </row>
    <row r="2058" spans="1:25">
      <c r="A2058" s="1010"/>
      <c r="B2058" s="1351">
        <v>1808</v>
      </c>
      <c r="C2058" s="1014">
        <v>1.0164368651442397</v>
      </c>
      <c r="D2058" s="1014">
        <v>1.0040276671192325</v>
      </c>
      <c r="E2058" s="1014">
        <v>0.99909710455125622</v>
      </c>
      <c r="F2058" s="1014">
        <v>0.97985629907656591</v>
      </c>
      <c r="G2058" s="1014">
        <v>0.99248850941976585</v>
      </c>
      <c r="H2058" s="1014">
        <v>1.0114870696005367</v>
      </c>
      <c r="I2058" s="1014">
        <v>0.99989695794565892</v>
      </c>
      <c r="K2058">
        <v>2.3711507446446518</v>
      </c>
      <c r="L2058">
        <v>0</v>
      </c>
      <c r="M2058">
        <v>1.6354479565648527E-3</v>
      </c>
      <c r="N2058">
        <v>0.14845693868340099</v>
      </c>
      <c r="O2058">
        <v>2.062739765280356E-2</v>
      </c>
      <c r="P2058">
        <v>2.7963770809781002E-2</v>
      </c>
      <c r="Q2058">
        <v>5.3928751308125441E-3</v>
      </c>
      <c r="R2058">
        <v>1.6141055881939053E-3</v>
      </c>
      <c r="S2058">
        <v>0.25485368575197953</v>
      </c>
      <c r="T2058">
        <v>1.3439895888501394</v>
      </c>
      <c r="U2058">
        <v>0.20854251367886451</v>
      </c>
      <c r="V2058">
        <v>0.24324261677612966</v>
      </c>
      <c r="W2058">
        <v>9.7578485053495312E-2</v>
      </c>
      <c r="X2058">
        <v>1.613115130431448E-2</v>
      </c>
      <c r="Y2058">
        <v>4.3930633212996631E-3</v>
      </c>
    </row>
    <row r="2059" spans="1:25">
      <c r="A2059" s="1010"/>
      <c r="B2059" s="1351">
        <v>1809</v>
      </c>
      <c r="C2059" s="1014">
        <v>0.97844178618080546</v>
      </c>
      <c r="D2059" s="1014">
        <v>1.0035666112052832</v>
      </c>
      <c r="E2059" s="1014">
        <v>1.0127629017641195</v>
      </c>
      <c r="F2059" s="1014">
        <v>1.0271624984907308</v>
      </c>
      <c r="G2059" s="1014">
        <v>1.0195558638306423</v>
      </c>
      <c r="H2059" s="1014">
        <v>1.0005608609792052</v>
      </c>
      <c r="I2059" s="1014">
        <v>0.99845547371688559</v>
      </c>
      <c r="K2059">
        <v>2.4732330426657074</v>
      </c>
      <c r="L2059">
        <v>0</v>
      </c>
      <c r="M2059">
        <v>1.6337551474007493E-3</v>
      </c>
      <c r="N2059">
        <v>0.15452938558302803</v>
      </c>
      <c r="O2059">
        <v>2.1439841771351099E-2</v>
      </c>
      <c r="P2059">
        <v>2.9475031427760621E-2</v>
      </c>
      <c r="Q2059">
        <v>5.6825557793975506E-3</v>
      </c>
      <c r="R2059">
        <v>1.6122020507339204E-3</v>
      </c>
      <c r="S2059">
        <v>0.26359548210192874</v>
      </c>
      <c r="T2059">
        <v>1.409179629335628</v>
      </c>
      <c r="U2059">
        <v>0.21668847106646208</v>
      </c>
      <c r="V2059">
        <v>0.25019909342221658</v>
      </c>
      <c r="W2059">
        <v>0.1007519975815933</v>
      </c>
      <c r="X2059">
        <v>1.7325225173172133E-2</v>
      </c>
      <c r="Y2059">
        <v>4.3878825198345401E-3</v>
      </c>
    </row>
    <row r="2060" spans="1:25">
      <c r="A2060" s="1010"/>
      <c r="B2060" s="1351">
        <v>1810</v>
      </c>
      <c r="C2060" s="1014">
        <v>0.999398179206343</v>
      </c>
      <c r="D2060" s="1014">
        <v>1.0130031520246299</v>
      </c>
      <c r="E2060" s="1014">
        <v>0.99797659496973967</v>
      </c>
      <c r="F2060" s="1014">
        <v>1.0083484613521849</v>
      </c>
      <c r="G2060" s="1014">
        <v>0.98523171064528647</v>
      </c>
      <c r="H2060" s="1014">
        <v>0.98343678585198924</v>
      </c>
      <c r="I2060" s="1014">
        <v>0.97796681857390011</v>
      </c>
      <c r="K2060">
        <v>2.4062933670878239</v>
      </c>
      <c r="L2060">
        <v>0</v>
      </c>
      <c r="M2060">
        <v>1.6177952788445056E-3</v>
      </c>
      <c r="N2060">
        <v>0.14630296920716659</v>
      </c>
      <c r="O2060">
        <v>2.093729549722316E-2</v>
      </c>
      <c r="P2060">
        <v>2.8452974119116167E-2</v>
      </c>
      <c r="Q2060">
        <v>5.46772870990555E-3</v>
      </c>
      <c r="R2060">
        <v>1.5960811038803972E-3</v>
      </c>
      <c r="S2060">
        <v>0.25005411244223164</v>
      </c>
      <c r="T2060">
        <v>1.3830455522624376</v>
      </c>
      <c r="U2060">
        <v>0.21209411221579541</v>
      </c>
      <c r="V2060">
        <v>0.24305380601572449</v>
      </c>
      <c r="W2060">
        <v>9.6226850566383818E-2</v>
      </c>
      <c r="X2060">
        <v>1.63356736100339E-2</v>
      </c>
      <c r="Y2060">
        <v>4.3440066167679528E-3</v>
      </c>
    </row>
    <row r="2061" spans="1:25">
      <c r="A2061" s="1010"/>
      <c r="B2061" s="1351">
        <v>1811</v>
      </c>
      <c r="C2061" s="1014">
        <v>1.026529987296299</v>
      </c>
      <c r="D2061" s="1014">
        <v>0.98337312217558259</v>
      </c>
      <c r="E2061" s="1014">
        <v>0.98523224078071825</v>
      </c>
      <c r="F2061" s="1014">
        <v>1.0375480614284982</v>
      </c>
      <c r="G2061" s="1014">
        <v>1.0185338269755564</v>
      </c>
      <c r="H2061" s="1014">
        <v>0.9982644194160869</v>
      </c>
      <c r="I2061" s="1014">
        <v>0.99638087198289826</v>
      </c>
      <c r="K2061">
        <v>2.4432818099278073</v>
      </c>
      <c r="L2061">
        <v>0</v>
      </c>
      <c r="M2061">
        <v>1.6523109594706853E-3</v>
      </c>
      <c r="N2061">
        <v>0.14380598504687842</v>
      </c>
      <c r="O2061">
        <v>2.0509212439118442E-2</v>
      </c>
      <c r="P2061">
        <v>2.8735666123684188E-2</v>
      </c>
      <c r="Q2061">
        <v>5.2874458459644504E-3</v>
      </c>
      <c r="R2061">
        <v>1.6304629231158258E-3</v>
      </c>
      <c r="S2061">
        <v>0.25288407677870967</v>
      </c>
      <c r="T2061">
        <v>1.4228100744200149</v>
      </c>
      <c r="U2061">
        <v>0.20644595583732031</v>
      </c>
      <c r="V2061">
        <v>0.24713865664472956</v>
      </c>
      <c r="W2061">
        <v>9.5308490031445661E-2</v>
      </c>
      <c r="X2061">
        <v>1.5940512201531042E-2</v>
      </c>
      <c r="Y2061">
        <v>4.4375825947631248E-3</v>
      </c>
    </row>
    <row r="2062" spans="1:25">
      <c r="A2062" s="1010"/>
      <c r="B2062" s="1351">
        <v>1812</v>
      </c>
      <c r="C2062" s="1014">
        <v>1.0202377785648582</v>
      </c>
      <c r="D2062" s="1014">
        <v>1.0065937510978824</v>
      </c>
      <c r="E2062" s="1014">
        <v>1.0186888624071626</v>
      </c>
      <c r="F2062" s="1014">
        <v>1.0364781425766907</v>
      </c>
      <c r="G2062" s="1014">
        <v>1.0274512340373894</v>
      </c>
      <c r="H2062" s="1014">
        <v>0.96806859292735892</v>
      </c>
      <c r="I2062" s="1014">
        <v>0.9700996022143723</v>
      </c>
      <c r="K2062">
        <v>2.4356067903012537</v>
      </c>
      <c r="L2062">
        <v>0</v>
      </c>
      <c r="M2062">
        <v>1.4963874493516929E-3</v>
      </c>
      <c r="N2062">
        <v>0.14402560766971451</v>
      </c>
      <c r="O2062">
        <v>2.0551756628921749E-2</v>
      </c>
      <c r="P2062">
        <v>2.9352392548907997E-2</v>
      </c>
      <c r="Q2062">
        <v>5.4794333974629104E-3</v>
      </c>
      <c r="R2062">
        <v>1.4759839741333213E-3</v>
      </c>
      <c r="S2062">
        <v>0.2426679102616098</v>
      </c>
      <c r="T2062">
        <v>1.4220931578058047</v>
      </c>
      <c r="U2062">
        <v>0.20783131575064565</v>
      </c>
      <c r="V2062">
        <v>0.24891220090146707</v>
      </c>
      <c r="W2062">
        <v>9.3577520102924652E-2</v>
      </c>
      <c r="X2062">
        <v>1.7118756889408403E-2</v>
      </c>
      <c r="Y2062">
        <v>4.0171418196045918E-3</v>
      </c>
    </row>
    <row r="2063" spans="1:25">
      <c r="A2063" s="1010"/>
      <c r="B2063" s="1351">
        <v>1813</v>
      </c>
      <c r="C2063" s="1014">
        <v>1.0027005495926211</v>
      </c>
      <c r="D2063" s="1014">
        <v>0.97115916992830564</v>
      </c>
      <c r="E2063" s="1014">
        <v>0.97536749407482204</v>
      </c>
      <c r="F2063" s="1014">
        <v>1.0214730512676757</v>
      </c>
      <c r="G2063" s="1014">
        <v>0.99933067326816172</v>
      </c>
      <c r="H2063" s="1014">
        <v>0.98508243432866827</v>
      </c>
      <c r="I2063" s="1014">
        <v>1.032323319019633</v>
      </c>
      <c r="K2063">
        <v>2.4415375927330936</v>
      </c>
      <c r="L2063">
        <v>0</v>
      </c>
      <c r="M2063">
        <v>1.708332996775882E-3</v>
      </c>
      <c r="N2063">
        <v>0.1442837970993591</v>
      </c>
      <c r="O2063">
        <v>2.1047880450514811E-2</v>
      </c>
      <c r="P2063">
        <v>2.847604269809435E-2</v>
      </c>
      <c r="Q2063">
        <v>5.3721926511165891E-3</v>
      </c>
      <c r="R2063">
        <v>1.6854419225865735E-3</v>
      </c>
      <c r="S2063">
        <v>0.26868268543220863</v>
      </c>
      <c r="T2063">
        <v>1.4005490431033798</v>
      </c>
      <c r="U2063">
        <v>0.21131867462421211</v>
      </c>
      <c r="V2063">
        <v>0.24533815201883744</v>
      </c>
      <c r="W2063">
        <v>9.6196326434630802E-2</v>
      </c>
      <c r="X2063">
        <v>1.5708471987425827E-2</v>
      </c>
      <c r="Y2063">
        <v>4.5872173075001939E-3</v>
      </c>
    </row>
    <row r="2064" spans="1:25">
      <c r="A2064" s="1010"/>
      <c r="B2064" s="1351">
        <v>1814</v>
      </c>
      <c r="C2064" s="1014">
        <v>0.97579091964519737</v>
      </c>
      <c r="D2064" s="1014">
        <v>0.96154335511816214</v>
      </c>
      <c r="E2064" s="1014">
        <v>0.99200670500816412</v>
      </c>
      <c r="F2064" s="1014">
        <v>1.0150292182857235</v>
      </c>
      <c r="G2064" s="1014">
        <v>0.96922530863871226</v>
      </c>
      <c r="H2064" s="1014">
        <v>0.9920470668549658</v>
      </c>
      <c r="I2064" s="1014">
        <v>0.99056649057674928</v>
      </c>
      <c r="K2064">
        <v>2.4476691873406113</v>
      </c>
      <c r="L2064">
        <v>0</v>
      </c>
      <c r="M2064">
        <v>1.711773252186668E-3</v>
      </c>
      <c r="N2064">
        <v>0.15205164818164205</v>
      </c>
      <c r="O2064">
        <v>2.1687108107869658E-2</v>
      </c>
      <c r="P2064">
        <v>2.8731660197207496E-2</v>
      </c>
      <c r="Q2064">
        <v>5.6295627071284802E-3</v>
      </c>
      <c r="R2064">
        <v>1.6889971093939824E-3</v>
      </c>
      <c r="S2064">
        <v>0.26700955958194789</v>
      </c>
      <c r="T2064">
        <v>1.3920779181240142</v>
      </c>
      <c r="U2064">
        <v>0.21720439793895044</v>
      </c>
      <c r="V2064">
        <v>0.24185103983419959</v>
      </c>
      <c r="W2064">
        <v>0.10036477765178294</v>
      </c>
      <c r="X2064">
        <v>1.648739780463641E-2</v>
      </c>
      <c r="Y2064">
        <v>4.5968933540229458E-3</v>
      </c>
    </row>
    <row r="2065" spans="1:25">
      <c r="A2065" s="1010"/>
      <c r="B2065" s="1351">
        <v>1815</v>
      </c>
      <c r="C2065" s="1014">
        <v>0.98255395222534969</v>
      </c>
      <c r="D2065" s="1014">
        <v>1.0011961735212007</v>
      </c>
      <c r="E2065" s="1014">
        <v>1.0056392055929664</v>
      </c>
      <c r="F2065" s="1014">
        <v>1.010677425752428</v>
      </c>
      <c r="G2065" s="1014">
        <v>1.0027876604198176</v>
      </c>
      <c r="H2065" s="1014">
        <v>0.99414837659659727</v>
      </c>
      <c r="I2065" s="1014">
        <v>0.99849308508932699</v>
      </c>
      <c r="K2065">
        <v>2.4400553954872723</v>
      </c>
      <c r="L2065">
        <v>0</v>
      </c>
      <c r="M2065">
        <v>1.64144280694041E-3</v>
      </c>
      <c r="N2065">
        <v>0.15193986750449812</v>
      </c>
      <c r="O2065">
        <v>2.1356405221623291E-2</v>
      </c>
      <c r="P2065">
        <v>2.8933750502633731E-2</v>
      </c>
      <c r="Q2065">
        <v>5.6202580009609973E-3</v>
      </c>
      <c r="R2065">
        <v>1.6196486152769154E-3</v>
      </c>
      <c r="S2065">
        <v>0.2621994753972629</v>
      </c>
      <c r="T2065">
        <v>1.3864075071608857</v>
      </c>
      <c r="U2065">
        <v>0.21575677250254904</v>
      </c>
      <c r="V2065">
        <v>0.24709489990824962</v>
      </c>
      <c r="W2065">
        <v>9.9480924409977675E-2</v>
      </c>
      <c r="X2065">
        <v>1.6879179456530852E-2</v>
      </c>
      <c r="Y2065">
        <v>4.4081496137612303E-3</v>
      </c>
    </row>
    <row r="2066" spans="1:25">
      <c r="A2066" s="1010"/>
      <c r="B2066" s="1351">
        <v>1816</v>
      </c>
      <c r="C2066" s="1014">
        <v>0.98469706068873153</v>
      </c>
      <c r="D2066" s="1014">
        <v>0.98869774419226764</v>
      </c>
      <c r="E2066" s="1014">
        <v>0.98813409991834056</v>
      </c>
      <c r="F2066" s="1014">
        <v>0.96645055987562201</v>
      </c>
      <c r="G2066" s="1014">
        <v>0.98576014447422133</v>
      </c>
      <c r="H2066" s="1014">
        <v>0.99898472961186036</v>
      </c>
      <c r="I2066" s="1014">
        <v>1.0290440188840955</v>
      </c>
      <c r="K2066">
        <v>2.3812287389779025</v>
      </c>
      <c r="L2066">
        <v>0</v>
      </c>
      <c r="M2066">
        <v>1.7113915162443388E-3</v>
      </c>
      <c r="N2066">
        <v>0.15026228809768044</v>
      </c>
      <c r="O2066">
        <v>2.1357077575197555E-2</v>
      </c>
      <c r="P2066">
        <v>2.7812079619021397E-2</v>
      </c>
      <c r="Q2066">
        <v>5.5222358464160713E-3</v>
      </c>
      <c r="R2066">
        <v>1.6887785911843338E-3</v>
      </c>
      <c r="S2066">
        <v>0.27162037537804001</v>
      </c>
      <c r="T2066">
        <v>1.3253731627332317</v>
      </c>
      <c r="U2066">
        <v>0.21522646006177165</v>
      </c>
      <c r="V2066">
        <v>0.24411079001186545</v>
      </c>
      <c r="W2066">
        <v>9.9414027365365323E-2</v>
      </c>
      <c r="X2066">
        <v>1.5956556594879927E-2</v>
      </c>
      <c r="Y2066">
        <v>4.5962986194907915E-3</v>
      </c>
    </row>
    <row r="2067" spans="1:25">
      <c r="A2067" s="1010"/>
      <c r="B2067" s="1351">
        <v>1817</v>
      </c>
      <c r="C2067" s="1014">
        <v>1.0151762850273338</v>
      </c>
      <c r="D2067" s="1014">
        <v>1.0185687891737381</v>
      </c>
      <c r="E2067" s="1014">
        <v>1.0107975334061934</v>
      </c>
      <c r="F2067" s="1014">
        <v>0.98498292629059325</v>
      </c>
      <c r="G2067" s="1014">
        <v>1.0155944804450086</v>
      </c>
      <c r="H2067" s="1014">
        <v>0.97775696963843339</v>
      </c>
      <c r="I2067" s="1014">
        <v>0.99289173061458991</v>
      </c>
      <c r="K2067">
        <v>2.3704342559719747</v>
      </c>
      <c r="L2067">
        <v>0</v>
      </c>
      <c r="M2067">
        <v>1.540011362914028E-3</v>
      </c>
      <c r="N2067">
        <v>0.14475583458016589</v>
      </c>
      <c r="O2067">
        <v>2.0595405899737924E-2</v>
      </c>
      <c r="P2067">
        <v>2.8284279165892087E-2</v>
      </c>
      <c r="Q2067">
        <v>5.4480374528236113E-3</v>
      </c>
      <c r="R2067">
        <v>1.5192211362939946E-3</v>
      </c>
      <c r="S2067">
        <v>0.24887065134542724</v>
      </c>
      <c r="T2067">
        <v>1.3512708747566946</v>
      </c>
      <c r="U2067">
        <v>0.20884089541822776</v>
      </c>
      <c r="V2067">
        <v>0.24722201507667818</v>
      </c>
      <c r="W2067">
        <v>9.4489005326608602E-2</v>
      </c>
      <c r="X2067">
        <v>1.6543228054458937E-2</v>
      </c>
      <c r="Y2067">
        <v>4.1348191218792693E-3</v>
      </c>
    </row>
    <row r="2068" spans="1:25">
      <c r="A2068" s="1010"/>
      <c r="B2068" s="1351">
        <v>1818</v>
      </c>
      <c r="C2068" s="1014">
        <v>1.0412888590426528</v>
      </c>
      <c r="D2068" s="1014">
        <v>0.98743394374004645</v>
      </c>
      <c r="E2068" s="1014">
        <v>1.0041374686074185</v>
      </c>
      <c r="F2068" s="1014">
        <v>1.0087255783408486</v>
      </c>
      <c r="G2068" s="1014">
        <v>0.99430580332637752</v>
      </c>
      <c r="H2068" s="1014">
        <v>1.0091352255950574</v>
      </c>
      <c r="I2068" s="1014">
        <v>1.0233529037948164</v>
      </c>
      <c r="K2068">
        <v>2.4019286428974316</v>
      </c>
      <c r="L2068">
        <v>0</v>
      </c>
      <c r="M2068">
        <v>1.5819233072553454E-3</v>
      </c>
      <c r="N2068">
        <v>0.1457969624021182</v>
      </c>
      <c r="O2068">
        <v>2.0212272632654973E-2</v>
      </c>
      <c r="P2068">
        <v>2.8552090762308899E-2</v>
      </c>
      <c r="Q2068">
        <v>5.311160718294892E-3</v>
      </c>
      <c r="R2068">
        <v>1.5612313164411154E-3</v>
      </c>
      <c r="S2068">
        <v>0.25658244519398438</v>
      </c>
      <c r="T2068">
        <v>1.3836972442446229</v>
      </c>
      <c r="U2068">
        <v>0.2035818692435675</v>
      </c>
      <c r="V2068">
        <v>0.24206984823989433</v>
      </c>
      <c r="W2068">
        <v>9.5543837789973232E-2</v>
      </c>
      <c r="X2068">
        <v>1.6352446677240833E-2</v>
      </c>
      <c r="Y2068">
        <v>4.2491569835875686E-3</v>
      </c>
    </row>
    <row r="2069" spans="1:25">
      <c r="A2069" s="1010"/>
      <c r="B2069" s="1351">
        <v>1819</v>
      </c>
      <c r="C2069" s="1014">
        <v>0.98154417977749953</v>
      </c>
      <c r="D2069" s="1014">
        <v>1.0388838257363613</v>
      </c>
      <c r="E2069" s="1014">
        <v>0.98433970495649092</v>
      </c>
      <c r="F2069" s="1014">
        <v>1.008364599758194</v>
      </c>
      <c r="G2069" s="1014">
        <v>1.0012827542988767</v>
      </c>
      <c r="H2069" s="1014">
        <v>1.0190703294265462</v>
      </c>
      <c r="I2069" s="1014">
        <v>0.99912235780074765</v>
      </c>
      <c r="K2069">
        <v>2.4333063629874534</v>
      </c>
      <c r="L2069">
        <v>0</v>
      </c>
      <c r="M2069">
        <v>1.746093784681339E-3</v>
      </c>
      <c r="N2069">
        <v>0.15159997802931169</v>
      </c>
      <c r="O2069">
        <v>2.1191018664795586E-2</v>
      </c>
      <c r="P2069">
        <v>2.8395084339253036E-2</v>
      </c>
      <c r="Q2069">
        <v>5.4582805006377416E-3</v>
      </c>
      <c r="R2069">
        <v>1.7234770643533429E-3</v>
      </c>
      <c r="S2069">
        <v>0.25980348824651239</v>
      </c>
      <c r="T2069">
        <v>1.3827708143736772</v>
      </c>
      <c r="U2069">
        <v>0.21590461775184169</v>
      </c>
      <c r="V2069">
        <v>0.24697972643873065</v>
      </c>
      <c r="W2069">
        <v>0.10052797547554383</v>
      </c>
      <c r="X2069">
        <v>1.6007259462367678E-2</v>
      </c>
      <c r="Y2069">
        <v>4.6907364251082282E-3</v>
      </c>
    </row>
    <row r="2070" spans="1:25">
      <c r="A2070" s="1010"/>
      <c r="B2070" s="1351">
        <v>1820</v>
      </c>
      <c r="C2070" s="1014">
        <v>1.0104416065354611</v>
      </c>
      <c r="D2070" s="1014">
        <v>1.0106773027333849</v>
      </c>
      <c r="E2070" s="1014">
        <v>1.0184121670310942</v>
      </c>
      <c r="F2070" s="1014">
        <v>1.0473029182792242</v>
      </c>
      <c r="G2070" s="1014">
        <v>1.0033383280885662</v>
      </c>
      <c r="H2070" s="1014">
        <v>1.0178992494837673</v>
      </c>
      <c r="I2070" s="1014">
        <v>0.96357053411909099</v>
      </c>
      <c r="K2070">
        <v>2.4686604832780068</v>
      </c>
      <c r="L2070">
        <v>0</v>
      </c>
      <c r="M2070">
        <v>1.5881665757354843E-3</v>
      </c>
      <c r="N2070">
        <v>0.15283504659718053</v>
      </c>
      <c r="O2070">
        <v>2.0732348368190726E-2</v>
      </c>
      <c r="P2070">
        <v>2.9589655538901975E-2</v>
      </c>
      <c r="Q2070">
        <v>5.5260605952823323E-3</v>
      </c>
      <c r="R2070">
        <v>1.5675717806127453E-3</v>
      </c>
      <c r="S2070">
        <v>0.24690971720012614</v>
      </c>
      <c r="T2070">
        <v>1.4369389311260667</v>
      </c>
      <c r="U2070">
        <v>0.20984528945792688</v>
      </c>
      <c r="V2070">
        <v>0.24539062001641712</v>
      </c>
      <c r="W2070">
        <v>9.9317356974998897E-2</v>
      </c>
      <c r="X2070">
        <v>1.7329638561107384E-2</v>
      </c>
      <c r="Y2070">
        <v>4.2664136369292933E-3</v>
      </c>
    </row>
    <row r="2071" spans="1:25">
      <c r="A2071" s="1010"/>
      <c r="B2071" s="1351">
        <v>1821</v>
      </c>
      <c r="C2071" s="1014">
        <v>1.0479327052403509</v>
      </c>
      <c r="D2071" s="1014">
        <v>1.0223077728688175</v>
      </c>
      <c r="E2071" s="1014">
        <v>0.9728854403988858</v>
      </c>
      <c r="F2071" s="1014">
        <v>0.95705968713574208</v>
      </c>
      <c r="G2071" s="1014">
        <v>0.96143289477243987</v>
      </c>
      <c r="H2071" s="1014">
        <v>0.96818249739649631</v>
      </c>
      <c r="I2071" s="1014">
        <v>1.0388530476724327</v>
      </c>
      <c r="K2071">
        <v>2.2951276327014232</v>
      </c>
      <c r="L2071">
        <v>0</v>
      </c>
      <c r="M2071">
        <v>1.5966797611158281E-3</v>
      </c>
      <c r="N2071">
        <v>0.13381259293268027</v>
      </c>
      <c r="O2071">
        <v>1.9911692506226555E-2</v>
      </c>
      <c r="P2071">
        <v>2.6755664871195437E-2</v>
      </c>
      <c r="Q2071">
        <v>5.0693488596016533E-3</v>
      </c>
      <c r="R2071">
        <v>1.5749113459598782E-3</v>
      </c>
      <c r="S2071">
        <v>0.25068547515214618</v>
      </c>
      <c r="T2071">
        <v>1.3121803151007922</v>
      </c>
      <c r="U2071">
        <v>0.20218941677024593</v>
      </c>
      <c r="V2071">
        <v>0.23618577638696589</v>
      </c>
      <c r="W2071">
        <v>8.934944033242094E-2</v>
      </c>
      <c r="X2071">
        <v>1.472328868998677E-2</v>
      </c>
      <c r="Y2071">
        <v>4.2863895143171226E-3</v>
      </c>
    </row>
    <row r="2072" spans="1:25">
      <c r="A2072" s="1010"/>
      <c r="B2072" s="1351">
        <v>1822</v>
      </c>
      <c r="C2072" s="1014">
        <v>0.96842521731412101</v>
      </c>
      <c r="D2072" s="1014">
        <v>1.0118003957045967</v>
      </c>
      <c r="E2072" s="1014">
        <v>1.0099414520868228</v>
      </c>
      <c r="F2072" s="1014">
        <v>1.0015938162588887</v>
      </c>
      <c r="G2072" s="1014">
        <v>1.0341234201635081</v>
      </c>
      <c r="H2072" s="1014">
        <v>0.97961969099113189</v>
      </c>
      <c r="I2072" s="1014">
        <v>1.0264179891449023</v>
      </c>
      <c r="K2072">
        <v>2.4464795313692789</v>
      </c>
      <c r="L2072">
        <v>0</v>
      </c>
      <c r="M2072">
        <v>1.6226891850853696E-3</v>
      </c>
      <c r="N2072">
        <v>0.15213753933618121</v>
      </c>
      <c r="O2072">
        <v>2.1620760747635279E-2</v>
      </c>
      <c r="P2072">
        <v>2.9103194803340417E-2</v>
      </c>
      <c r="Q2072">
        <v>5.7143800192537026E-3</v>
      </c>
      <c r="R2072">
        <v>1.6008244583488129E-3</v>
      </c>
      <c r="S2072">
        <v>0.27075654966338364</v>
      </c>
      <c r="T2072">
        <v>1.3740403126234986</v>
      </c>
      <c r="U2072">
        <v>0.21891973650024635</v>
      </c>
      <c r="V2072">
        <v>0.25335598339590448</v>
      </c>
      <c r="W2072">
        <v>9.9357523951440138E-2</v>
      </c>
      <c r="X2072">
        <v>1.7138498591142717E-2</v>
      </c>
      <c r="Y2072">
        <v>4.3569164639846005E-3</v>
      </c>
    </row>
    <row r="2073" spans="1:25">
      <c r="A2073" s="1010"/>
      <c r="B2073" s="1351">
        <v>1823</v>
      </c>
      <c r="C2073" s="1014">
        <v>0.99940648847658697</v>
      </c>
      <c r="D2073" s="1014">
        <v>1.0349034089852212</v>
      </c>
      <c r="E2073" s="1014">
        <v>0.95501140737675838</v>
      </c>
      <c r="F2073" s="1014">
        <v>1.0154145801171015</v>
      </c>
      <c r="G2073" s="1014">
        <v>0.99462385388691477</v>
      </c>
      <c r="H2073" s="1014">
        <v>0.99581888551498043</v>
      </c>
      <c r="I2073" s="1014">
        <v>1.0162299253198193</v>
      </c>
      <c r="K2073">
        <v>2.4167591533298527</v>
      </c>
      <c r="L2073">
        <v>0</v>
      </c>
      <c r="M2073">
        <v>1.7818533644612029E-3</v>
      </c>
      <c r="N2073">
        <v>0.14151515430493841</v>
      </c>
      <c r="O2073">
        <v>2.0810623500036311E-2</v>
      </c>
      <c r="P2073">
        <v>2.7775882509566148E-2</v>
      </c>
      <c r="Q2073">
        <v>5.2019746061729285E-3</v>
      </c>
      <c r="R2073">
        <v>1.7582345648505672E-3</v>
      </c>
      <c r="S2073">
        <v>0.25778872195218849</v>
      </c>
      <c r="T2073">
        <v>1.3917984442384177</v>
      </c>
      <c r="U2073">
        <v>0.21194595878768546</v>
      </c>
      <c r="V2073">
        <v>0.24481385005998441</v>
      </c>
      <c r="W2073">
        <v>9.5531191998232304E-2</v>
      </c>
      <c r="X2073">
        <v>1.4815635288587658E-2</v>
      </c>
      <c r="Y2073">
        <v>4.7853348836547124E-3</v>
      </c>
    </row>
    <row r="2074" spans="1:25">
      <c r="A2074" s="1010"/>
      <c r="B2074" s="1351">
        <v>1824</v>
      </c>
      <c r="C2074" s="1014">
        <v>1.0268050952912364</v>
      </c>
      <c r="D2074" s="1014">
        <v>1.0018550002461941</v>
      </c>
      <c r="E2074" s="1014">
        <v>0.97593992318193601</v>
      </c>
      <c r="F2074" s="1014">
        <v>1.0033690522766581</v>
      </c>
      <c r="G2074" s="1014">
        <v>0.96797499332366321</v>
      </c>
      <c r="H2074" s="1014">
        <v>1.0019151078408457</v>
      </c>
      <c r="I2074" s="1014">
        <v>1.0115224027624783</v>
      </c>
      <c r="K2074">
        <v>2.3857453882864594</v>
      </c>
      <c r="L2074">
        <v>0</v>
      </c>
      <c r="M2074">
        <v>1.6831671178110757E-3</v>
      </c>
      <c r="N2074">
        <v>0.14243731724589201</v>
      </c>
      <c r="O2074">
        <v>2.0413913182135264E-2</v>
      </c>
      <c r="P2074">
        <v>2.7808094986814004E-2</v>
      </c>
      <c r="Q2074">
        <v>5.2134206168668873E-3</v>
      </c>
      <c r="R2074">
        <v>1.6609921738362527E-3</v>
      </c>
      <c r="S2074">
        <v>0.25450177019995662</v>
      </c>
      <c r="T2074">
        <v>1.375738879643831</v>
      </c>
      <c r="U2074">
        <v>0.20635980592134145</v>
      </c>
      <c r="V2074">
        <v>0.2385175589802267</v>
      </c>
      <c r="W2074">
        <v>9.4932316661613156E-2</v>
      </c>
      <c r="X2074">
        <v>1.5323812640497411E-2</v>
      </c>
      <c r="Y2074">
        <v>4.5206731512593308E-3</v>
      </c>
    </row>
    <row r="2075" spans="1:25">
      <c r="A2075" s="1010"/>
      <c r="B2075" s="1351">
        <v>1825</v>
      </c>
      <c r="C2075" s="1014">
        <v>0.99818666785110277</v>
      </c>
      <c r="D2075" s="1014">
        <v>1.0050181214081166</v>
      </c>
      <c r="E2075" s="1014">
        <v>1.024139340132185</v>
      </c>
      <c r="F2075" s="1014">
        <v>1.0337147430767117</v>
      </c>
      <c r="G2075" s="1014">
        <v>0.98055714908467362</v>
      </c>
      <c r="H2075" s="1014">
        <v>1.0403573756663971</v>
      </c>
      <c r="I2075" s="1014">
        <v>0.9948710381921313</v>
      </c>
      <c r="K2075">
        <v>2.4744772838629583</v>
      </c>
      <c r="L2075">
        <v>0</v>
      </c>
      <c r="M2075">
        <v>1.6256744351064417E-3</v>
      </c>
      <c r="N2075">
        <v>0.15921592852749883</v>
      </c>
      <c r="O2075">
        <v>2.101664135817809E-2</v>
      </c>
      <c r="P2075">
        <v>2.9641046677390096E-2</v>
      </c>
      <c r="Q2075">
        <v>5.6338001685010391E-3</v>
      </c>
      <c r="R2075">
        <v>1.6050483291628025E-3</v>
      </c>
      <c r="S2075">
        <v>0.26073342369431152</v>
      </c>
      <c r="T2075">
        <v>1.4184240247267603</v>
      </c>
      <c r="U2075">
        <v>0.21244127831162607</v>
      </c>
      <c r="V2075">
        <v>0.24224104533141672</v>
      </c>
      <c r="W2075">
        <v>0.10311811855713839</v>
      </c>
      <c r="X2075">
        <v>1.7664190168139072E-2</v>
      </c>
      <c r="Y2075">
        <v>4.3684124479416407E-3</v>
      </c>
    </row>
    <row r="2076" spans="1:25">
      <c r="A2076" s="1010"/>
      <c r="B2076" s="1351">
        <v>1826</v>
      </c>
      <c r="C2076" s="1014">
        <v>1.0039727831318945</v>
      </c>
      <c r="D2076" s="1014">
        <v>0.99069880380242381</v>
      </c>
      <c r="E2076" s="1014">
        <v>1.0120134053055165</v>
      </c>
      <c r="F2076" s="1014">
        <v>0.97050102486692469</v>
      </c>
      <c r="G2076" s="1014">
        <v>0.97073594769725047</v>
      </c>
      <c r="H2076" s="1014">
        <v>1.0041919635988452</v>
      </c>
      <c r="I2076" s="1014">
        <v>0.99486743227516761</v>
      </c>
      <c r="K2076">
        <v>2.3666210432566475</v>
      </c>
      <c r="L2076">
        <v>0</v>
      </c>
      <c r="M2076">
        <v>1.6050284520120581E-3</v>
      </c>
      <c r="N2076">
        <v>0.15147652020737559</v>
      </c>
      <c r="O2076">
        <v>2.0953536003213358E-2</v>
      </c>
      <c r="P2076">
        <v>2.8097372182030938E-2</v>
      </c>
      <c r="Q2076">
        <v>5.5495082075008749E-3</v>
      </c>
      <c r="R2076">
        <v>1.5839308928991182E-3</v>
      </c>
      <c r="S2076">
        <v>0.25793054644641916</v>
      </c>
      <c r="T2076">
        <v>1.3314291334655326</v>
      </c>
      <c r="U2076">
        <v>0.21117553323010615</v>
      </c>
      <c r="V2076">
        <v>0.24024561673193112</v>
      </c>
      <c r="W2076">
        <v>9.8805128559843886E-2</v>
      </c>
      <c r="X2076">
        <v>1.6668308034012938E-2</v>
      </c>
      <c r="Y2076">
        <v>4.3109377477928848E-3</v>
      </c>
    </row>
    <row r="2077" spans="1:25">
      <c r="A2077" s="1010"/>
      <c r="B2077" s="1351">
        <v>1827</v>
      </c>
      <c r="C2077" s="1014">
        <v>1.0244823116222963</v>
      </c>
      <c r="D2077" s="1014">
        <v>1.0054359464042808</v>
      </c>
      <c r="E2077" s="1014">
        <v>1.0035120018457111</v>
      </c>
      <c r="F2077" s="1014">
        <v>1.0118068585661832</v>
      </c>
      <c r="G2077" s="1014">
        <v>0.97609211858761835</v>
      </c>
      <c r="H2077" s="1014">
        <v>1.0030567690338199</v>
      </c>
      <c r="I2077" s="1014">
        <v>1.0148767844295985</v>
      </c>
      <c r="K2077">
        <v>2.4084113927178188</v>
      </c>
      <c r="L2077">
        <v>0</v>
      </c>
      <c r="M2077">
        <v>1.5939178060114462E-3</v>
      </c>
      <c r="N2077">
        <v>0.14661339428686834</v>
      </c>
      <c r="O2077">
        <v>2.0461954375714235E-2</v>
      </c>
      <c r="P2077">
        <v>2.8602201202703896E-2</v>
      </c>
      <c r="Q2077">
        <v>5.3733971599132435E-3</v>
      </c>
      <c r="R2077">
        <v>1.5729425810394819E-3</v>
      </c>
      <c r="S2077">
        <v>0.25578703775511485</v>
      </c>
      <c r="T2077">
        <v>1.3879102249953317</v>
      </c>
      <c r="U2077">
        <v>0.20691952479297865</v>
      </c>
      <c r="V2077">
        <v>0.23994505778403127</v>
      </c>
      <c r="W2077">
        <v>9.611447851510109E-2</v>
      </c>
      <c r="X2077">
        <v>1.6424065889826953E-2</v>
      </c>
      <c r="Y2077">
        <v>4.2810311852069854E-3</v>
      </c>
    </row>
    <row r="2078" spans="1:25">
      <c r="A2078" s="1010"/>
      <c r="B2078" s="1351">
        <v>1828</v>
      </c>
      <c r="C2078" s="1014">
        <v>0.9909335907420832</v>
      </c>
      <c r="D2078" s="1014">
        <v>1.0216147981027561</v>
      </c>
      <c r="E2078" s="1014">
        <v>1.0145235774102317</v>
      </c>
      <c r="F2078" s="1014">
        <v>0.99637711685899832</v>
      </c>
      <c r="G2078" s="1014">
        <v>0.97587645567438153</v>
      </c>
      <c r="H2078" s="1014">
        <v>1.0077384531641782</v>
      </c>
      <c r="I2078" s="1014">
        <v>0.97438970294316007</v>
      </c>
      <c r="K2078">
        <v>2.4050571845928426</v>
      </c>
      <c r="L2078">
        <v>0</v>
      </c>
      <c r="M2078">
        <v>1.6124611716597924E-3</v>
      </c>
      <c r="N2078">
        <v>0.15334251792618334</v>
      </c>
      <c r="O2078">
        <v>2.1087894800774439E-2</v>
      </c>
      <c r="P2078">
        <v>2.8624661697902364E-2</v>
      </c>
      <c r="Q2078">
        <v>5.5990996728418974E-3</v>
      </c>
      <c r="R2078">
        <v>1.5913405034914852E-3</v>
      </c>
      <c r="S2078">
        <v>0.25236126617124394</v>
      </c>
      <c r="T2078">
        <v>1.3669827478283978</v>
      </c>
      <c r="U2078">
        <v>0.21396296149317845</v>
      </c>
      <c r="V2078">
        <v>0.24193253015255387</v>
      </c>
      <c r="W2078">
        <v>9.9874719586626567E-2</v>
      </c>
      <c r="X2078">
        <v>1.69788016660605E-2</v>
      </c>
      <c r="Y2078">
        <v>4.3311042652478321E-3</v>
      </c>
    </row>
    <row r="2079" spans="1:25">
      <c r="A2079" s="1010"/>
      <c r="B2079" s="1351">
        <v>1829</v>
      </c>
      <c r="C2079" s="1014">
        <v>0.96193812817376678</v>
      </c>
      <c r="D2079" s="1014">
        <v>1.0360484065449782</v>
      </c>
      <c r="E2079" s="1014">
        <v>0.99869857198830192</v>
      </c>
      <c r="F2079" s="1014">
        <v>1.001709730602903</v>
      </c>
      <c r="G2079" s="1014">
        <v>0.99302526993734963</v>
      </c>
      <c r="H2079" s="1014">
        <v>0.99933540345359295</v>
      </c>
      <c r="I2079" s="1014">
        <v>1.0258867269247416</v>
      </c>
      <c r="K2079">
        <v>2.4443523388860098</v>
      </c>
      <c r="L2079">
        <v>0</v>
      </c>
      <c r="M2079">
        <v>1.696994111913989E-3</v>
      </c>
      <c r="N2079">
        <v>0.15383364124415433</v>
      </c>
      <c r="O2079">
        <v>2.1645751895841812E-2</v>
      </c>
      <c r="P2079">
        <v>2.8792716511338422E-2</v>
      </c>
      <c r="Q2079">
        <v>5.6568480962042433E-3</v>
      </c>
      <c r="R2079">
        <v>1.6745792906364713E-3</v>
      </c>
      <c r="S2079">
        <v>0.27091544960174457</v>
      </c>
      <c r="T2079">
        <v>1.373955539955618</v>
      </c>
      <c r="U2079">
        <v>0.22035610254215171</v>
      </c>
      <c r="V2079">
        <v>0.24681339682132622</v>
      </c>
      <c r="W2079">
        <v>0.10113648357025369</v>
      </c>
      <c r="X2079">
        <v>1.6711170664455623E-2</v>
      </c>
      <c r="Y2079">
        <v>4.5576528041976752E-3</v>
      </c>
    </row>
    <row r="2080" spans="1:25">
      <c r="A2080" s="1010"/>
      <c r="B2080" s="1351">
        <v>1830</v>
      </c>
      <c r="C2080" s="1014">
        <v>1.0086129636416916</v>
      </c>
      <c r="D2080" s="1014">
        <v>0.98209693554034949</v>
      </c>
      <c r="E2080" s="1014">
        <v>1.0377665975209969</v>
      </c>
      <c r="F2080" s="1014">
        <v>0.97621576955340339</v>
      </c>
      <c r="G2080" s="1014">
        <v>1.0259725300270213</v>
      </c>
      <c r="H2080" s="1014">
        <v>1.0033316684911209</v>
      </c>
      <c r="I2080" s="1014">
        <v>1.0411441028854347</v>
      </c>
      <c r="K2080">
        <v>2.4008337197664247</v>
      </c>
      <c r="L2080">
        <v>0</v>
      </c>
      <c r="M2080">
        <v>1.5158388037163006E-3</v>
      </c>
      <c r="N2080">
        <v>0.15461074885134535</v>
      </c>
      <c r="O2080">
        <v>2.0914268776716444E-2</v>
      </c>
      <c r="P2080">
        <v>2.9031540116265062E-2</v>
      </c>
      <c r="Q2080">
        <v>5.682364723235655E-3</v>
      </c>
      <c r="R2080">
        <v>1.4958965279049949E-3</v>
      </c>
      <c r="S2080">
        <v>0.27001030938203524</v>
      </c>
      <c r="T2080">
        <v>1.3398155745773253</v>
      </c>
      <c r="U2080">
        <v>0.21029161577048328</v>
      </c>
      <c r="V2080">
        <v>0.24929603675961648</v>
      </c>
      <c r="W2080">
        <v>9.9347124487947164E-2</v>
      </c>
      <c r="X2080">
        <v>1.7782741370462908E-2</v>
      </c>
      <c r="Y2080">
        <v>4.0713372267995023E-3</v>
      </c>
    </row>
    <row r="2081" spans="1:25">
      <c r="A2081" s="1010"/>
      <c r="B2081" s="1351">
        <v>1831</v>
      </c>
      <c r="C2081" s="1014">
        <v>0.9910349710810975</v>
      </c>
      <c r="D2081" s="1014">
        <v>1.0438946808964471</v>
      </c>
      <c r="E2081" s="1014">
        <v>0.99114306507844829</v>
      </c>
      <c r="F2081" s="1014">
        <v>1.0072040111697154</v>
      </c>
      <c r="G2081" s="1014">
        <v>0.98060901657431199</v>
      </c>
      <c r="H2081" s="1014">
        <v>0.99057024983483921</v>
      </c>
      <c r="I2081" s="1014">
        <v>0.98593397288366758</v>
      </c>
      <c r="K2081">
        <v>2.407799733191744</v>
      </c>
      <c r="L2081">
        <v>0</v>
      </c>
      <c r="M2081">
        <v>1.6557421636038295E-3</v>
      </c>
      <c r="N2081">
        <v>0.14668813667559302</v>
      </c>
      <c r="O2081">
        <v>2.0970378472327068E-2</v>
      </c>
      <c r="P2081">
        <v>2.8317722491230463E-2</v>
      </c>
      <c r="Q2081">
        <v>5.4387676357001043E-3</v>
      </c>
      <c r="R2081">
        <v>1.633678702258188E-3</v>
      </c>
      <c r="S2081">
        <v>0.25098215725633816</v>
      </c>
      <c r="T2081">
        <v>1.3813271323646978</v>
      </c>
      <c r="U2081">
        <v>0.21386039566320589</v>
      </c>
      <c r="V2081">
        <v>0.24281509617126049</v>
      </c>
      <c r="W2081">
        <v>9.6874527908906716E-2</v>
      </c>
      <c r="X2081">
        <v>1.610114712831939E-2</v>
      </c>
      <c r="Y2081">
        <v>4.4463348855073234E-3</v>
      </c>
    </row>
    <row r="2082" spans="1:25">
      <c r="A2082" s="1010"/>
      <c r="B2082" s="1351">
        <v>1832</v>
      </c>
      <c r="C2082" s="1014">
        <v>0.97284338483211674</v>
      </c>
      <c r="D2082" s="1014">
        <v>0.98875277309944809</v>
      </c>
      <c r="E2082" s="1014">
        <v>1.0291617930275287</v>
      </c>
      <c r="F2082" s="1014">
        <v>1.0349093002337719</v>
      </c>
      <c r="G2082" s="1014">
        <v>1.0072386294683386</v>
      </c>
      <c r="H2082" s="1014">
        <v>1.0246344661007452</v>
      </c>
      <c r="I2082" s="1014">
        <v>0.99081485758202636</v>
      </c>
      <c r="K2082">
        <v>2.5008263549516196</v>
      </c>
      <c r="L2082">
        <v>0</v>
      </c>
      <c r="M2082">
        <v>1.6315667957768495E-3</v>
      </c>
      <c r="N2082">
        <v>0.16219939108312326</v>
      </c>
      <c r="O2082">
        <v>2.1645135522124506E-2</v>
      </c>
      <c r="P2082">
        <v>3.0028690141999551E-2</v>
      </c>
      <c r="Q2082">
        <v>5.8312138630007291E-3</v>
      </c>
      <c r="R2082">
        <v>1.6105482765470121E-3</v>
      </c>
      <c r="S2082">
        <v>0.26728270384271752</v>
      </c>
      <c r="T2082">
        <v>1.4201761545008238</v>
      </c>
      <c r="U2082">
        <v>0.21799324763157013</v>
      </c>
      <c r="V2082">
        <v>0.24840587784273499</v>
      </c>
      <c r="W2082">
        <v>0.10474377082478734</v>
      </c>
      <c r="X2082">
        <v>1.8157806726303068E-2</v>
      </c>
      <c r="Y2082">
        <v>4.3833814916642913E-3</v>
      </c>
    </row>
    <row r="2083" spans="1:25">
      <c r="A2083" s="1010"/>
      <c r="B2083" s="1351">
        <v>1833</v>
      </c>
      <c r="C2083" s="1014">
        <v>0.99368253445383226</v>
      </c>
      <c r="D2083" s="1014">
        <v>1.0036072432880754</v>
      </c>
      <c r="E2083" s="1014">
        <v>1.0372771191517138</v>
      </c>
      <c r="F2083" s="1014">
        <v>1.0031992174127302</v>
      </c>
      <c r="G2083" s="1014">
        <v>1.0257801051795379</v>
      </c>
      <c r="H2083" s="1014">
        <v>0.99722687410609467</v>
      </c>
      <c r="I2083" s="1014">
        <v>1.0413774556148456</v>
      </c>
      <c r="K2083">
        <v>2.4445540903379843</v>
      </c>
      <c r="L2083">
        <v>0</v>
      </c>
      <c r="M2083">
        <v>1.5235360897128878E-3</v>
      </c>
      <c r="N2083">
        <v>0.15515418229626085</v>
      </c>
      <c r="O2083">
        <v>2.1127239084250956E-2</v>
      </c>
      <c r="P2083">
        <v>2.9605930477259276E-2</v>
      </c>
      <c r="Q2083">
        <v>5.73746247467701E-3</v>
      </c>
      <c r="R2083">
        <v>1.5033698469488861E-3</v>
      </c>
      <c r="S2083">
        <v>0.27061805368353448</v>
      </c>
      <c r="T2083">
        <v>1.3768385381618669</v>
      </c>
      <c r="U2083">
        <v>0.21344962795820754</v>
      </c>
      <c r="V2083">
        <v>0.2501950023240751</v>
      </c>
      <c r="W2083">
        <v>9.9724478789787699E-2</v>
      </c>
      <c r="X2083">
        <v>1.8032064193166924E-2</v>
      </c>
      <c r="Y2083">
        <v>4.0916771376580136E-3</v>
      </c>
    </row>
    <row r="2084" spans="1:25">
      <c r="A2084" s="1010"/>
      <c r="B2084" s="1351">
        <v>1834</v>
      </c>
      <c r="C2084" s="1014">
        <v>1.021587298979564</v>
      </c>
      <c r="D2084" s="1014">
        <v>0.99161740246856578</v>
      </c>
      <c r="E2084" s="1014">
        <v>1.0029491060887399</v>
      </c>
      <c r="F2084" s="1014">
        <v>0.9647927765709533</v>
      </c>
      <c r="G2084" s="1014">
        <v>0.99239698285536504</v>
      </c>
      <c r="H2084" s="1014">
        <v>0.95380882782406773</v>
      </c>
      <c r="I2084" s="1014">
        <v>1.0218529483074088</v>
      </c>
      <c r="K2084">
        <v>2.3355181554278897</v>
      </c>
      <c r="L2084">
        <v>0</v>
      </c>
      <c r="M2084">
        <v>1.5263717843605122E-3</v>
      </c>
      <c r="N2084">
        <v>0.14006529184816016</v>
      </c>
      <c r="O2084">
        <v>2.0582144181963385E-2</v>
      </c>
      <c r="P2084">
        <v>2.775766520277502E-2</v>
      </c>
      <c r="Q2084">
        <v>5.4019076561121092E-3</v>
      </c>
      <c r="R2084">
        <v>1.5052483168994564E-3</v>
      </c>
      <c r="S2084">
        <v>0.25586792406557923</v>
      </c>
      <c r="T2084">
        <v>1.3234085695739117</v>
      </c>
      <c r="U2084">
        <v>0.20750401675131522</v>
      </c>
      <c r="V2084">
        <v>0.24290378357456024</v>
      </c>
      <c r="W2084">
        <v>9.1852423874125511E-2</v>
      </c>
      <c r="X2084">
        <v>1.6098762453220259E-2</v>
      </c>
      <c r="Y2084">
        <v>4.0967897136260133E-3</v>
      </c>
    </row>
    <row r="2085" spans="1:25">
      <c r="A2085" s="1010"/>
      <c r="B2085" s="1351">
        <v>1835</v>
      </c>
      <c r="C2085" s="1014">
        <v>1.0184791131385535</v>
      </c>
      <c r="D2085" s="1014">
        <v>1.0391573927558115</v>
      </c>
      <c r="E2085" s="1014">
        <v>1.010783775592935</v>
      </c>
      <c r="F2085" s="1014">
        <v>1.0035339976238089</v>
      </c>
      <c r="G2085" s="1014">
        <v>1.0166326599546471</v>
      </c>
      <c r="H2085" s="1014">
        <v>1.0372062380087399</v>
      </c>
      <c r="I2085" s="1014">
        <v>1.0049599233440241</v>
      </c>
      <c r="K2085">
        <v>2.4132462139289133</v>
      </c>
      <c r="L2085">
        <v>0</v>
      </c>
      <c r="M2085">
        <v>1.621242065386667E-3</v>
      </c>
      <c r="N2085">
        <v>0.15250444130195179</v>
      </c>
      <c r="O2085">
        <v>2.0438428050157539E-2</v>
      </c>
      <c r="P2085">
        <v>2.8688575894229684E-2</v>
      </c>
      <c r="Q2085">
        <v>5.4064382777865789E-3</v>
      </c>
      <c r="R2085">
        <v>1.6006097027722955E-3</v>
      </c>
      <c r="S2085">
        <v>0.25353248641315179</v>
      </c>
      <c r="T2085">
        <v>1.3767202779520018</v>
      </c>
      <c r="U2085">
        <v>0.20816359857718</v>
      </c>
      <c r="V2085">
        <v>0.24719995591053839</v>
      </c>
      <c r="W2085">
        <v>9.9547695878839312E-2</v>
      </c>
      <c r="X2085">
        <v>1.6708616065588138E-2</v>
      </c>
      <c r="Y2085">
        <v>4.3563319700994736E-3</v>
      </c>
    </row>
    <row r="2086" spans="1:25">
      <c r="A2086" s="1010"/>
      <c r="B2086" s="1351">
        <v>1836</v>
      </c>
      <c r="C2086" s="1014">
        <v>0.98656426101501393</v>
      </c>
      <c r="D2086" s="1014">
        <v>0.99790148186245275</v>
      </c>
      <c r="E2086" s="1014">
        <v>0.95861737014960779</v>
      </c>
      <c r="F2086" s="1014">
        <v>0.99964411691242905</v>
      </c>
      <c r="G2086" s="1014">
        <v>1.0061558944150133</v>
      </c>
      <c r="H2086" s="1014">
        <v>1.0063510721090347</v>
      </c>
      <c r="I2086" s="1014">
        <v>1.0261298625079716</v>
      </c>
      <c r="K2086">
        <v>2.421642446902653</v>
      </c>
      <c r="L2086">
        <v>0</v>
      </c>
      <c r="M2086">
        <v>1.8252001109625054E-3</v>
      </c>
      <c r="N2086">
        <v>0.14657130553863212</v>
      </c>
      <c r="O2086">
        <v>2.1253467303108495E-2</v>
      </c>
      <c r="P2086">
        <v>2.7796787820558645E-2</v>
      </c>
      <c r="Q2086">
        <v>5.3324327630927953E-3</v>
      </c>
      <c r="R2086">
        <v>1.8012599430970646E-3</v>
      </c>
      <c r="S2086">
        <v>0.26948557878156976</v>
      </c>
      <c r="T2086">
        <v>1.3702595911347919</v>
      </c>
      <c r="U2086">
        <v>0.2147172898251038</v>
      </c>
      <c r="V2086">
        <v>0.24758423539471819</v>
      </c>
      <c r="W2086">
        <v>9.8725196485113881E-2</v>
      </c>
      <c r="X2086">
        <v>1.5038066243897827E-2</v>
      </c>
      <c r="Y2086">
        <v>4.9024357799295516E-3</v>
      </c>
    </row>
    <row r="2087" spans="1:25">
      <c r="A2087" s="1010"/>
      <c r="B2087" s="1351">
        <v>1837</v>
      </c>
      <c r="C2087" s="1014">
        <v>1.0177804608477881</v>
      </c>
      <c r="D2087" s="1014">
        <v>1.0078684772531106</v>
      </c>
      <c r="E2087" s="1014">
        <v>0.99032993447957429</v>
      </c>
      <c r="F2087" s="1014">
        <v>0.99521536882661266</v>
      </c>
      <c r="G2087" s="1014">
        <v>1.0014534732924663</v>
      </c>
      <c r="H2087" s="1014">
        <v>0.98924053346562069</v>
      </c>
      <c r="I2087" s="1014">
        <v>1.0281208726165529</v>
      </c>
      <c r="K2087">
        <v>2.3898789937349436</v>
      </c>
      <c r="L2087">
        <v>0</v>
      </c>
      <c r="M2087">
        <v>1.6252915588743637E-3</v>
      </c>
      <c r="N2087">
        <v>0.14363426176131452</v>
      </c>
      <c r="O2087">
        <v>2.0577168096198417E-2</v>
      </c>
      <c r="P2087">
        <v>2.8138768922275747E-2</v>
      </c>
      <c r="Q2087">
        <v>5.332404021197933E-3</v>
      </c>
      <c r="R2087">
        <v>1.6036047528373383E-3</v>
      </c>
      <c r="S2087">
        <v>0.2592232161601058</v>
      </c>
      <c r="T2087">
        <v>1.3648678728001891</v>
      </c>
      <c r="U2087">
        <v>0.20823779173979706</v>
      </c>
      <c r="V2087">
        <v>0.24472438035779315</v>
      </c>
      <c r="W2087">
        <v>9.4903904807520839E-2</v>
      </c>
      <c r="X2087">
        <v>1.5896428365526794E-2</v>
      </c>
      <c r="Y2087">
        <v>4.3644835090585338E-3</v>
      </c>
    </row>
    <row r="2088" spans="1:25">
      <c r="A2088" s="1010"/>
      <c r="B2088" s="1351">
        <v>1838</v>
      </c>
      <c r="C2088" s="1014">
        <v>0.98395582969034956</v>
      </c>
      <c r="D2088" s="1014">
        <v>0.98069908076918544</v>
      </c>
      <c r="E2088" s="1014">
        <v>0.97366203908906246</v>
      </c>
      <c r="F2088" s="1014">
        <v>0.95900821479527421</v>
      </c>
      <c r="G2088" s="1014">
        <v>0.98719050520754681</v>
      </c>
      <c r="H2088" s="1014">
        <v>1.0205253535313996</v>
      </c>
      <c r="I2088" s="1014">
        <v>1.0178318133875435</v>
      </c>
      <c r="K2088">
        <v>2.3739911339239095</v>
      </c>
      <c r="L2088">
        <v>0</v>
      </c>
      <c r="M2088">
        <v>1.80599118021702E-3</v>
      </c>
      <c r="N2088">
        <v>0.15181809725659737</v>
      </c>
      <c r="O2088">
        <v>2.1401622252730724E-2</v>
      </c>
      <c r="P2088">
        <v>2.7375732384654797E-2</v>
      </c>
      <c r="Q2088">
        <v>5.4529910684710759E-3</v>
      </c>
      <c r="R2088">
        <v>1.7826319759282493E-3</v>
      </c>
      <c r="S2088">
        <v>0.27174256044213596</v>
      </c>
      <c r="T2088">
        <v>1.3148678698530289</v>
      </c>
      <c r="U2088">
        <v>0.21533847271420767</v>
      </c>
      <c r="V2088">
        <v>0.24445460876062267</v>
      </c>
      <c r="W2088">
        <v>0.10132430929111617</v>
      </c>
      <c r="X2088">
        <v>1.5386492510627375E-2</v>
      </c>
      <c r="Y2088">
        <v>4.8517365940037634E-3</v>
      </c>
    </row>
    <row r="2089" spans="1:25">
      <c r="A2089" s="1010"/>
      <c r="B2089" s="1351">
        <v>1839</v>
      </c>
      <c r="C2089" s="1014">
        <v>0.97650313385545229</v>
      </c>
      <c r="D2089" s="1014">
        <v>0.97753525153963716</v>
      </c>
      <c r="E2089" s="1014">
        <v>0.96784696031682604</v>
      </c>
      <c r="F2089" s="1014">
        <v>1.0265274850686137</v>
      </c>
      <c r="G2089" s="1014">
        <v>1.0360736286402834</v>
      </c>
      <c r="H2089" s="1014">
        <v>0.97190723434467186</v>
      </c>
      <c r="I2089" s="1014">
        <v>1.0149917883744841</v>
      </c>
      <c r="K2089">
        <v>2.4646283008846939</v>
      </c>
      <c r="L2089">
        <v>0</v>
      </c>
      <c r="M2089">
        <v>1.7552609208080637E-3</v>
      </c>
      <c r="N2089">
        <v>0.1448833428514717</v>
      </c>
      <c r="O2089">
        <v>2.1576342561129988E-2</v>
      </c>
      <c r="P2089">
        <v>2.8590134396587141E-2</v>
      </c>
      <c r="Q2089">
        <v>5.4649449919534103E-3</v>
      </c>
      <c r="R2089">
        <v>1.7314221923118026E-3</v>
      </c>
      <c r="S2089">
        <v>0.26912945174274405</v>
      </c>
      <c r="T2089">
        <v>1.4073132298257158</v>
      </c>
      <c r="U2089">
        <v>0.21696168242668326</v>
      </c>
      <c r="V2089">
        <v>0.25331476581572415</v>
      </c>
      <c r="W2089">
        <v>9.7038644964274598E-2</v>
      </c>
      <c r="X2089">
        <v>1.5667239592602397E-2</v>
      </c>
      <c r="Y2089">
        <v>4.7123604443004268E-3</v>
      </c>
    </row>
    <row r="2090" spans="1:25">
      <c r="A2090" s="1010"/>
      <c r="B2090" s="1351">
        <v>1840</v>
      </c>
      <c r="C2090" s="1014">
        <v>0.99563055561547875</v>
      </c>
      <c r="D2090" s="1014">
        <v>1.0163839813847446</v>
      </c>
      <c r="E2090" s="1014">
        <v>1.001424542229792</v>
      </c>
      <c r="F2090" s="1014">
        <v>1.0213833074920335</v>
      </c>
      <c r="G2090" s="1014">
        <v>1.0121774857808377</v>
      </c>
      <c r="H2090" s="1014">
        <v>1.0071135511228111</v>
      </c>
      <c r="I2090" s="1014">
        <v>1.0098646693993671</v>
      </c>
      <c r="K2090">
        <v>2.4490112483908071</v>
      </c>
      <c r="L2090">
        <v>0</v>
      </c>
      <c r="M2090">
        <v>1.6499530089928466E-3</v>
      </c>
      <c r="N2090">
        <v>0.15082181952626672</v>
      </c>
      <c r="O2090">
        <v>2.1003415867522614E-2</v>
      </c>
      <c r="P2090">
        <v>2.8995571352954913E-2</v>
      </c>
      <c r="Q2090">
        <v>5.5040419713687175E-3</v>
      </c>
      <c r="R2090">
        <v>1.6283278477492791E-3</v>
      </c>
      <c r="S2090">
        <v>0.26081915496179509</v>
      </c>
      <c r="T2090">
        <v>1.4010002432211621</v>
      </c>
      <c r="U2090">
        <v>0.21290854695889855</v>
      </c>
      <c r="V2090">
        <v>0.24787932502785118</v>
      </c>
      <c r="W2090">
        <v>9.8995877525771464E-2</v>
      </c>
      <c r="X2090">
        <v>1.6673105515013695E-2</v>
      </c>
      <c r="Y2090">
        <v>4.4317716234427906E-3</v>
      </c>
    </row>
    <row r="2091" spans="1:25">
      <c r="A2091" s="1010"/>
      <c r="B2091" s="1351">
        <v>1841</v>
      </c>
      <c r="C2091" s="1014">
        <v>1.0035965831706359</v>
      </c>
      <c r="D2091" s="1014">
        <v>0.96952745971598875</v>
      </c>
      <c r="E2091" s="1014">
        <v>1.0015944476888794</v>
      </c>
      <c r="F2091" s="1014">
        <v>0.9949624686255556</v>
      </c>
      <c r="G2091" s="1014">
        <v>1.0047590525856509</v>
      </c>
      <c r="H2091" s="1014">
        <v>0.98729893874130981</v>
      </c>
      <c r="I2091" s="1014">
        <v>0.97733465485041748</v>
      </c>
      <c r="K2091">
        <v>2.3980463567408972</v>
      </c>
      <c r="L2091">
        <v>0</v>
      </c>
      <c r="M2091">
        <v>1.6208291746138174E-3</v>
      </c>
      <c r="N2091">
        <v>0.14819617113772962</v>
      </c>
      <c r="O2091">
        <v>2.1054299740924976E-2</v>
      </c>
      <c r="P2091">
        <v>2.8374122527880553E-2</v>
      </c>
      <c r="Q2091">
        <v>5.5183179061095173E-3</v>
      </c>
      <c r="R2091">
        <v>1.5991593800788924E-3</v>
      </c>
      <c r="S2091">
        <v>0.25475566705602615</v>
      </c>
      <c r="T2091">
        <v>1.3647632440073929</v>
      </c>
      <c r="U2091">
        <v>0.2112191685109025</v>
      </c>
      <c r="V2091">
        <v>0.24611447499297387</v>
      </c>
      <c r="W2091">
        <v>9.7262653358824641E-2</v>
      </c>
      <c r="X2091">
        <v>1.6457522626839315E-2</v>
      </c>
      <c r="Y2091">
        <v>4.3523846698267799E-3</v>
      </c>
    </row>
    <row r="2092" spans="1:25">
      <c r="A2092" s="1010"/>
      <c r="B2092" s="1351">
        <v>1842</v>
      </c>
      <c r="C2092" s="1014">
        <v>0.97099477786287314</v>
      </c>
      <c r="D2092" s="1014">
        <v>1.0217541679596516</v>
      </c>
      <c r="E2092" s="1014">
        <v>1.0119109248129303</v>
      </c>
      <c r="F2092" s="1014">
        <v>0.99465187202136918</v>
      </c>
      <c r="G2092" s="1014">
        <v>0.96449037561684514</v>
      </c>
      <c r="H2092" s="1014">
        <v>1.004108797299369</v>
      </c>
      <c r="I2092" s="1014">
        <v>0.98714525966664957</v>
      </c>
      <c r="K2092">
        <v>2.4191359101856351</v>
      </c>
      <c r="L2092">
        <v>0</v>
      </c>
      <c r="M2092">
        <v>1.648523910640298E-3</v>
      </c>
      <c r="N2092">
        <v>0.15553316492077221</v>
      </c>
      <c r="O2092">
        <v>2.1518495662629936E-2</v>
      </c>
      <c r="P2092">
        <v>2.8700738245805654E-2</v>
      </c>
      <c r="Q2092">
        <v>5.6985536302272084E-3</v>
      </c>
      <c r="R2092">
        <v>1.6268528235739395E-3</v>
      </c>
      <c r="S2092">
        <v>0.26056299118663012</v>
      </c>
      <c r="T2092">
        <v>1.3645594403926193</v>
      </c>
      <c r="U2092">
        <v>0.21834735027530922</v>
      </c>
      <c r="V2092">
        <v>0.2412908644454963</v>
      </c>
      <c r="W2092">
        <v>0.10145731885724281</v>
      </c>
      <c r="X2092">
        <v>1.7060906562090358E-2</v>
      </c>
      <c r="Y2092">
        <v>4.4277570938791051E-3</v>
      </c>
    </row>
    <row r="2093" spans="1:25">
      <c r="A2093" s="1010"/>
      <c r="B2093" s="1351">
        <v>1843</v>
      </c>
      <c r="C2093" s="1014">
        <v>1.0007247291944354</v>
      </c>
      <c r="D2093" s="1014">
        <v>1.0218289883710647</v>
      </c>
      <c r="E2093" s="1014">
        <v>0.98891081231476008</v>
      </c>
      <c r="F2093" s="1014">
        <v>0.97972271746770501</v>
      </c>
      <c r="G2093" s="1014">
        <v>0.99248426848275062</v>
      </c>
      <c r="H2093" s="1014">
        <v>0.98776945432768448</v>
      </c>
      <c r="I2093" s="1014">
        <v>0.98309374022125284</v>
      </c>
      <c r="K2093">
        <v>2.3653236605688166</v>
      </c>
      <c r="L2093">
        <v>0</v>
      </c>
      <c r="M2093">
        <v>1.6503894719451214E-3</v>
      </c>
      <c r="N2093">
        <v>0.14522487700098857</v>
      </c>
      <c r="O2093">
        <v>2.0863696595702256E-2</v>
      </c>
      <c r="P2093">
        <v>2.7740574565655578E-2</v>
      </c>
      <c r="Q2093">
        <v>5.398904149512284E-3</v>
      </c>
      <c r="R2093">
        <v>1.6283349793235673E-3</v>
      </c>
      <c r="S2093">
        <v>0.25023369450381011</v>
      </c>
      <c r="T2093">
        <v>1.3435907840913621</v>
      </c>
      <c r="U2093">
        <v>0.21178202812659566</v>
      </c>
      <c r="V2093">
        <v>0.24424203261925179</v>
      </c>
      <c r="W2093">
        <v>9.6036511217901618E-2</v>
      </c>
      <c r="X2093">
        <v>1.580082115742085E-2</v>
      </c>
      <c r="Y2093">
        <v>4.4317910332370789E-3</v>
      </c>
    </row>
    <row r="2094" spans="1:25">
      <c r="A2094" s="1010"/>
      <c r="B2094" s="1351">
        <v>1844</v>
      </c>
      <c r="C2094" s="1014">
        <v>0.96733125051274071</v>
      </c>
      <c r="D2094" s="1014">
        <v>0.97094585908207998</v>
      </c>
      <c r="E2094" s="1014">
        <v>0.99783863520444371</v>
      </c>
      <c r="F2094" s="1014">
        <v>0.982616557941415</v>
      </c>
      <c r="G2094" s="1014">
        <v>0.98352856722699022</v>
      </c>
      <c r="H2094" s="1014">
        <v>0.98828885809585143</v>
      </c>
      <c r="I2094" s="1014">
        <v>0.99270910271131363</v>
      </c>
      <c r="K2094">
        <v>2.4111636004173223</v>
      </c>
      <c r="L2094">
        <v>0</v>
      </c>
      <c r="M2094">
        <v>1.6958993099692537E-3</v>
      </c>
      <c r="N2094">
        <v>0.15331251302176011</v>
      </c>
      <c r="O2094">
        <v>2.1834009550761868E-2</v>
      </c>
      <c r="P2094">
        <v>2.8338095182867701E-2</v>
      </c>
      <c r="Q2094">
        <v>5.7011120455325529E-3</v>
      </c>
      <c r="R2094">
        <v>1.6732485706107093E-3</v>
      </c>
      <c r="S2094">
        <v>0.26832093861557532</v>
      </c>
      <c r="T2094">
        <v>1.3477488754496745</v>
      </c>
      <c r="U2094">
        <v>0.21912452226964474</v>
      </c>
      <c r="V2094">
        <v>0.24483294689839627</v>
      </c>
      <c r="W2094">
        <v>0.1008454720742033</v>
      </c>
      <c r="X2094">
        <v>1.6573735025306863E-2</v>
      </c>
      <c r="Y2094">
        <v>4.5540310229592908E-3</v>
      </c>
    </row>
    <row r="2095" spans="1:25">
      <c r="A2095" s="1010"/>
      <c r="B2095" s="1351">
        <v>1845</v>
      </c>
      <c r="C2095" s="1014">
        <v>0.99097821029792443</v>
      </c>
      <c r="D2095" s="1014">
        <v>1.0028378642879685</v>
      </c>
      <c r="E2095" s="1014">
        <v>0.97936918434574061</v>
      </c>
      <c r="F2095" s="1014">
        <v>1.002891719639714</v>
      </c>
      <c r="G2095" s="1014">
        <v>0.98224601382070564</v>
      </c>
      <c r="H2095" s="1014">
        <v>1.0141133897797217</v>
      </c>
      <c r="I2095" s="1014">
        <v>1.0123901062154799</v>
      </c>
      <c r="K2095">
        <v>2.4217565247041453</v>
      </c>
      <c r="L2095">
        <v>0</v>
      </c>
      <c r="M2095">
        <v>1.7524056129649219E-3</v>
      </c>
      <c r="N2095">
        <v>0.14986763004039372</v>
      </c>
      <c r="O2095">
        <v>2.1149662874138137E-2</v>
      </c>
      <c r="P2095">
        <v>2.8174966160086624E-2</v>
      </c>
      <c r="Q2095">
        <v>5.4202043356993803E-3</v>
      </c>
      <c r="R2095">
        <v>1.729596187981453E-3</v>
      </c>
      <c r="S2095">
        <v>0.26488678730045989</v>
      </c>
      <c r="T2095">
        <v>1.3751584393766296</v>
      </c>
      <c r="U2095">
        <v>0.21383212847199815</v>
      </c>
      <c r="V2095">
        <v>0.24314003851698265</v>
      </c>
      <c r="W2095">
        <v>9.9677509801310377E-2</v>
      </c>
      <c r="X2095">
        <v>1.5764576588973914E-2</v>
      </c>
      <c r="Y2095">
        <v>4.707390662455381E-3</v>
      </c>
    </row>
    <row r="2096" spans="1:25">
      <c r="A2096" s="1010"/>
      <c r="B2096" s="1351">
        <v>1846</v>
      </c>
      <c r="C2096" s="1014">
        <v>0.99755006919498357</v>
      </c>
      <c r="D2096" s="1014">
        <v>0.9999946183545203</v>
      </c>
      <c r="E2096" s="1014">
        <v>0.98164982474388252</v>
      </c>
      <c r="F2096" s="1014">
        <v>1.0293008684614495</v>
      </c>
      <c r="G2096" s="1014">
        <v>1.0127005260667783</v>
      </c>
      <c r="H2096" s="1014">
        <v>1.0285893200851424</v>
      </c>
      <c r="I2096" s="1014">
        <v>0.99974262599290875</v>
      </c>
      <c r="K2096">
        <v>2.4611343301809239</v>
      </c>
      <c r="L2096">
        <v>0</v>
      </c>
      <c r="M2096">
        <v>1.758500758370987E-3</v>
      </c>
      <c r="N2096">
        <v>0.15145829817491097</v>
      </c>
      <c r="O2096">
        <v>2.102496927780095E-2</v>
      </c>
      <c r="P2096">
        <v>2.87113442467999E-2</v>
      </c>
      <c r="Q2096">
        <v>5.4007491499070718E-3</v>
      </c>
      <c r="R2096">
        <v>1.7359341252880037E-3</v>
      </c>
      <c r="S2096">
        <v>0.26147514141167671</v>
      </c>
      <c r="T2096">
        <v>1.4114210558698581</v>
      </c>
      <c r="U2096">
        <v>0.2124311930597314</v>
      </c>
      <c r="V2096">
        <v>0.24792069361538466</v>
      </c>
      <c r="W2096">
        <v>0.10059689717614519</v>
      </c>
      <c r="X2096">
        <v>1.5991914393288263E-2</v>
      </c>
      <c r="Y2096">
        <v>4.72464043850334E-3</v>
      </c>
    </row>
    <row r="2097" spans="1:25">
      <c r="A2097" s="1010"/>
      <c r="B2097" s="1351">
        <v>1847</v>
      </c>
      <c r="C2097" s="1014">
        <v>1.030005419178156</v>
      </c>
      <c r="D2097" s="1014">
        <v>0.99338017882692764</v>
      </c>
      <c r="E2097" s="1014">
        <v>0.99157400810932994</v>
      </c>
      <c r="F2097" s="1014">
        <v>1.0072797872319115</v>
      </c>
      <c r="G2097" s="1014">
        <v>0.99729083152469022</v>
      </c>
      <c r="H2097" s="1014">
        <v>1.0015027965965884</v>
      </c>
      <c r="I2097" s="1014">
        <v>0.97624520185321162</v>
      </c>
      <c r="K2097">
        <v>2.3902217979323859</v>
      </c>
      <c r="L2097">
        <v>0</v>
      </c>
      <c r="M2097">
        <v>1.6268983975501309E-3</v>
      </c>
      <c r="N2097">
        <v>0.14434193904844839</v>
      </c>
      <c r="O2097">
        <v>2.0398616543269823E-2</v>
      </c>
      <c r="P2097">
        <v>2.8157384949211283E-2</v>
      </c>
      <c r="Q2097">
        <v>5.2927816572739149E-3</v>
      </c>
      <c r="R2097">
        <v>1.6054559437296803E-3</v>
      </c>
      <c r="S2097">
        <v>0.24599507916944546</v>
      </c>
      <c r="T2097">
        <v>1.3814404271337339</v>
      </c>
      <c r="U2097">
        <v>0.20577037570169859</v>
      </c>
      <c r="V2097">
        <v>0.24328131751314119</v>
      </c>
      <c r="W2097">
        <v>9.5300492460578021E-2</v>
      </c>
      <c r="X2097">
        <v>1.5895304368984332E-2</v>
      </c>
      <c r="Y2097">
        <v>4.3695218404225756E-3</v>
      </c>
    </row>
    <row r="2098" spans="1:25">
      <c r="A2098" s="1010"/>
      <c r="B2098" s="1351">
        <v>1848</v>
      </c>
      <c r="C2098" s="1014">
        <v>1.0270387180072791</v>
      </c>
      <c r="D2098" s="1014">
        <v>0.97572326833572864</v>
      </c>
      <c r="E2098" s="1014">
        <v>0.98783261971675784</v>
      </c>
      <c r="F2098" s="1014">
        <v>1.0017862621984686</v>
      </c>
      <c r="G2098" s="1014">
        <v>0.98587155870859666</v>
      </c>
      <c r="H2098" s="1014">
        <v>1.0200895691081913</v>
      </c>
      <c r="I2098" s="1014">
        <v>1.0034226850598613</v>
      </c>
      <c r="K2098">
        <v>2.398532847230352</v>
      </c>
      <c r="L2098">
        <v>0</v>
      </c>
      <c r="M2098">
        <v>1.6814263615266374E-3</v>
      </c>
      <c r="N2098">
        <v>0.14753764617791787</v>
      </c>
      <c r="O2098">
        <v>2.0535989327636211E-2</v>
      </c>
      <c r="P2098">
        <v>2.8113465041592373E-2</v>
      </c>
      <c r="Q2098">
        <v>5.3083098695710816E-3</v>
      </c>
      <c r="R2098">
        <v>1.6596690232681748E-3</v>
      </c>
      <c r="S2098">
        <v>0.25739224912530878</v>
      </c>
      <c r="T2098">
        <v>1.373825402289728</v>
      </c>
      <c r="U2098">
        <v>0.20635233154281196</v>
      </c>
      <c r="V2098">
        <v>0.24151912338934278</v>
      </c>
      <c r="W2098">
        <v>9.7629054102414362E-2</v>
      </c>
      <c r="X2098">
        <v>1.582396173069316E-2</v>
      </c>
      <c r="Y2098">
        <v>4.5170719715894887E-3</v>
      </c>
    </row>
    <row r="2099" spans="1:25">
      <c r="A2099" s="1010"/>
      <c r="B2099" s="1351">
        <v>1849</v>
      </c>
      <c r="C2099" s="1014">
        <v>1.0256163138361676</v>
      </c>
      <c r="D2099" s="1014">
        <v>1.0161432031031625</v>
      </c>
      <c r="E2099" s="1014">
        <v>1.0180268707504478</v>
      </c>
      <c r="F2099" s="1014">
        <v>0.96558439635436322</v>
      </c>
      <c r="G2099" s="1014">
        <v>0.99362157353489056</v>
      </c>
      <c r="H2099" s="1014">
        <v>1.0089144027041328</v>
      </c>
      <c r="I2099" s="1014">
        <v>1.0209731218526858</v>
      </c>
      <c r="K2099">
        <v>2.3512370109138923</v>
      </c>
      <c r="L2099">
        <v>0</v>
      </c>
      <c r="M2099">
        <v>1.5502602765260878E-3</v>
      </c>
      <c r="N2099">
        <v>0.14899642046145062</v>
      </c>
      <c r="O2099">
        <v>2.0401127292106004E-2</v>
      </c>
      <c r="P2099">
        <v>2.8081970798143539E-2</v>
      </c>
      <c r="Q2099">
        <v>5.435691435002667E-3</v>
      </c>
      <c r="R2099">
        <v>1.5299780085949691E-3</v>
      </c>
      <c r="S2099">
        <v>0.25629561861586325</v>
      </c>
      <c r="T2099">
        <v>1.3248099750290852</v>
      </c>
      <c r="U2099">
        <v>0.20673919460683862</v>
      </c>
      <c r="V2099">
        <v>0.2428195912193731</v>
      </c>
      <c r="W2099">
        <v>9.6844747267883613E-2</v>
      </c>
      <c r="X2099">
        <v>1.6668860673796932E-2</v>
      </c>
      <c r="Y2099">
        <v>4.1640957822805229E-3</v>
      </c>
    </row>
    <row r="2100" spans="1:25">
      <c r="A2100" s="1010"/>
      <c r="B2100" s="1351">
        <v>1850</v>
      </c>
      <c r="C2100" s="1014">
        <v>1.0335488631881005</v>
      </c>
      <c r="D2100" s="1014">
        <v>0.97272457116075228</v>
      </c>
      <c r="E2100" s="1014">
        <v>1.0289866686804794</v>
      </c>
      <c r="F2100" s="1014">
        <v>0.98643009603245146</v>
      </c>
      <c r="G2100" s="1014">
        <v>1.0230376568162152</v>
      </c>
      <c r="H2100" s="1014">
        <v>1.0182442375890071</v>
      </c>
      <c r="I2100" s="1014">
        <v>1.0219623177646218</v>
      </c>
      <c r="K2100">
        <v>2.3939575737263818</v>
      </c>
      <c r="L2100">
        <v>0</v>
      </c>
      <c r="M2100">
        <v>1.5322151737478535E-3</v>
      </c>
      <c r="N2100">
        <v>0.15222965341622907</v>
      </c>
      <c r="O2100">
        <v>2.044708179827168E-2</v>
      </c>
      <c r="P2100">
        <v>2.8817528452868366E-2</v>
      </c>
      <c r="Q2100">
        <v>5.5075032341468056E-3</v>
      </c>
      <c r="R2100">
        <v>1.5123526688967655E-3</v>
      </c>
      <c r="S2100">
        <v>0.26108358905081108</v>
      </c>
      <c r="T2100">
        <v>1.3536457848027665</v>
      </c>
      <c r="U2100">
        <v>0.20518883548424643</v>
      </c>
      <c r="V2100">
        <v>0.24733357367068326</v>
      </c>
      <c r="W2100">
        <v>9.8315597801004406E-2</v>
      </c>
      <c r="X2100">
        <v>1.7292163102392295E-2</v>
      </c>
      <c r="Y2100">
        <v>4.1161254178136795E-3</v>
      </c>
    </row>
    <row r="2101" spans="1:25">
      <c r="A2101" s="1010"/>
      <c r="B2101" s="1351">
        <v>1851</v>
      </c>
      <c r="C2101" s="1014">
        <v>0.97812645178630342</v>
      </c>
      <c r="D2101" s="1014">
        <v>0.97524453758751228</v>
      </c>
      <c r="E2101" s="1014">
        <v>1.0294124760914605</v>
      </c>
      <c r="F2101" s="1014">
        <v>1.011342670737289</v>
      </c>
      <c r="G2101" s="1014">
        <v>0.98170211384169059</v>
      </c>
      <c r="H2101" s="1014">
        <v>1.0011789128856112</v>
      </c>
      <c r="I2101" s="1014">
        <v>0.99878994550204914</v>
      </c>
      <c r="K2101">
        <v>2.4554106377571214</v>
      </c>
      <c r="L2101">
        <v>0</v>
      </c>
      <c r="M2101">
        <v>1.5895822398080616E-3</v>
      </c>
      <c r="N2101">
        <v>0.15809668835302579</v>
      </c>
      <c r="O2101">
        <v>2.1593647723419148E-2</v>
      </c>
      <c r="P2101">
        <v>2.9508263372011529E-2</v>
      </c>
      <c r="Q2101">
        <v>5.8187855815383868E-3</v>
      </c>
      <c r="R2101">
        <v>1.5686248338314132E-3</v>
      </c>
      <c r="S2101">
        <v>0.26778312778582963</v>
      </c>
      <c r="T2101">
        <v>1.387841863812779</v>
      </c>
      <c r="U2101">
        <v>0.21681670012008541</v>
      </c>
      <c r="V2101">
        <v>0.24370109034837481</v>
      </c>
      <c r="W2101">
        <v>0.10207949811797942</v>
      </c>
      <c r="X2101">
        <v>1.7922650247402309E-2</v>
      </c>
      <c r="Y2101">
        <v>4.269279700651607E-3</v>
      </c>
    </row>
    <row r="2102" spans="1:25">
      <c r="A2102" s="1010"/>
      <c r="B2102" s="1351">
        <v>1852</v>
      </c>
      <c r="C2102" s="1014">
        <v>1.0281419217556387</v>
      </c>
      <c r="D2102" s="1014">
        <v>1.0214453939605441</v>
      </c>
      <c r="E2102" s="1014">
        <v>0.98898955647239728</v>
      </c>
      <c r="F2102" s="1014">
        <v>0.98636495620000575</v>
      </c>
      <c r="G2102" s="1014">
        <v>1.0218593770286066</v>
      </c>
      <c r="H2102" s="1014">
        <v>1.0089562526670108</v>
      </c>
      <c r="I2102" s="1014">
        <v>0.97099981326998053</v>
      </c>
      <c r="K2102">
        <v>2.3620303731427561</v>
      </c>
      <c r="L2102">
        <v>0</v>
      </c>
      <c r="M2102">
        <v>1.6407023958869441E-3</v>
      </c>
      <c r="N2102">
        <v>0.14444791899416512</v>
      </c>
      <c r="O2102">
        <v>2.0309057868274975E-2</v>
      </c>
      <c r="P2102">
        <v>2.7727132136142335E-2</v>
      </c>
      <c r="Q2102">
        <v>5.2557986889953485E-3</v>
      </c>
      <c r="R2102">
        <v>1.619237751654932E-3</v>
      </c>
      <c r="S2102">
        <v>0.24230378421239215</v>
      </c>
      <c r="T2102">
        <v>1.3527016199348507</v>
      </c>
      <c r="U2102">
        <v>0.20613475333900413</v>
      </c>
      <c r="V2102">
        <v>0.2475973860657999</v>
      </c>
      <c r="W2102">
        <v>9.5518202946002773E-2</v>
      </c>
      <c r="X2102">
        <v>1.5649152222936981E-2</v>
      </c>
      <c r="Y2102">
        <v>4.4070313784233504E-3</v>
      </c>
    </row>
    <row r="2103" spans="1:25">
      <c r="A2103" s="1010"/>
      <c r="B2103" s="1351">
        <v>1853</v>
      </c>
      <c r="C2103" s="1014">
        <v>0.98605911613596231</v>
      </c>
      <c r="D2103" s="1014">
        <v>1.0111345119209303</v>
      </c>
      <c r="E2103" s="1014">
        <v>1.0106978731839156</v>
      </c>
      <c r="F2103" s="1014">
        <v>1.0007828497908922</v>
      </c>
      <c r="G2103" s="1014">
        <v>1.0281025033398665</v>
      </c>
      <c r="H2103" s="1014">
        <v>1.0170174264415839</v>
      </c>
      <c r="I2103" s="1014">
        <v>0.98126776723177511</v>
      </c>
      <c r="K2103">
        <v>2.430426002897919</v>
      </c>
      <c r="L2103">
        <v>0</v>
      </c>
      <c r="M2103">
        <v>1.6521510631514981E-3</v>
      </c>
      <c r="N2103">
        <v>0.15533188578857912</v>
      </c>
      <c r="O2103">
        <v>2.1237696543094188E-2</v>
      </c>
      <c r="P2103">
        <v>2.8837715974054868E-2</v>
      </c>
      <c r="Q2103">
        <v>5.6173811370005778E-3</v>
      </c>
      <c r="R2103">
        <v>1.6307079628011542E-3</v>
      </c>
      <c r="S2103">
        <v>0.25746661443973978</v>
      </c>
      <c r="T2103">
        <v>1.3729441916891818</v>
      </c>
      <c r="U2103">
        <v>0.2150073760034559</v>
      </c>
      <c r="V2103">
        <v>0.25117293318002504</v>
      </c>
      <c r="W2103">
        <v>0.10139845125907045</v>
      </c>
      <c r="X2103">
        <v>1.6994950472057298E-2</v>
      </c>
      <c r="Y2103">
        <v>4.4382495120092787E-3</v>
      </c>
    </row>
    <row r="2104" spans="1:25">
      <c r="A2104" s="1010"/>
      <c r="B2104" s="1351">
        <v>1854</v>
      </c>
      <c r="C2104" s="1014">
        <v>1.0141943327377063</v>
      </c>
      <c r="D2104" s="1014">
        <v>0.98957141932779613</v>
      </c>
      <c r="E2104" s="1014">
        <v>1.0000843698879345</v>
      </c>
      <c r="F2104" s="1014">
        <v>1.0310324435445839</v>
      </c>
      <c r="G2104" s="1014">
        <v>1.040030708128411</v>
      </c>
      <c r="H2104" s="1014">
        <v>1.0082091869561156</v>
      </c>
      <c r="I2104" s="1014">
        <v>0.99579138743530193</v>
      </c>
      <c r="K2104">
        <v>2.4535830546408786</v>
      </c>
      <c r="L2104">
        <v>0</v>
      </c>
      <c r="M2104">
        <v>1.6356207792727411E-3</v>
      </c>
      <c r="N2104">
        <v>0.14890975477221957</v>
      </c>
      <c r="O2104">
        <v>2.0739720863567811E-2</v>
      </c>
      <c r="P2104">
        <v>2.9076500902505378E-2</v>
      </c>
      <c r="Q2104">
        <v>5.4276259812038466E-3</v>
      </c>
      <c r="R2104">
        <v>1.6142067600985284E-3</v>
      </c>
      <c r="S2104">
        <v>0.25595393533085409</v>
      </c>
      <c r="T2104">
        <v>1.4142057783642596</v>
      </c>
      <c r="U2104">
        <v>0.20900695901961386</v>
      </c>
      <c r="V2104">
        <v>0.25149364266625379</v>
      </c>
      <c r="W2104">
        <v>9.7818681070394875E-2</v>
      </c>
      <c r="X2104">
        <v>1.6578531011306106E-2</v>
      </c>
      <c r="Y2104">
        <v>4.3933386778727381E-3</v>
      </c>
    </row>
    <row r="2105" spans="1:25">
      <c r="A2105" s="1010"/>
      <c r="B2105" s="1351">
        <v>1855</v>
      </c>
      <c r="C2105" s="1014">
        <v>0.9981863367399878</v>
      </c>
      <c r="D2105" s="1014">
        <v>0.96667655071314751</v>
      </c>
      <c r="E2105" s="1014">
        <v>1.0019070621918136</v>
      </c>
      <c r="F2105" s="1014">
        <v>1.0097007710850119</v>
      </c>
      <c r="G2105" s="1014">
        <v>0.99453575341757283</v>
      </c>
      <c r="H2105" s="1014">
        <v>0.99212583379998143</v>
      </c>
      <c r="I2105" s="1014">
        <v>1.0098346002750402</v>
      </c>
      <c r="K2105">
        <v>2.4323256370040602</v>
      </c>
      <c r="L2105">
        <v>0</v>
      </c>
      <c r="M2105">
        <v>1.6375801031181174E-3</v>
      </c>
      <c r="N2105">
        <v>0.14987909066158497</v>
      </c>
      <c r="O2105">
        <v>2.1182343865998415E-2</v>
      </c>
      <c r="P2105">
        <v>2.8799915231639689E-2</v>
      </c>
      <c r="Q2105">
        <v>5.553621356812817E-3</v>
      </c>
      <c r="R2105">
        <v>1.6157928733735239E-3</v>
      </c>
      <c r="S2105">
        <v>0.26546983274085784</v>
      </c>
      <c r="T2105">
        <v>1.3849862061936553</v>
      </c>
      <c r="U2105">
        <v>0.2123650634128999</v>
      </c>
      <c r="V2105">
        <v>0.24470457535437093</v>
      </c>
      <c r="W2105">
        <v>9.8348920767995715E-2</v>
      </c>
      <c r="X2105">
        <v>1.6660199092642894E-2</v>
      </c>
      <c r="Y2105">
        <v>4.3976555553451773E-3</v>
      </c>
    </row>
    <row r="2106" spans="1:25">
      <c r="A2106" s="1010"/>
      <c r="B2106" s="1351">
        <v>1856</v>
      </c>
      <c r="C2106" s="1014">
        <v>1.0273697765244438</v>
      </c>
      <c r="D2106" s="1014">
        <v>1.0216791444449627</v>
      </c>
      <c r="E2106" s="1014">
        <v>1.0214427535986905</v>
      </c>
      <c r="F2106" s="1014">
        <v>0.9855337306347467</v>
      </c>
      <c r="G2106" s="1014">
        <v>1.0222232566441583</v>
      </c>
      <c r="H2106" s="1014">
        <v>0.9956207943143156</v>
      </c>
      <c r="I2106" s="1014">
        <v>1.0058672687040067</v>
      </c>
      <c r="K2106">
        <v>2.3742162239534825</v>
      </c>
      <c r="L2106">
        <v>0</v>
      </c>
      <c r="M2106">
        <v>1.514595765428694E-3</v>
      </c>
      <c r="N2106">
        <v>0.14705051813845926</v>
      </c>
      <c r="O2106">
        <v>2.034418115463283E-2</v>
      </c>
      <c r="P2106">
        <v>2.8511189979079081E-2</v>
      </c>
      <c r="Q2106">
        <v>5.4389600818990384E-3</v>
      </c>
      <c r="R2106">
        <v>1.4945155208582353E-3</v>
      </c>
      <c r="S2106">
        <v>0.25031660981944653</v>
      </c>
      <c r="T2106">
        <v>1.3522541376335466</v>
      </c>
      <c r="U2106">
        <v>0.20639774210701825</v>
      </c>
      <c r="V2106">
        <v>0.24758517932332999</v>
      </c>
      <c r="W2106">
        <v>9.5389085964585063E-2</v>
      </c>
      <c r="X2106">
        <v>1.6881121415189149E-2</v>
      </c>
      <c r="Y2106">
        <v>4.067578580867072E-3</v>
      </c>
    </row>
    <row r="2107" spans="1:25">
      <c r="A2107" s="1010"/>
      <c r="B2107" s="1351">
        <v>1857</v>
      </c>
      <c r="C2107" s="1014">
        <v>1.0083268773687781</v>
      </c>
      <c r="D2107" s="1014">
        <v>0.98217460592412065</v>
      </c>
      <c r="E2107" s="1014">
        <v>1.0137879739353275</v>
      </c>
      <c r="F2107" s="1014">
        <v>0.97390697174675311</v>
      </c>
      <c r="G2107" s="1014">
        <v>1.0401559536624259</v>
      </c>
      <c r="H2107" s="1014">
        <v>0.98275273592157253</v>
      </c>
      <c r="I2107" s="1014">
        <v>0.98156261632212294</v>
      </c>
      <c r="K2107">
        <v>2.3711594664874847</v>
      </c>
      <c r="L2107">
        <v>0</v>
      </c>
      <c r="M2107">
        <v>1.5611861355775448E-3</v>
      </c>
      <c r="N2107">
        <v>0.14808711014852663</v>
      </c>
      <c r="O2107">
        <v>2.0903931644249502E-2</v>
      </c>
      <c r="P2107">
        <v>2.8274190041412305E-2</v>
      </c>
      <c r="Q2107">
        <v>5.5461846819971836E-3</v>
      </c>
      <c r="R2107">
        <v>1.5402171875805659E-3</v>
      </c>
      <c r="S2107">
        <v>0.25271534838181914</v>
      </c>
      <c r="T2107">
        <v>1.3361392227682274</v>
      </c>
      <c r="U2107">
        <v>0.21026967597063045</v>
      </c>
      <c r="V2107">
        <v>0.25182153464679269</v>
      </c>
      <c r="W2107">
        <v>9.64934886601439E-2</v>
      </c>
      <c r="X2107">
        <v>1.6737785039548821E-2</v>
      </c>
      <c r="Y2107">
        <v>4.1919634521348711E-3</v>
      </c>
    </row>
    <row r="2108" spans="1:25">
      <c r="A2108" s="1010"/>
      <c r="B2108" s="1351">
        <v>1858</v>
      </c>
      <c r="C2108" s="1014">
        <v>1.0261218876734108</v>
      </c>
      <c r="D2108" s="1014">
        <v>1.0097297415171305</v>
      </c>
      <c r="E2108" s="1014">
        <v>0.98687403182734901</v>
      </c>
      <c r="F2108" s="1014">
        <v>1.0280618548908984</v>
      </c>
      <c r="G2108" s="1014">
        <v>1.0019315566597993</v>
      </c>
      <c r="H2108" s="1014">
        <v>1.016365832347415</v>
      </c>
      <c r="I2108" s="1014">
        <v>1.0034606431559803</v>
      </c>
      <c r="K2108">
        <v>2.4307009614695136</v>
      </c>
      <c r="L2108">
        <v>0</v>
      </c>
      <c r="M2108">
        <v>1.6675007751658535E-3</v>
      </c>
      <c r="N2108">
        <v>0.14588520610803418</v>
      </c>
      <c r="O2108">
        <v>2.0399385397199394E-2</v>
      </c>
      <c r="P2108">
        <v>2.8559891862088752E-2</v>
      </c>
      <c r="Q2108">
        <v>5.2678852926576437E-3</v>
      </c>
      <c r="R2108">
        <v>1.6458445775320938E-3</v>
      </c>
      <c r="S2108">
        <v>0.25294050820504754</v>
      </c>
      <c r="T2108">
        <v>1.4098378540394276</v>
      </c>
      <c r="U2108">
        <v>0.20653351859241925</v>
      </c>
      <c r="V2108">
        <v>0.24432043028097283</v>
      </c>
      <c r="W2108">
        <v>9.6591164509885211E-2</v>
      </c>
      <c r="X2108">
        <v>1.5907326991891523E-2</v>
      </c>
      <c r="Y2108">
        <v>4.4794463875231904E-3</v>
      </c>
    </row>
    <row r="2109" spans="1:25">
      <c r="A2109" s="1010"/>
      <c r="B2109" s="1351">
        <v>1859</v>
      </c>
      <c r="C2109" s="1014">
        <v>1.0120860110795384</v>
      </c>
      <c r="D2109" s="1014">
        <v>1.0040167117100063</v>
      </c>
      <c r="E2109" s="1014">
        <v>0.9898909169764748</v>
      </c>
      <c r="F2109" s="1014">
        <v>0.98268357776371085</v>
      </c>
      <c r="G2109" s="1014">
        <v>1.0394665973877275</v>
      </c>
      <c r="H2109" s="1014">
        <v>0.99547370807087221</v>
      </c>
      <c r="I2109" s="1014">
        <v>0.99259198178907049</v>
      </c>
      <c r="K2109">
        <v>2.3771013497663174</v>
      </c>
      <c r="L2109">
        <v>0</v>
      </c>
      <c r="M2109">
        <v>1.647618208425972E-3</v>
      </c>
      <c r="N2109">
        <v>0.14542654001517483</v>
      </c>
      <c r="O2109">
        <v>2.0710096028664176E-2</v>
      </c>
      <c r="P2109">
        <v>2.7916312284130818E-2</v>
      </c>
      <c r="Q2109">
        <v>5.3644703700935327E-3</v>
      </c>
      <c r="R2109">
        <v>1.6257711481398654E-3</v>
      </c>
      <c r="S2109">
        <v>0.2526725114927747</v>
      </c>
      <c r="T2109">
        <v>1.3476720909034345</v>
      </c>
      <c r="U2109">
        <v>0.20940795052288461</v>
      </c>
      <c r="V2109">
        <v>0.25156423694124475</v>
      </c>
      <c r="W2109">
        <v>9.6113394414353223E-2</v>
      </c>
      <c r="X2109">
        <v>1.5850780723928121E-2</v>
      </c>
      <c r="Y2109">
        <v>4.424813129921764E-3</v>
      </c>
    </row>
    <row r="2110" spans="1:25">
      <c r="A2110" s="1010"/>
      <c r="B2110" s="1351">
        <v>1860</v>
      </c>
      <c r="C2110" s="1014">
        <v>0.98124838113807578</v>
      </c>
      <c r="D2110" s="1014">
        <v>1.0140042314156237</v>
      </c>
      <c r="E2110" s="1014">
        <v>1.0012905455158403</v>
      </c>
      <c r="F2110" s="1014">
        <v>0.98875146027781669</v>
      </c>
      <c r="G2110" s="1014">
        <v>0.98725158399808022</v>
      </c>
      <c r="H2110" s="1014">
        <v>1.0149432984214997</v>
      </c>
      <c r="I2110" s="1014">
        <v>0.98824356419759563</v>
      </c>
      <c r="K2110">
        <v>2.4086867479518315</v>
      </c>
      <c r="L2110">
        <v>0</v>
      </c>
      <c r="M2110">
        <v>1.6884915322370126E-3</v>
      </c>
      <c r="N2110">
        <v>0.15429795865714008</v>
      </c>
      <c r="O2110">
        <v>2.1322166179283061E-2</v>
      </c>
      <c r="P2110">
        <v>2.8366393206069301E-2</v>
      </c>
      <c r="Q2110">
        <v>5.5868199819877106E-3</v>
      </c>
      <c r="R2110">
        <v>1.6665319878557392E-3</v>
      </c>
      <c r="S2110">
        <v>0.25994632457200556</v>
      </c>
      <c r="T2110">
        <v>1.3562372701621548</v>
      </c>
      <c r="U2110">
        <v>0.21602868432632263</v>
      </c>
      <c r="V2110">
        <v>0.24454188119652986</v>
      </c>
      <c r="W2110">
        <v>0.10128559054511288</v>
      </c>
      <c r="X2110">
        <v>1.6559867970786714E-2</v>
      </c>
      <c r="Y2110">
        <v>4.5357506988211744E-3</v>
      </c>
    </row>
    <row r="2111" spans="1:25">
      <c r="A2111" s="1010"/>
      <c r="B2111" s="1351">
        <v>1861</v>
      </c>
      <c r="C2111" s="1014">
        <v>0.97374851130470541</v>
      </c>
      <c r="D2111" s="1014">
        <v>1.0005256287137922</v>
      </c>
      <c r="E2111" s="1014">
        <v>0.96180900834249694</v>
      </c>
      <c r="F2111" s="1014">
        <v>1.0231431825227437</v>
      </c>
      <c r="G2111" s="1014">
        <v>0.99035496884632979</v>
      </c>
      <c r="H2111" s="1014">
        <v>1.0096673574573944</v>
      </c>
      <c r="I2111" s="1014">
        <v>1.0184176132542326</v>
      </c>
      <c r="K2111">
        <v>2.4621058821125965</v>
      </c>
      <c r="L2111">
        <v>0</v>
      </c>
      <c r="M2111">
        <v>1.8420861180796758E-3</v>
      </c>
      <c r="N2111">
        <v>0.14937137237782333</v>
      </c>
      <c r="O2111">
        <v>2.1522912792141843E-2</v>
      </c>
      <c r="P2111">
        <v>2.8325423295187144E-2</v>
      </c>
      <c r="Q2111">
        <v>5.4177769467529512E-3</v>
      </c>
      <c r="R2111">
        <v>1.8180038252792175E-3</v>
      </c>
      <c r="S2111">
        <v>0.27094627100952007</v>
      </c>
      <c r="T2111">
        <v>1.402540908982536</v>
      </c>
      <c r="U2111">
        <v>0.21755436866007549</v>
      </c>
      <c r="V2111">
        <v>0.24570285311141599</v>
      </c>
      <c r="W2111">
        <v>0.10041444662659603</v>
      </c>
      <c r="X2111">
        <v>1.5385623495738637E-2</v>
      </c>
      <c r="Y2111">
        <v>4.9480071076100935E-3</v>
      </c>
    </row>
    <row r="2112" spans="1:25">
      <c r="A2112" s="1010"/>
      <c r="B2112" s="1351">
        <v>1862</v>
      </c>
      <c r="C2112" s="1014">
        <v>1.0259853115429292</v>
      </c>
      <c r="D2112" s="1014">
        <v>0.99341749446248884</v>
      </c>
      <c r="E2112" s="1014">
        <v>0.98577767476040223</v>
      </c>
      <c r="F2112" s="1014">
        <v>0.98493491167427705</v>
      </c>
      <c r="G2112" s="1014">
        <v>0.97726851535460879</v>
      </c>
      <c r="H2112" s="1014">
        <v>1.0103848065609564</v>
      </c>
      <c r="I2112" s="1014">
        <v>1.0129200860722747</v>
      </c>
      <c r="K2112">
        <v>2.3695746567453129</v>
      </c>
      <c r="L2112">
        <v>0</v>
      </c>
      <c r="M2112">
        <v>1.6676399417826595E-3</v>
      </c>
      <c r="N2112">
        <v>0.14540310990896085</v>
      </c>
      <c r="O2112">
        <v>2.047462683173738E-2</v>
      </c>
      <c r="P2112">
        <v>2.7734984034126858E-2</v>
      </c>
      <c r="Q2112">
        <v>5.2814475514848325E-3</v>
      </c>
      <c r="R2112">
        <v>1.6458537310664097E-3</v>
      </c>
      <c r="S2112">
        <v>0.25693148966897766</v>
      </c>
      <c r="T2112">
        <v>1.3506722113680618</v>
      </c>
      <c r="U2112">
        <v>0.206557366998042</v>
      </c>
      <c r="V2112">
        <v>0.24011912191633497</v>
      </c>
      <c r="W2112">
        <v>9.6335401682797625E-2</v>
      </c>
      <c r="X2112">
        <v>1.5607211695076879E-2</v>
      </c>
      <c r="Y2112">
        <v>4.4794713004261359E-3</v>
      </c>
    </row>
    <row r="2113" spans="1:25">
      <c r="A2113" s="1010"/>
      <c r="B2113" s="1351">
        <v>1863</v>
      </c>
      <c r="C2113" s="1014">
        <v>1.0231565370450459</v>
      </c>
      <c r="D2113" s="1014">
        <v>0.96768969717926601</v>
      </c>
      <c r="E2113" s="1014">
        <v>1.0114368845073758</v>
      </c>
      <c r="F2113" s="1014">
        <v>0.99040686333075989</v>
      </c>
      <c r="G2113" s="1014">
        <v>0.98592587506107199</v>
      </c>
      <c r="H2113" s="1014">
        <v>0.99192119825050218</v>
      </c>
      <c r="I2113" s="1014">
        <v>0.96684107171953748</v>
      </c>
      <c r="K2113">
        <v>2.3744267220958863</v>
      </c>
      <c r="L2113">
        <v>0</v>
      </c>
      <c r="M2113">
        <v>1.565627853345271E-3</v>
      </c>
      <c r="N2113">
        <v>0.14747681722175798</v>
      </c>
      <c r="O2113">
        <v>2.0666858397135258E-2</v>
      </c>
      <c r="P2113">
        <v>2.8288044963908712E-2</v>
      </c>
      <c r="Q2113">
        <v>5.4704315479649109E-3</v>
      </c>
      <c r="R2113">
        <v>1.5447936170337815E-3</v>
      </c>
      <c r="S2113">
        <v>0.24789137482161835</v>
      </c>
      <c r="T2113">
        <v>1.3587255498740802</v>
      </c>
      <c r="U2113">
        <v>0.20721415140378965</v>
      </c>
      <c r="V2113">
        <v>0.24167530882030513</v>
      </c>
      <c r="W2113">
        <v>9.6228865708848796E-2</v>
      </c>
      <c r="X2113">
        <v>1.660573458830096E-2</v>
      </c>
      <c r="Y2113">
        <v>4.2044189844869604E-3</v>
      </c>
    </row>
    <row r="2114" spans="1:25">
      <c r="A2114" s="1010"/>
      <c r="B2114" s="1351">
        <v>1864</v>
      </c>
      <c r="C2114" s="1014">
        <v>1.0230596067079571</v>
      </c>
      <c r="D2114" s="1014">
        <v>0.99810370646089286</v>
      </c>
      <c r="E2114" s="1014">
        <v>1.0155042307884719</v>
      </c>
      <c r="F2114" s="1014">
        <v>1.0337388885262258</v>
      </c>
      <c r="G2114" s="1014">
        <v>1.0021367891957844</v>
      </c>
      <c r="H2114" s="1014">
        <v>0.97718747932142114</v>
      </c>
      <c r="I2114" s="1014">
        <v>0.97180509358965927</v>
      </c>
      <c r="K2114">
        <v>2.429435854479721</v>
      </c>
      <c r="L2114">
        <v>0</v>
      </c>
      <c r="M2114">
        <v>1.5191547037759891E-3</v>
      </c>
      <c r="N2114">
        <v>0.14483728533237591</v>
      </c>
      <c r="O2114">
        <v>2.053122508253161E-2</v>
      </c>
      <c r="P2114">
        <v>2.9181919979029847E-2</v>
      </c>
      <c r="Q2114">
        <v>5.4566286532581679E-3</v>
      </c>
      <c r="R2114">
        <v>1.4986340909037691E-3</v>
      </c>
      <c r="S2114">
        <v>0.24417303366317858</v>
      </c>
      <c r="T2114">
        <v>1.4182633396410407</v>
      </c>
      <c r="U2114">
        <v>0.20724740197524014</v>
      </c>
      <c r="V2114">
        <v>0.24443405523987172</v>
      </c>
      <c r="W2114">
        <v>9.4280789396792436E-2</v>
      </c>
      <c r="X2114">
        <v>1.6971908158430318E-2</v>
      </c>
      <c r="Y2114">
        <v>4.0787879708447643E-3</v>
      </c>
    </row>
    <row r="2115" spans="1:25">
      <c r="A2115" s="1010"/>
      <c r="B2115" s="1351">
        <v>1865</v>
      </c>
      <c r="C2115" s="1014">
        <v>1.0186384088326699</v>
      </c>
      <c r="D2115" s="1014">
        <v>1.0080433459169824</v>
      </c>
      <c r="E2115" s="1014">
        <v>0.99185248978297924</v>
      </c>
      <c r="F2115" s="1014">
        <v>0.99623931860626769</v>
      </c>
      <c r="G2115" s="1014">
        <v>1.0074832001625817</v>
      </c>
      <c r="H2115" s="1014">
        <v>1.0270722206275009</v>
      </c>
      <c r="I2115" s="1014">
        <v>1.0101737914601361</v>
      </c>
      <c r="K2115">
        <v>2.4001138577795542</v>
      </c>
      <c r="L2115">
        <v>0</v>
      </c>
      <c r="M2115">
        <v>1.6806533427308325E-3</v>
      </c>
      <c r="N2115">
        <v>0.14928640002760737</v>
      </c>
      <c r="O2115">
        <v>2.0560041133496264E-2</v>
      </c>
      <c r="P2115">
        <v>2.8180122301249035E-2</v>
      </c>
      <c r="Q2115">
        <v>5.3361665050976068E-3</v>
      </c>
      <c r="R2115">
        <v>1.6590538585888404E-3</v>
      </c>
      <c r="S2115">
        <v>0.25765875391689119</v>
      </c>
      <c r="T2115">
        <v>1.3663048948179128</v>
      </c>
      <c r="U2115">
        <v>0.20806750551300324</v>
      </c>
      <c r="V2115">
        <v>0.24569714959644107</v>
      </c>
      <c r="W2115">
        <v>9.8548609502999526E-2</v>
      </c>
      <c r="X2115">
        <v>1.5980416252878278E-2</v>
      </c>
      <c r="Y2115">
        <v>4.5153976961213246E-3</v>
      </c>
    </row>
    <row r="2116" spans="1:25">
      <c r="A2116" s="1010"/>
      <c r="B2116" s="1351">
        <v>1866</v>
      </c>
      <c r="C2116" s="1014">
        <v>1.0279365751755933</v>
      </c>
      <c r="D2116" s="1014">
        <v>0.9627095282741216</v>
      </c>
      <c r="E2116" s="1014">
        <v>0.9959743283789847</v>
      </c>
      <c r="F2116" s="1014">
        <v>1.0079529397705478</v>
      </c>
      <c r="G2116" s="1014">
        <v>1.0206941983525168</v>
      </c>
      <c r="H2116" s="1014">
        <v>1.0127189029237487</v>
      </c>
      <c r="I2116" s="1014">
        <v>0.9823526434509311</v>
      </c>
      <c r="K2116">
        <v>2.4092257939936927</v>
      </c>
      <c r="L2116">
        <v>0</v>
      </c>
      <c r="M2116">
        <v>1.6447753729190457E-3</v>
      </c>
      <c r="N2116">
        <v>0.14790376322257254</v>
      </c>
      <c r="O2116">
        <v>2.0584045961710679E-2</v>
      </c>
      <c r="P2116">
        <v>2.8420322637511604E-2</v>
      </c>
      <c r="Q2116">
        <v>5.3646522671633081E-3</v>
      </c>
      <c r="R2116">
        <v>1.6233373911765199E-3</v>
      </c>
      <c r="S2116">
        <v>0.25293443620805806</v>
      </c>
      <c r="T2116">
        <v>1.3824594336009171</v>
      </c>
      <c r="U2116">
        <v>0.20619913108281215</v>
      </c>
      <c r="V2116">
        <v>0.24738435616727578</v>
      </c>
      <c r="W2116">
        <v>9.7395842494936394E-2</v>
      </c>
      <c r="X2116">
        <v>1.6183059086719423E-2</v>
      </c>
      <c r="Y2116">
        <v>4.418189245755307E-3</v>
      </c>
    </row>
    <row r="2117" spans="1:25">
      <c r="A2117" s="1010"/>
      <c r="B2117" s="1351">
        <v>1867</v>
      </c>
      <c r="C2117" s="1014">
        <v>1.0001776807200629</v>
      </c>
      <c r="D2117" s="1014">
        <v>1.0038425499808576</v>
      </c>
      <c r="E2117" s="1014">
        <v>1.0426973759709535</v>
      </c>
      <c r="F2117" s="1014">
        <v>1.0057827990552171</v>
      </c>
      <c r="G2117" s="1014">
        <v>1.0010949264948077</v>
      </c>
      <c r="H2117" s="1014">
        <v>1.0025181501929536</v>
      </c>
      <c r="I2117" s="1014">
        <v>1.0154891717706125</v>
      </c>
      <c r="K2117">
        <v>2.4348084288492169</v>
      </c>
      <c r="L2117">
        <v>0</v>
      </c>
      <c r="M2117">
        <v>1.504480942748585E-3</v>
      </c>
      <c r="N2117">
        <v>0.15574684403232517</v>
      </c>
      <c r="O2117">
        <v>2.099257143455532E-2</v>
      </c>
      <c r="P2117">
        <v>2.9576454541554414E-2</v>
      </c>
      <c r="Q2117">
        <v>5.7313564737651252E-3</v>
      </c>
      <c r="R2117">
        <v>1.4846720288080224E-3</v>
      </c>
      <c r="S2117">
        <v>0.26264849061560763</v>
      </c>
      <c r="T2117">
        <v>1.3805031836466559</v>
      </c>
      <c r="U2117">
        <v>0.21208212232598997</v>
      </c>
      <c r="V2117">
        <v>0.24555718108822819</v>
      </c>
      <c r="W2117">
        <v>9.9793387461207375E-2</v>
      </c>
      <c r="X2117">
        <v>1.8155858302853992E-2</v>
      </c>
      <c r="Y2117">
        <v>4.040787840412674E-3</v>
      </c>
    </row>
    <row r="2118" spans="1:25">
      <c r="A2118" s="1010"/>
      <c r="B2118" s="1351">
        <v>1868</v>
      </c>
      <c r="C2118" s="1014">
        <v>0.98972704058083605</v>
      </c>
      <c r="D2118" s="1014">
        <v>1.0048055979236217</v>
      </c>
      <c r="E2118" s="1014">
        <v>0.98960679284629371</v>
      </c>
      <c r="F2118" s="1014">
        <v>0.9589067424548654</v>
      </c>
      <c r="G2118" s="1014">
        <v>1.0009063362825634</v>
      </c>
      <c r="H2118" s="1014">
        <v>1.0102494441372687</v>
      </c>
      <c r="I2118" s="1014">
        <v>1.040791648435589</v>
      </c>
      <c r="K2118">
        <v>2.3732046318770368</v>
      </c>
      <c r="L2118">
        <v>0</v>
      </c>
      <c r="M2118">
        <v>1.710558369722844E-3</v>
      </c>
      <c r="N2118">
        <v>0.15088193880934195</v>
      </c>
      <c r="O2118">
        <v>2.1174109694120237E-2</v>
      </c>
      <c r="P2118">
        <v>2.7726124485016164E-2</v>
      </c>
      <c r="Q2118">
        <v>5.4830872610929591E-3</v>
      </c>
      <c r="R2118">
        <v>1.6882084742400431E-3</v>
      </c>
      <c r="S2118">
        <v>0.27213843258971132</v>
      </c>
      <c r="T2118">
        <v>1.3150581788219065</v>
      </c>
      <c r="U2118">
        <v>0.2141377157749447</v>
      </c>
      <c r="V2118">
        <v>0.2463708938704447</v>
      </c>
      <c r="W2118">
        <v>9.9735882506737067E-2</v>
      </c>
      <c r="X2118">
        <v>1.5925871010096029E-2</v>
      </c>
      <c r="Y2118">
        <v>4.5947469491074309E-3</v>
      </c>
    </row>
    <row r="2119" spans="1:25">
      <c r="A2119" s="1010"/>
      <c r="B2119" s="1351">
        <v>1869</v>
      </c>
      <c r="C2119" s="1014">
        <v>1.0264036228240998</v>
      </c>
      <c r="D2119" s="1014">
        <v>0.99316378781867765</v>
      </c>
      <c r="E2119" s="1014">
        <v>0.97604765677655259</v>
      </c>
      <c r="F2119" s="1014">
        <v>0.99708098420535751</v>
      </c>
      <c r="G2119" s="1014">
        <v>0.974281584489613</v>
      </c>
      <c r="H2119" s="1014">
        <v>1.0012316082177999</v>
      </c>
      <c r="I2119" s="1014">
        <v>0.98098567694796557</v>
      </c>
      <c r="K2119">
        <v>2.3719818531737267</v>
      </c>
      <c r="L2119">
        <v>0</v>
      </c>
      <c r="M2119">
        <v>1.6855300366182663E-3</v>
      </c>
      <c r="N2119">
        <v>0.14268249396116517</v>
      </c>
      <c r="O2119">
        <v>2.0461150792431361E-2</v>
      </c>
      <c r="P2119">
        <v>2.7622751508909655E-2</v>
      </c>
      <c r="Q2119">
        <v>5.2260579256524185E-3</v>
      </c>
      <c r="R2119">
        <v>1.6633088031138249E-3</v>
      </c>
      <c r="S2119">
        <v>0.24794051937234021</v>
      </c>
      <c r="T2119">
        <v>1.3671194985910231</v>
      </c>
      <c r="U2119">
        <v>0.20644087988601831</v>
      </c>
      <c r="V2119">
        <v>0.23961864934994237</v>
      </c>
      <c r="W2119">
        <v>9.5089517579117419E-2</v>
      </c>
      <c r="X2119">
        <v>1.5275577188151345E-2</v>
      </c>
      <c r="Y2119">
        <v>4.5269782524762483E-3</v>
      </c>
    </row>
    <row r="2120" spans="1:25">
      <c r="A2120" s="1010"/>
      <c r="B2120" s="1351">
        <v>1870</v>
      </c>
      <c r="C2120" s="1014">
        <v>0.99460967618489871</v>
      </c>
      <c r="D2120" s="1014">
        <v>1.0219235085282063</v>
      </c>
      <c r="E2120" s="1014">
        <v>0.97783128210213277</v>
      </c>
      <c r="F2120" s="1014">
        <v>0.97485378531888423</v>
      </c>
      <c r="G2120" s="1014">
        <v>1.0254698730824692</v>
      </c>
      <c r="H2120" s="1014">
        <v>0.98675275018144193</v>
      </c>
      <c r="I2120" s="1014">
        <v>1.0111642634934774</v>
      </c>
      <c r="K2120">
        <v>2.3733584170627773</v>
      </c>
      <c r="L2120">
        <v>0</v>
      </c>
      <c r="M2120">
        <v>1.697256078336439E-3</v>
      </c>
      <c r="N2120">
        <v>0.1444244378961011</v>
      </c>
      <c r="O2120">
        <v>2.0984205156109489E-2</v>
      </c>
      <c r="P2120">
        <v>2.7629118906148546E-2</v>
      </c>
      <c r="Q2120">
        <v>5.3693949497858511E-3</v>
      </c>
      <c r="R2120">
        <v>1.6745519284306453E-3</v>
      </c>
      <c r="S2120">
        <v>0.25877116775696246</v>
      </c>
      <c r="T2120">
        <v>1.3366807283243316</v>
      </c>
      <c r="U2120">
        <v>0.21304612880117096</v>
      </c>
      <c r="V2120">
        <v>0.25030173643681258</v>
      </c>
      <c r="W2120">
        <v>9.6146564113827743E-2</v>
      </c>
      <c r="X2120">
        <v>1.5470060538138292E-2</v>
      </c>
      <c r="Y2120">
        <v>4.5575783332933665E-3</v>
      </c>
    </row>
    <row r="2121" spans="1:25">
      <c r="A2121" s="1010"/>
      <c r="B2121" s="1351">
        <v>1871</v>
      </c>
      <c r="C2121" s="1014">
        <v>1.0034770722953255</v>
      </c>
      <c r="D2121" s="1014">
        <v>1.0084649034290545</v>
      </c>
      <c r="E2121" s="1014">
        <v>1.0231762214304956</v>
      </c>
      <c r="F2121" s="1014">
        <v>1.0294454904811581</v>
      </c>
      <c r="G2121" s="1014">
        <v>1.0249295022755001</v>
      </c>
      <c r="H2121" s="1014">
        <v>1.0010324223366978</v>
      </c>
      <c r="I2121" s="1014">
        <v>0.98913677378105846</v>
      </c>
      <c r="K2121">
        <v>2.4557399617762492</v>
      </c>
      <c r="L2121">
        <v>0</v>
      </c>
      <c r="M2121">
        <v>1.5579271152726738E-3</v>
      </c>
      <c r="N2121">
        <v>0.15206149583443959</v>
      </c>
      <c r="O2121">
        <v>2.088946133312776E-2</v>
      </c>
      <c r="P2121">
        <v>2.9531802645491913E-2</v>
      </c>
      <c r="Q2121">
        <v>5.5943595445855625E-3</v>
      </c>
      <c r="R2121">
        <v>1.5373840516809999E-3</v>
      </c>
      <c r="S2121">
        <v>0.2541246016678762</v>
      </c>
      <c r="T2121">
        <v>1.4125443754606861</v>
      </c>
      <c r="U2121">
        <v>0.21131797981592951</v>
      </c>
      <c r="V2121">
        <v>0.24948728940793274</v>
      </c>
      <c r="W2121">
        <v>9.8539813661766756E-2</v>
      </c>
      <c r="X2121">
        <v>1.7485072877842719E-2</v>
      </c>
      <c r="Y2121">
        <v>4.1842525901592507E-3</v>
      </c>
    </row>
    <row r="2122" spans="1:25">
      <c r="A2122" s="1010"/>
      <c r="B2122" s="1351">
        <v>1872</v>
      </c>
      <c r="C2122" s="1014">
        <v>0.97850474628331074</v>
      </c>
      <c r="D2122" s="1014">
        <v>0.97267789477173172</v>
      </c>
      <c r="E2122" s="1014">
        <v>0.99947249180039988</v>
      </c>
      <c r="F2122" s="1014">
        <v>0.96564365482491366</v>
      </c>
      <c r="G2122" s="1014">
        <v>1.0213003563653285</v>
      </c>
      <c r="H2122" s="1014">
        <v>0.96571698209609647</v>
      </c>
      <c r="I2122" s="1014">
        <v>1.0307842791127826</v>
      </c>
      <c r="K2122">
        <v>2.3866694728370419</v>
      </c>
      <c r="L2122">
        <v>0</v>
      </c>
      <c r="M2122">
        <v>1.6320612709757739E-3</v>
      </c>
      <c r="N2122">
        <v>0.14822469139213834</v>
      </c>
      <c r="O2122">
        <v>2.1577341117636931E-2</v>
      </c>
      <c r="P2122">
        <v>2.8165395539542237E-2</v>
      </c>
      <c r="Q2122">
        <v>5.6433604326192096E-3</v>
      </c>
      <c r="R2122">
        <v>1.6097536730092933E-3</v>
      </c>
      <c r="S2122">
        <v>0.2731620387640023</v>
      </c>
      <c r="T2122">
        <v>1.3245030938251972</v>
      </c>
      <c r="U2122">
        <v>0.2166280569161517</v>
      </c>
      <c r="V2122">
        <v>0.25054116757065403</v>
      </c>
      <c r="W2122">
        <v>9.7404085954750197E-2</v>
      </c>
      <c r="X2122">
        <v>1.6461330079541602E-2</v>
      </c>
      <c r="Y2122">
        <v>4.3812188427756063E-3</v>
      </c>
    </row>
    <row r="2123" spans="1:25">
      <c r="A2123" s="1010"/>
      <c r="B2123" s="1351">
        <v>1873</v>
      </c>
      <c r="C2123" s="1014">
        <v>0.99500836046431518</v>
      </c>
      <c r="D2123" s="1014">
        <v>0.98017891377276711</v>
      </c>
      <c r="E2123" s="1014">
        <v>1.0184829379972993</v>
      </c>
      <c r="F2123" s="1014">
        <v>1.0364951760080301</v>
      </c>
      <c r="G2123" s="1014">
        <v>0.99023688249023167</v>
      </c>
      <c r="H2123" s="1014">
        <v>0.99338947840335279</v>
      </c>
      <c r="I2123" s="1014">
        <v>1.018849382599198</v>
      </c>
      <c r="K2123">
        <v>2.4761741137552309</v>
      </c>
      <c r="L2123">
        <v>0</v>
      </c>
      <c r="M2123">
        <v>1.5843785117733683E-3</v>
      </c>
      <c r="N2123">
        <v>0.15245363287447392</v>
      </c>
      <c r="O2123">
        <v>2.1196372217607614E-2</v>
      </c>
      <c r="P2123">
        <v>2.9692372782088691E-2</v>
      </c>
      <c r="Q2123">
        <v>5.65014071551971E-3</v>
      </c>
      <c r="R2123">
        <v>1.5633259182065158E-3</v>
      </c>
      <c r="S2123">
        <v>0.26707028829061591</v>
      </c>
      <c r="T2123">
        <v>1.4221118951734875</v>
      </c>
      <c r="U2123">
        <v>0.21310037425153228</v>
      </c>
      <c r="V2123">
        <v>0.24411222737876534</v>
      </c>
      <c r="W2123">
        <v>9.9065394625610675E-2</v>
      </c>
      <c r="X2123">
        <v>1.7487610239987909E-2</v>
      </c>
      <c r="Y2123">
        <v>4.2548577991077035E-3</v>
      </c>
    </row>
    <row r="2124" spans="1:25">
      <c r="A2124" s="1010"/>
      <c r="B2124" s="1351">
        <v>1874</v>
      </c>
      <c r="C2124" s="1014">
        <v>1.0051100566857569</v>
      </c>
      <c r="D2124" s="1014">
        <v>0.97844516904454804</v>
      </c>
      <c r="E2124" s="1014">
        <v>0.98623798486314673</v>
      </c>
      <c r="F2124" s="1014">
        <v>0.98813453071689661</v>
      </c>
      <c r="G2124" s="1014">
        <v>0.98738060997527655</v>
      </c>
      <c r="H2124" s="1014">
        <v>1.0258723888952188</v>
      </c>
      <c r="I2124" s="1014">
        <v>1.0110659026048088</v>
      </c>
      <c r="K2124">
        <v>2.4005642274476706</v>
      </c>
      <c r="L2124">
        <v>0</v>
      </c>
      <c r="M2124">
        <v>1.7325012209231374E-3</v>
      </c>
      <c r="N2124">
        <v>0.15129909478723907</v>
      </c>
      <c r="O2124">
        <v>2.097011437750573E-2</v>
      </c>
      <c r="P2124">
        <v>2.8013006005655053E-2</v>
      </c>
      <c r="Q2124">
        <v>5.4117819039785214E-3</v>
      </c>
      <c r="R2124">
        <v>1.7102093547733794E-3</v>
      </c>
      <c r="S2124">
        <v>0.26512457375400739</v>
      </c>
      <c r="T2124">
        <v>1.3550697589612388</v>
      </c>
      <c r="U2124">
        <v>0.2108489444091404</v>
      </c>
      <c r="V2124">
        <v>0.24310777438645842</v>
      </c>
      <c r="W2124">
        <v>0.10021400286086134</v>
      </c>
      <c r="X2124">
        <v>1.5872841774404251E-2</v>
      </c>
      <c r="Y2124">
        <v>4.6546260933308546E-3</v>
      </c>
    </row>
    <row r="2125" spans="1:25">
      <c r="A2125" s="1010"/>
      <c r="B2125" s="1351">
        <v>1875</v>
      </c>
      <c r="C2125" s="1014">
        <v>0.96818689541097613</v>
      </c>
      <c r="D2125" s="1014">
        <v>1.0100263466561803</v>
      </c>
      <c r="E2125" s="1014">
        <v>0.98008471683429621</v>
      </c>
      <c r="F2125" s="1014">
        <v>0.99743912017665892</v>
      </c>
      <c r="G2125" s="1014">
        <v>1.0202093264063121</v>
      </c>
      <c r="H2125" s="1014">
        <v>0.9971118328867612</v>
      </c>
      <c r="I2125" s="1014">
        <v>1.0375565342599744</v>
      </c>
      <c r="K2125">
        <v>2.4400720247887477</v>
      </c>
      <c r="L2125">
        <v>0</v>
      </c>
      <c r="M2125">
        <v>1.7582147475306272E-3</v>
      </c>
      <c r="N2125">
        <v>0.15065644101988462</v>
      </c>
      <c r="O2125">
        <v>2.1614028550020977E-2</v>
      </c>
      <c r="P2125">
        <v>2.8405201207220947E-2</v>
      </c>
      <c r="Q2125">
        <v>5.5432418410163381E-3</v>
      </c>
      <c r="R2125">
        <v>1.7349395022292035E-3</v>
      </c>
      <c r="S2125">
        <v>0.27533473365304723</v>
      </c>
      <c r="T2125">
        <v>1.367697242906295</v>
      </c>
      <c r="U2125">
        <v>0.21886829791602419</v>
      </c>
      <c r="V2125">
        <v>0.2511058312299656</v>
      </c>
      <c r="W2125">
        <v>0.10015885799341424</v>
      </c>
      <c r="X2125">
        <v>1.5989490314742821E-2</v>
      </c>
      <c r="Y2125">
        <v>4.7219334024146903E-3</v>
      </c>
    </row>
    <row r="2126" spans="1:25">
      <c r="A2126" s="1010"/>
      <c r="B2126" s="1351">
        <v>1876</v>
      </c>
      <c r="C2126" s="1014">
        <v>1.0005118205299703</v>
      </c>
      <c r="D2126" s="1014">
        <v>1.0124211118837843</v>
      </c>
      <c r="E2126" s="1014">
        <v>1.0083849334594832</v>
      </c>
      <c r="F2126" s="1014">
        <v>0.99022206406789937</v>
      </c>
      <c r="G2126" s="1014">
        <v>1.021124792175196</v>
      </c>
      <c r="H2126" s="1014">
        <v>1.016908479819242</v>
      </c>
      <c r="I2126" s="1014">
        <v>0.95627850778544787</v>
      </c>
      <c r="K2126">
        <v>2.3948385633142908</v>
      </c>
      <c r="L2126">
        <v>0</v>
      </c>
      <c r="M2126">
        <v>1.6354947754067429E-3</v>
      </c>
      <c r="N2126">
        <v>0.15269567408457654</v>
      </c>
      <c r="O2126">
        <v>2.09235242963027E-2</v>
      </c>
      <c r="P2126">
        <v>2.8374963334664768E-2</v>
      </c>
      <c r="Q2126">
        <v>5.521498133872935E-3</v>
      </c>
      <c r="R2126">
        <v>1.6142655811694799E-3</v>
      </c>
      <c r="S2126">
        <v>0.24710201838310739</v>
      </c>
      <c r="T2126">
        <v>1.3584065343094491</v>
      </c>
      <c r="U2126">
        <v>0.21189361379860994</v>
      </c>
      <c r="V2126">
        <v>0.24907593905018244</v>
      </c>
      <c r="W2126">
        <v>9.9813660408064803E-2</v>
      </c>
      <c r="X2126">
        <v>1.6658867940262174E-2</v>
      </c>
      <c r="Y2126">
        <v>4.3934987694375077E-3</v>
      </c>
    </row>
    <row r="2127" spans="1:25">
      <c r="A2127" s="1010"/>
      <c r="B2127" s="1351">
        <v>1877</v>
      </c>
      <c r="C2127" s="1014">
        <v>1.0145838807052661</v>
      </c>
      <c r="D2127" s="1014">
        <v>0.98427434113409407</v>
      </c>
      <c r="E2127" s="1014">
        <v>1.0072274711630287</v>
      </c>
      <c r="F2127" s="1014">
        <v>1.0072211416910537</v>
      </c>
      <c r="G2127" s="1014">
        <v>0.95908325110543591</v>
      </c>
      <c r="H2127" s="1014">
        <v>0.98482880604350176</v>
      </c>
      <c r="I2127" s="1014">
        <v>1.0136624135444523</v>
      </c>
      <c r="K2127">
        <v>2.4055417752218164</v>
      </c>
      <c r="L2127">
        <v>0</v>
      </c>
      <c r="M2127">
        <v>1.5754338620087287E-3</v>
      </c>
      <c r="N2127">
        <v>0.14651221469299458</v>
      </c>
      <c r="O2127">
        <v>2.0760944003870054E-2</v>
      </c>
      <c r="P2127">
        <v>2.8638994446109848E-2</v>
      </c>
      <c r="Q2127">
        <v>5.4722519189903066E-3</v>
      </c>
      <c r="R2127">
        <v>1.5543181538422652E-3</v>
      </c>
      <c r="S2127">
        <v>0.25921429547677255</v>
      </c>
      <c r="T2127">
        <v>1.3817009567521823</v>
      </c>
      <c r="U2127">
        <v>0.20895079062864472</v>
      </c>
      <c r="V2127">
        <v>0.23762236254572086</v>
      </c>
      <c r="W2127">
        <v>9.5837177145496569E-2</v>
      </c>
      <c r="X2127">
        <v>1.6622561685283477E-2</v>
      </c>
      <c r="Y2127">
        <v>4.2303416339169375E-3</v>
      </c>
    </row>
    <row r="2128" spans="1:25">
      <c r="A2128" s="1010"/>
      <c r="B2128" s="1351">
        <v>1878</v>
      </c>
      <c r="C2128" s="1014">
        <v>0.9634358592575919</v>
      </c>
      <c r="D2128" s="1014">
        <v>1.0131960341158108</v>
      </c>
      <c r="E2128" s="1014">
        <v>1.0210752543412949</v>
      </c>
      <c r="F2128" s="1014">
        <v>0.99197623654256695</v>
      </c>
      <c r="G2128" s="1014">
        <v>0.99037548423139932</v>
      </c>
      <c r="H2128" s="1014">
        <v>0.99293201646505957</v>
      </c>
      <c r="I2128" s="1014">
        <v>1.0243781949048885</v>
      </c>
      <c r="K2128">
        <v>2.4368298776777197</v>
      </c>
      <c r="L2128">
        <v>0</v>
      </c>
      <c r="M2128">
        <v>1.6149349959322179E-3</v>
      </c>
      <c r="N2128">
        <v>0.15661293275606272</v>
      </c>
      <c r="O2128">
        <v>2.173380483171327E-2</v>
      </c>
      <c r="P2128">
        <v>2.9107015795103788E-2</v>
      </c>
      <c r="Q2128">
        <v>5.8083511136400468E-3</v>
      </c>
      <c r="R2128">
        <v>1.5934664935405931E-3</v>
      </c>
      <c r="S2128">
        <v>0.27272746329334713</v>
      </c>
      <c r="T2128">
        <v>1.3610860040688151</v>
      </c>
      <c r="U2128">
        <v>0.22009305536645396</v>
      </c>
      <c r="V2128">
        <v>0.24618256422092746</v>
      </c>
      <c r="W2128">
        <v>0.10161387991308203</v>
      </c>
      <c r="X2128">
        <v>1.754938431163423E-2</v>
      </c>
      <c r="Y2128">
        <v>4.3368905093290715E-3</v>
      </c>
    </row>
    <row r="2129" spans="1:25">
      <c r="A2129" s="1010"/>
      <c r="B2129" s="1351">
        <v>1879</v>
      </c>
      <c r="C2129" s="1014">
        <v>1.0008336982872217</v>
      </c>
      <c r="D2129" s="1014">
        <v>1.038928215430341</v>
      </c>
      <c r="E2129" s="1014">
        <v>0.96038860185899555</v>
      </c>
      <c r="F2129" s="1014">
        <v>1.0045634266771297</v>
      </c>
      <c r="G2129" s="1014">
        <v>0.97195266364654576</v>
      </c>
      <c r="H2129" s="1014">
        <v>1.0060260179078393</v>
      </c>
      <c r="I2129" s="1014">
        <v>1.019871924388178</v>
      </c>
      <c r="K2129">
        <v>2.4014942142229212</v>
      </c>
      <c r="L2129">
        <v>0</v>
      </c>
      <c r="M2129">
        <v>1.7762282413552992E-3</v>
      </c>
      <c r="N2129">
        <v>0.14340567473585469</v>
      </c>
      <c r="O2129">
        <v>2.0766720319588806E-2</v>
      </c>
      <c r="P2129">
        <v>2.7652837169438726E-2</v>
      </c>
      <c r="Q2129">
        <v>5.2198058919549388E-3</v>
      </c>
      <c r="R2129">
        <v>1.7529228834602042E-3</v>
      </c>
      <c r="S2129">
        <v>0.25876616258614749</v>
      </c>
      <c r="T2129">
        <v>1.3770408767398814</v>
      </c>
      <c r="U2129">
        <v>0.21166195620369857</v>
      </c>
      <c r="V2129">
        <v>0.24082896215614871</v>
      </c>
      <c r="W2129">
        <v>9.6487994931272525E-2</v>
      </c>
      <c r="X2129">
        <v>1.4915650608924821E-2</v>
      </c>
      <c r="Y2129">
        <v>4.7708782379054446E-3</v>
      </c>
    </row>
    <row r="2130" spans="1:25">
      <c r="A2130" s="1010"/>
      <c r="B2130" s="1351">
        <v>1880</v>
      </c>
      <c r="C2130" s="1014">
        <v>0.96168588547341083</v>
      </c>
      <c r="D2130" s="1014">
        <v>1.0255540255984132</v>
      </c>
      <c r="E2130" s="1014">
        <v>1.0441067818123044</v>
      </c>
      <c r="F2130" s="1014">
        <v>0.99592024898827325</v>
      </c>
      <c r="G2130" s="1014">
        <v>0.98528494764947894</v>
      </c>
      <c r="H2130" s="1014">
        <v>1.0138839233950538</v>
      </c>
      <c r="I2130" s="1014">
        <v>1.0203999095299636</v>
      </c>
      <c r="K2130">
        <v>2.4534367622358073</v>
      </c>
      <c r="L2130">
        <v>0</v>
      </c>
      <c r="M2130">
        <v>1.5703778420072785E-3</v>
      </c>
      <c r="N2130">
        <v>0.16328454333874817</v>
      </c>
      <c r="O2130">
        <v>2.1731242821012246E-2</v>
      </c>
      <c r="P2130">
        <v>2.9673190842708381E-2</v>
      </c>
      <c r="Q2130">
        <v>5.9412399961824864E-3</v>
      </c>
      <c r="R2130">
        <v>1.5499330761862043E-3</v>
      </c>
      <c r="S2130">
        <v>0.27260232404851364</v>
      </c>
      <c r="T2130">
        <v>1.3669967944304846</v>
      </c>
      <c r="U2130">
        <v>0.22057582115907151</v>
      </c>
      <c r="V2130">
        <v>0.24535441797590943</v>
      </c>
      <c r="W2130">
        <v>0.10453843397106088</v>
      </c>
      <c r="X2130">
        <v>1.8540791519854858E-2</v>
      </c>
      <c r="Y2130">
        <v>4.2184068980776011E-3</v>
      </c>
    </row>
    <row r="2131" spans="1:25">
      <c r="A2131" s="1010"/>
      <c r="B2131" s="1351">
        <v>1881</v>
      </c>
      <c r="C2131" s="1014">
        <v>1.0201963703955388</v>
      </c>
      <c r="D2131" s="1014">
        <v>1.0034223505943383</v>
      </c>
      <c r="E2131" s="1014">
        <v>1.0099906829037368</v>
      </c>
      <c r="F2131" s="1014">
        <v>1.0140007615966844</v>
      </c>
      <c r="G2131" s="1014">
        <v>1.0064502087356675</v>
      </c>
      <c r="H2131" s="1014">
        <v>0.96263557497258789</v>
      </c>
      <c r="I2131" s="1014">
        <v>0.99840897116315941</v>
      </c>
      <c r="K2131">
        <v>2.4043367308109338</v>
      </c>
      <c r="L2131">
        <v>0</v>
      </c>
      <c r="M2131">
        <v>1.5162544088534295E-3</v>
      </c>
      <c r="N2131">
        <v>0.14214546289234495</v>
      </c>
      <c r="O2131">
        <v>2.0561197277087086E-2</v>
      </c>
      <c r="P2131">
        <v>2.8785237723922365E-2</v>
      </c>
      <c r="Q2131">
        <v>5.434604210959283E-3</v>
      </c>
      <c r="R2131">
        <v>1.4954633605335911E-3</v>
      </c>
      <c r="S2131">
        <v>0.24963541215455143</v>
      </c>
      <c r="T2131">
        <v>1.3910619099277659</v>
      </c>
      <c r="U2131">
        <v>0.20781054323325585</v>
      </c>
      <c r="V2131">
        <v>0.24536132508233727</v>
      </c>
      <c r="W2131">
        <v>9.2829233929175733E-2</v>
      </c>
      <c r="X2131">
        <v>1.6662437139844839E-2</v>
      </c>
      <c r="Y2131">
        <v>4.0701582880081268E-3</v>
      </c>
    </row>
    <row r="2132" spans="1:25">
      <c r="A2132" s="1010"/>
      <c r="B2132" s="1351">
        <v>1882</v>
      </c>
      <c r="C2132" s="1014">
        <v>0.99290620744458125</v>
      </c>
      <c r="D2132" s="1014">
        <v>0.98199789874666665</v>
      </c>
      <c r="E2132" s="1014">
        <v>1.0384619611073358</v>
      </c>
      <c r="F2132" s="1014">
        <v>0.99202947646915862</v>
      </c>
      <c r="G2132" s="1014">
        <v>1.0124234247947514</v>
      </c>
      <c r="H2132" s="1014">
        <v>1.0046500073187286</v>
      </c>
      <c r="I2132" s="1014">
        <v>1.0159978293547056</v>
      </c>
      <c r="K2132">
        <v>2.4278839395907061</v>
      </c>
      <c r="L2132">
        <v>0</v>
      </c>
      <c r="M2132">
        <v>1.5396400734644833E-3</v>
      </c>
      <c r="N2132">
        <v>0.15737049273862735</v>
      </c>
      <c r="O2132">
        <v>2.1246051691444518E-2</v>
      </c>
      <c r="P2132">
        <v>2.9347801135991648E-2</v>
      </c>
      <c r="Q2132">
        <v>5.7764618223819196E-3</v>
      </c>
      <c r="R2132">
        <v>1.5194112495991025E-3</v>
      </c>
      <c r="S2132">
        <v>0.26779183664724543</v>
      </c>
      <c r="T2132">
        <v>1.361534259290077</v>
      </c>
      <c r="U2132">
        <v>0.21362062060861478</v>
      </c>
      <c r="V2132">
        <v>0.2479614037753792</v>
      </c>
      <c r="W2132">
        <v>0.10107988395079621</v>
      </c>
      <c r="X2132">
        <v>1.8040020206389534E-2</v>
      </c>
      <c r="Y2132">
        <v>4.1353365476249383E-3</v>
      </c>
    </row>
    <row r="2133" spans="1:25">
      <c r="A2133" s="1010"/>
      <c r="B2133" s="1351">
        <v>1883</v>
      </c>
      <c r="C2133" s="1014">
        <v>0.9873820894898212</v>
      </c>
      <c r="D2133" s="1014">
        <v>0.98875387513247881</v>
      </c>
      <c r="E2133" s="1014">
        <v>1.0134609903112406</v>
      </c>
      <c r="F2133" s="1014">
        <v>1.0017131530492613</v>
      </c>
      <c r="G2133" s="1014">
        <v>1.0032877819699029</v>
      </c>
      <c r="H2133" s="1014">
        <v>0.99831984357015013</v>
      </c>
      <c r="I2133" s="1014">
        <v>1.0053416536617055</v>
      </c>
      <c r="K2133">
        <v>2.4313566648121094</v>
      </c>
      <c r="L2133">
        <v>0</v>
      </c>
      <c r="M2133">
        <v>1.6182794562256981E-3</v>
      </c>
      <c r="N2133">
        <v>0.15338386434321913</v>
      </c>
      <c r="O2133">
        <v>2.1315802475762011E-2</v>
      </c>
      <c r="P2133">
        <v>2.8952375896742443E-2</v>
      </c>
      <c r="Q2133">
        <v>5.6536167538377233E-3</v>
      </c>
      <c r="R2133">
        <v>1.5968825966925144E-3</v>
      </c>
      <c r="S2133">
        <v>0.26478919055404226</v>
      </c>
      <c r="T2133">
        <v>1.3742804544836067</v>
      </c>
      <c r="U2133">
        <v>0.21472887546011693</v>
      </c>
      <c r="V2133">
        <v>0.24684198114643352</v>
      </c>
      <c r="W2133">
        <v>9.9964068831309705E-2</v>
      </c>
      <c r="X2133">
        <v>1.7121643710581204E-2</v>
      </c>
      <c r="Y2133">
        <v>4.3461880159905006E-3</v>
      </c>
    </row>
    <row r="2134" spans="1:25">
      <c r="A2134" s="1010"/>
      <c r="B2134" s="1351">
        <v>1884</v>
      </c>
      <c r="C2134" s="1014">
        <v>0.99455998182853356</v>
      </c>
      <c r="D2134" s="1014">
        <v>0.99735922742311123</v>
      </c>
      <c r="E2134" s="1014">
        <v>1.0181567146755479</v>
      </c>
      <c r="F2134" s="1014">
        <v>0.97142000888752167</v>
      </c>
      <c r="G2134" s="1014">
        <v>1.031169417025984</v>
      </c>
      <c r="H2134" s="1014">
        <v>1.0204013521538002</v>
      </c>
      <c r="I2134" s="1014">
        <v>1.0057074953668292</v>
      </c>
      <c r="K2134">
        <v>2.3951161283695845</v>
      </c>
      <c r="L2134">
        <v>0</v>
      </c>
      <c r="M2134">
        <v>1.6230828687531459E-3</v>
      </c>
      <c r="N2134">
        <v>0.15607985678673239</v>
      </c>
      <c r="O2134">
        <v>2.112480068921916E-2</v>
      </c>
      <c r="P2134">
        <v>2.8503023697092639E-2</v>
      </c>
      <c r="Q2134">
        <v>5.6292348683033774E-3</v>
      </c>
      <c r="R2134">
        <v>1.6020869014936195E-3</v>
      </c>
      <c r="S2134">
        <v>0.26377323567354805</v>
      </c>
      <c r="T2134">
        <v>1.3328193435251887</v>
      </c>
      <c r="U2134">
        <v>0.21319532219108411</v>
      </c>
      <c r="V2134">
        <v>0.25112819475366954</v>
      </c>
      <c r="W2134">
        <v>0.10144112387184254</v>
      </c>
      <c r="X2134">
        <v>1.7082635862103891E-2</v>
      </c>
      <c r="Y2134">
        <v>4.360352418060493E-3</v>
      </c>
    </row>
    <row r="2135" spans="1:25">
      <c r="A2135" s="1010"/>
      <c r="B2135" s="1351">
        <v>1885</v>
      </c>
      <c r="C2135" s="1014">
        <v>0.96924330860935837</v>
      </c>
      <c r="D2135" s="1014">
        <v>0.98234111770592303</v>
      </c>
      <c r="E2135" s="1014">
        <v>0.99929124159890281</v>
      </c>
      <c r="F2135" s="1014">
        <v>0.98818910248577352</v>
      </c>
      <c r="G2135" s="1014">
        <v>1.0032493420683373</v>
      </c>
      <c r="H2135" s="1014">
        <v>0.99693002595219538</v>
      </c>
      <c r="I2135" s="1014">
        <v>1.0311343753693207</v>
      </c>
      <c r="K2135">
        <v>2.4323147816462276</v>
      </c>
      <c r="L2135">
        <v>0</v>
      </c>
      <c r="M2135">
        <v>1.6978531965807864E-3</v>
      </c>
      <c r="N2135">
        <v>0.15418239675304074</v>
      </c>
      <c r="O2135">
        <v>2.1736070922906105E-2</v>
      </c>
      <c r="P2135">
        <v>2.8634549516164377E-2</v>
      </c>
      <c r="Q2135">
        <v>5.6838388111185691E-3</v>
      </c>
      <c r="R2135">
        <v>1.6753729185296602E-3</v>
      </c>
      <c r="S2135">
        <v>0.27732099703030239</v>
      </c>
      <c r="T2135">
        <v>1.3554231695240013</v>
      </c>
      <c r="U2135">
        <v>0.21869736988864297</v>
      </c>
      <c r="V2135">
        <v>0.24806846194452725</v>
      </c>
      <c r="W2135">
        <v>0.10133004142831137</v>
      </c>
      <c r="X2135">
        <v>1.6700553307558534E-2</v>
      </c>
      <c r="Y2135">
        <v>4.5598127977035732E-3</v>
      </c>
    </row>
    <row r="2136" spans="1:25">
      <c r="A2136" s="1010"/>
      <c r="B2136" s="1351">
        <v>1886</v>
      </c>
      <c r="C2136" s="1014">
        <v>0.97063183269918518</v>
      </c>
      <c r="D2136" s="1014">
        <v>1.01317843675147</v>
      </c>
      <c r="E2136" s="1014">
        <v>0.9701645471369017</v>
      </c>
      <c r="F2136" s="1014">
        <v>1.015696731169581</v>
      </c>
      <c r="G2136" s="1014">
        <v>0.99101965833371919</v>
      </c>
      <c r="H2136" s="1014">
        <v>1.031142173952081</v>
      </c>
      <c r="I2136" s="1014">
        <v>0.95572438326012554</v>
      </c>
      <c r="K2136">
        <v>2.4446899737289365</v>
      </c>
      <c r="L2136">
        <v>0</v>
      </c>
      <c r="M2136">
        <v>1.8499295080789862E-3</v>
      </c>
      <c r="N2136">
        <v>0.15389451928763814</v>
      </c>
      <c r="O2136">
        <v>2.1538074220541034E-2</v>
      </c>
      <c r="P2136">
        <v>2.8179596297655297E-2</v>
      </c>
      <c r="Q2136">
        <v>5.4681968711772656E-3</v>
      </c>
      <c r="R2136">
        <v>1.8262483548301643E-3</v>
      </c>
      <c r="S2136">
        <v>0.25534720117956761</v>
      </c>
      <c r="T2136">
        <v>1.3925154392446224</v>
      </c>
      <c r="U2136">
        <v>0.21828219281540781</v>
      </c>
      <c r="V2136">
        <v>0.24599172867340513</v>
      </c>
      <c r="W2136">
        <v>0.10292866416417698</v>
      </c>
      <c r="X2136">
        <v>1.5597596128752446E-2</v>
      </c>
      <c r="Y2136">
        <v>4.9704459992393349E-3</v>
      </c>
    </row>
    <row r="2137" spans="1:25">
      <c r="A2137" s="1010"/>
      <c r="B2137" s="1351">
        <v>1887</v>
      </c>
      <c r="C2137" s="1014">
        <v>0.97174469564976462</v>
      </c>
      <c r="D2137" s="1014">
        <v>0.97602802967985125</v>
      </c>
      <c r="E2137" s="1014">
        <v>1.0130799685339749</v>
      </c>
      <c r="F2137" s="1014">
        <v>1.0110322583714759</v>
      </c>
      <c r="G2137" s="1014">
        <v>0.97100959836276768</v>
      </c>
      <c r="H2137" s="1014">
        <v>1.0301022314400985</v>
      </c>
      <c r="I2137" s="1014">
        <v>1.0013287690175854</v>
      </c>
      <c r="K2137">
        <v>2.4651598767834311</v>
      </c>
      <c r="L2137">
        <v>0</v>
      </c>
      <c r="M2137">
        <v>1.702859669078052E-3</v>
      </c>
      <c r="N2137">
        <v>0.16128169116183713</v>
      </c>
      <c r="O2137">
        <v>2.17203696355921E-2</v>
      </c>
      <c r="P2137">
        <v>2.9212680772105537E-2</v>
      </c>
      <c r="Q2137">
        <v>5.7587307325181305E-3</v>
      </c>
      <c r="R2137">
        <v>1.6810391664539238E-3</v>
      </c>
      <c r="S2137">
        <v>0.27252763001560587</v>
      </c>
      <c r="T2137">
        <v>1.3870572621543933</v>
      </c>
      <c r="U2137">
        <v>0.21818296677182569</v>
      </c>
      <c r="V2137">
        <v>0.24235025097964547</v>
      </c>
      <c r="W2137">
        <v>0.1051348366892137</v>
      </c>
      <c r="X2137">
        <v>1.7380043916642614E-2</v>
      </c>
      <c r="Y2137">
        <v>4.5752344566752914E-3</v>
      </c>
    </row>
    <row r="2138" spans="1:25">
      <c r="A2138" s="1010"/>
      <c r="B2138" s="1351">
        <v>1888</v>
      </c>
      <c r="C2138" s="1014">
        <v>1.0023638935367363</v>
      </c>
      <c r="D2138" s="1014">
        <v>0.98402142360900224</v>
      </c>
      <c r="E2138" s="1014">
        <v>0.99004049202800593</v>
      </c>
      <c r="F2138" s="1014">
        <v>1.018706508691557</v>
      </c>
      <c r="G2138" s="1014">
        <v>0.98531264003936259</v>
      </c>
      <c r="H2138" s="1014">
        <v>1.0242746850185616</v>
      </c>
      <c r="I2138" s="1014">
        <v>1.0346405898110218</v>
      </c>
      <c r="K2138">
        <v>2.4508146892301861</v>
      </c>
      <c r="L2138">
        <v>0</v>
      </c>
      <c r="M2138">
        <v>1.7187895557964083E-3</v>
      </c>
      <c r="N2138">
        <v>0.1518344307275474</v>
      </c>
      <c r="O2138">
        <v>2.1003814664038296E-2</v>
      </c>
      <c r="P2138">
        <v>2.8749556955151235E-2</v>
      </c>
      <c r="Q2138">
        <v>5.4413739841919495E-3</v>
      </c>
      <c r="R2138">
        <v>1.6966396193130943E-3</v>
      </c>
      <c r="S2138">
        <v>0.27116828337694637</v>
      </c>
      <c r="T2138">
        <v>1.3970779542145382</v>
      </c>
      <c r="U2138">
        <v>0.21143954722232486</v>
      </c>
      <c r="V2138">
        <v>0.24291098821205651</v>
      </c>
      <c r="W2138">
        <v>0.10033942167374502</v>
      </c>
      <c r="X2138">
        <v>1.6253774389457701E-2</v>
      </c>
      <c r="Y2138">
        <v>4.617693746670053E-3</v>
      </c>
    </row>
    <row r="2139" spans="1:25">
      <c r="A2139" s="1010"/>
      <c r="B2139" s="1351">
        <v>1889</v>
      </c>
      <c r="C2139" s="1014">
        <v>1.0041120295744308</v>
      </c>
      <c r="D2139" s="1014">
        <v>0.98420286354598296</v>
      </c>
      <c r="E2139" s="1014">
        <v>0.97412578391673721</v>
      </c>
      <c r="F2139" s="1014">
        <v>0.99491330207176476</v>
      </c>
      <c r="G2139" s="1014">
        <v>1.0170658036759448</v>
      </c>
      <c r="H2139" s="1014">
        <v>1.0017915107406179</v>
      </c>
      <c r="I2139" s="1014">
        <v>0.96445729180554496</v>
      </c>
      <c r="K2139">
        <v>2.3911748868727143</v>
      </c>
      <c r="L2139">
        <v>0</v>
      </c>
      <c r="M2139">
        <v>1.7342264679249422E-3</v>
      </c>
      <c r="N2139">
        <v>0.14595431592065847</v>
      </c>
      <c r="O2139">
        <v>2.0955871502653427E-2</v>
      </c>
      <c r="P2139">
        <v>2.7751328108964177E-2</v>
      </c>
      <c r="Q2139">
        <v>5.3419426405731697E-3</v>
      </c>
      <c r="R2139">
        <v>1.7113760219084346E-3</v>
      </c>
      <c r="S2139">
        <v>0.25034201288367586</v>
      </c>
      <c r="T2139">
        <v>1.3641062006014621</v>
      </c>
      <c r="U2139">
        <v>0.21101741422189815</v>
      </c>
      <c r="V2139">
        <v>0.24828614939913271</v>
      </c>
      <c r="W2139">
        <v>9.7383380907469411E-2</v>
      </c>
      <c r="X2139">
        <v>1.5401319755559566E-2</v>
      </c>
      <c r="Y2139">
        <v>4.6578013766807574E-3</v>
      </c>
    </row>
    <row r="2140" spans="1:25">
      <c r="A2140" s="1010"/>
      <c r="B2140" s="1351">
        <v>1890</v>
      </c>
      <c r="C2140" s="1014">
        <v>1.0315026598091479</v>
      </c>
      <c r="D2140" s="1014">
        <v>0.98186454850386162</v>
      </c>
      <c r="E2140" s="1014">
        <v>1.0128753153289136</v>
      </c>
      <c r="F2140" s="1014">
        <v>1.0003319961539565</v>
      </c>
      <c r="G2140" s="1014">
        <v>1.0042755718591101</v>
      </c>
      <c r="H2140" s="1014">
        <v>0.96977754568349439</v>
      </c>
      <c r="I2140" s="1014">
        <v>1.0090553018418116</v>
      </c>
      <c r="K2140">
        <v>2.3859968017194335</v>
      </c>
      <c r="L2140">
        <v>0</v>
      </c>
      <c r="M2140">
        <v>1.5089247109125268E-3</v>
      </c>
      <c r="N2140">
        <v>0.14271009741999494</v>
      </c>
      <c r="O2140">
        <v>2.0435091151443693E-2</v>
      </c>
      <c r="P2140">
        <v>2.8588397140754038E-2</v>
      </c>
      <c r="Q2140">
        <v>5.416857836911042E-3</v>
      </c>
      <c r="R2140">
        <v>1.4883865446622103E-3</v>
      </c>
      <c r="S2140">
        <v>0.25290525384583146</v>
      </c>
      <c r="T2140">
        <v>1.3723728992835278</v>
      </c>
      <c r="U2140">
        <v>0.20554231021504243</v>
      </c>
      <c r="V2140">
        <v>0.24430923587574746</v>
      </c>
      <c r="W2140">
        <v>9.3039756656230821E-2</v>
      </c>
      <c r="X2140">
        <v>1.6646542932122411E-2</v>
      </c>
      <c r="Y2140">
        <v>4.0508975280779524E-3</v>
      </c>
    </row>
    <row r="2141" spans="1:25">
      <c r="A2141" s="1010"/>
      <c r="B2141" s="1351">
        <v>1891</v>
      </c>
      <c r="C2141" s="1014">
        <v>1.0450088863760363</v>
      </c>
      <c r="D2141" s="1014">
        <v>0.9621888374595442</v>
      </c>
      <c r="E2141" s="1014">
        <v>0.98673757603315948</v>
      </c>
      <c r="F2141" s="1014">
        <v>1.0132996647871497</v>
      </c>
      <c r="G2141" s="1014">
        <v>0.99469549048345984</v>
      </c>
      <c r="H2141" s="1014">
        <v>1.029480122887716</v>
      </c>
      <c r="I2141" s="1014">
        <v>0.98226608841713892</v>
      </c>
      <c r="K2141">
        <v>2.4021060885598011</v>
      </c>
      <c r="L2141">
        <v>0</v>
      </c>
      <c r="M2141">
        <v>1.6766540355210968E-3</v>
      </c>
      <c r="N2141">
        <v>0.1466500582589349</v>
      </c>
      <c r="O2141">
        <v>2.024426638587757E-2</v>
      </c>
      <c r="P2141">
        <v>2.8163393865668906E-2</v>
      </c>
      <c r="Q2141">
        <v>5.2271054774472052E-3</v>
      </c>
      <c r="R2141">
        <v>1.6551563497159531E-3</v>
      </c>
      <c r="S2141">
        <v>0.25012667081220524</v>
      </c>
      <c r="T2141">
        <v>1.3895906670676417</v>
      </c>
      <c r="U2141">
        <v>0.20280028358760285</v>
      </c>
      <c r="V2141">
        <v>0.24198602397342961</v>
      </c>
      <c r="W2141">
        <v>9.710553379161814E-2</v>
      </c>
      <c r="X2141">
        <v>1.5728793063397369E-2</v>
      </c>
      <c r="Y2141">
        <v>4.5047899617827805E-3</v>
      </c>
    </row>
    <row r="2142" spans="1:25">
      <c r="A2142" s="1010"/>
      <c r="B2142" s="1351">
        <v>1892</v>
      </c>
      <c r="C2142" s="1014">
        <v>0.99089227285879955</v>
      </c>
      <c r="D2142" s="1014">
        <v>1.00112233628292</v>
      </c>
      <c r="E2142" s="1014">
        <v>0.99366448867987101</v>
      </c>
      <c r="F2142" s="1014">
        <v>0.97495796611428487</v>
      </c>
      <c r="G2142" s="1014">
        <v>0.96762574695632331</v>
      </c>
      <c r="H2142" s="1014">
        <v>1.0368255080639239</v>
      </c>
      <c r="I2142" s="1014">
        <v>1.0153160952764446</v>
      </c>
      <c r="K2142">
        <v>2.393062272531342</v>
      </c>
      <c r="L2142">
        <v>0</v>
      </c>
      <c r="M2142">
        <v>1.7402200905501939E-3</v>
      </c>
      <c r="N2142">
        <v>0.15544553374481412</v>
      </c>
      <c r="O2142">
        <v>2.1169017505881987E-2</v>
      </c>
      <c r="P2142">
        <v>2.7973064017254246E-2</v>
      </c>
      <c r="Q2142">
        <v>5.5042771345013061E-3</v>
      </c>
      <c r="R2142">
        <v>1.7180654492234349E-3</v>
      </c>
      <c r="S2142">
        <v>0.26800137556954001</v>
      </c>
      <c r="T2142">
        <v>1.3371564701209437</v>
      </c>
      <c r="U2142">
        <v>0.2138998812426875</v>
      </c>
      <c r="V2142">
        <v>0.24059775202194089</v>
      </c>
      <c r="W2142">
        <v>0.10250336095974419</v>
      </c>
      <c r="X2142">
        <v>1.6157687062697029E-2</v>
      </c>
      <c r="Y2142">
        <v>4.6760077926630656E-3</v>
      </c>
    </row>
    <row r="2143" spans="1:25">
      <c r="A2143" s="1010"/>
      <c r="B2143" s="1351">
        <v>1893</v>
      </c>
      <c r="C2143" s="1014">
        <v>1.013242400883148</v>
      </c>
      <c r="D2143" s="1014">
        <v>0.97387828181480862</v>
      </c>
      <c r="E2143" s="1014">
        <v>1.0188228874047696</v>
      </c>
      <c r="F2143" s="1014">
        <v>0.97470558247101291</v>
      </c>
      <c r="G2143" s="1014">
        <v>1.0054261703697371</v>
      </c>
      <c r="H2143" s="1014">
        <v>1.0022998940418617</v>
      </c>
      <c r="I2143" s="1014">
        <v>1.0190692160130037</v>
      </c>
      <c r="K2143">
        <v>2.3817943521824994</v>
      </c>
      <c r="L2143">
        <v>0</v>
      </c>
      <c r="M2143">
        <v>1.5709395457968649E-3</v>
      </c>
      <c r="N2143">
        <v>0.15133372858213914</v>
      </c>
      <c r="O2143">
        <v>2.0844704363195202E-2</v>
      </c>
      <c r="P2143">
        <v>2.8450717843581348E-2</v>
      </c>
      <c r="Q2143">
        <v>5.5582790836193139E-3</v>
      </c>
      <c r="R2143">
        <v>1.5502510933035787E-3</v>
      </c>
      <c r="S2143">
        <v>0.2639454694086022</v>
      </c>
      <c r="T2143">
        <v>1.3373413505451635</v>
      </c>
      <c r="U2143">
        <v>0.209266626777484</v>
      </c>
      <c r="V2143">
        <v>0.24557478433700938</v>
      </c>
      <c r="W2143">
        <v>9.8318096286843598E-2</v>
      </c>
      <c r="X2143">
        <v>1.6962010971515409E-2</v>
      </c>
      <c r="Y2143">
        <v>4.2192724358367795E-3</v>
      </c>
    </row>
    <row r="2144" spans="1:25">
      <c r="A2144" s="1010"/>
      <c r="B2144" s="1351">
        <v>1894</v>
      </c>
      <c r="C2144" s="1014">
        <v>0.96622237396531307</v>
      </c>
      <c r="D2144" s="1014">
        <v>1.0207150277152734</v>
      </c>
      <c r="E2144" s="1014">
        <v>0.99175412781598937</v>
      </c>
      <c r="F2144" s="1014">
        <v>0.99645336651052741</v>
      </c>
      <c r="G2144" s="1014">
        <v>0.99881419690544326</v>
      </c>
      <c r="H2144" s="1014">
        <v>1.0375351316624783</v>
      </c>
      <c r="I2144" s="1014">
        <v>0.97496005800777019</v>
      </c>
      <c r="K2144">
        <v>2.434958889648176</v>
      </c>
      <c r="L2144">
        <v>0</v>
      </c>
      <c r="M2144">
        <v>1.7853273590295409E-3</v>
      </c>
      <c r="N2144">
        <v>0.15855788303799101</v>
      </c>
      <c r="O2144">
        <v>2.1615835224264097E-2</v>
      </c>
      <c r="P2144">
        <v>2.8411350403285487E-2</v>
      </c>
      <c r="Q2144">
        <v>5.6096308086420613E-3</v>
      </c>
      <c r="R2144">
        <v>1.7626140051389342E-3</v>
      </c>
      <c r="S2144">
        <v>0.26143928721922888</v>
      </c>
      <c r="T2144">
        <v>1.3665963371766454</v>
      </c>
      <c r="U2144">
        <v>0.21935449092101844</v>
      </c>
      <c r="V2144">
        <v>0.24753914183848261</v>
      </c>
      <c r="W2144">
        <v>0.10467516364413379</v>
      </c>
      <c r="X2144">
        <v>1.6385228451933784E-2</v>
      </c>
      <c r="Y2144">
        <v>4.7972542764375447E-3</v>
      </c>
    </row>
    <row r="2145" spans="1:25">
      <c r="A2145" s="1010"/>
      <c r="B2145" s="1351">
        <v>1895</v>
      </c>
      <c r="C2145" s="1014">
        <v>0.99155246980330303</v>
      </c>
      <c r="D2145" s="1014">
        <v>1.0389781450123334</v>
      </c>
      <c r="E2145" s="1014">
        <v>0.98122274358552652</v>
      </c>
      <c r="F2145" s="1014">
        <v>0.96203314094826242</v>
      </c>
      <c r="G2145" s="1014">
        <v>0.98235435933009774</v>
      </c>
      <c r="H2145" s="1014">
        <v>0.99094715064100414</v>
      </c>
      <c r="I2145" s="1014">
        <v>0.97340540025021449</v>
      </c>
      <c r="K2145">
        <v>2.3398071046746667</v>
      </c>
      <c r="L2145">
        <v>0</v>
      </c>
      <c r="M2145">
        <v>1.6916080324238501E-3</v>
      </c>
      <c r="N2145">
        <v>0.14543689816431629</v>
      </c>
      <c r="O2145">
        <v>2.0974643868662081E-2</v>
      </c>
      <c r="P2145">
        <v>2.7234846104144637E-2</v>
      </c>
      <c r="Q2145">
        <v>5.3854855111026331E-3</v>
      </c>
      <c r="R2145">
        <v>1.669075216759958E-3</v>
      </c>
      <c r="S2145">
        <v>0.24819807217285708</v>
      </c>
      <c r="T2145">
        <v>1.3191718392837404</v>
      </c>
      <c r="U2145">
        <v>0.21371465683714566</v>
      </c>
      <c r="V2145">
        <v>0.24311549625417353</v>
      </c>
      <c r="W2145">
        <v>9.6622436647059232E-2</v>
      </c>
      <c r="X2145">
        <v>1.5432590117602644E-2</v>
      </c>
      <c r="Y2145">
        <v>4.5426725295232735E-3</v>
      </c>
    </row>
    <row r="2146" spans="1:25">
      <c r="A2146" s="1010"/>
      <c r="B2146" s="1351">
        <v>1896</v>
      </c>
      <c r="C2146" s="1014">
        <v>1.0277547419442894</v>
      </c>
      <c r="D2146" s="1014">
        <v>0.9777579537313229</v>
      </c>
      <c r="E2146" s="1014">
        <v>1.0091342306640003</v>
      </c>
      <c r="F2146" s="1014">
        <v>1.0034490751693799</v>
      </c>
      <c r="G2146" s="1014">
        <v>0.95976147814471902</v>
      </c>
      <c r="H2146" s="1014">
        <v>1.0125425637604448</v>
      </c>
      <c r="I2146" s="1014">
        <v>0.9874747943150044</v>
      </c>
      <c r="K2146">
        <v>2.3942215757735479</v>
      </c>
      <c r="L2146">
        <v>0</v>
      </c>
      <c r="M2146">
        <v>1.5950193460057063E-3</v>
      </c>
      <c r="N2146">
        <v>0.14924555958732194</v>
      </c>
      <c r="O2146">
        <v>2.0526099918875114E-2</v>
      </c>
      <c r="P2146">
        <v>2.846938535039786E-2</v>
      </c>
      <c r="Q2146">
        <v>5.4206835128620444E-3</v>
      </c>
      <c r="R2146">
        <v>1.5742262631138182E-3</v>
      </c>
      <c r="S2146">
        <v>0.25241067302375125</v>
      </c>
      <c r="T2146">
        <v>1.3765679043527774</v>
      </c>
      <c r="U2146">
        <v>0.20627939857368566</v>
      </c>
      <c r="V2146">
        <v>0.23694351384652562</v>
      </c>
      <c r="W2146">
        <v>9.7515261604659773E-2</v>
      </c>
      <c r="X2146">
        <v>1.6579364140931856E-2</v>
      </c>
      <c r="Y2146">
        <v>4.2845249446476479E-3</v>
      </c>
    </row>
    <row r="2147" spans="1:25">
      <c r="A2147" s="1010"/>
      <c r="B2147" s="1351">
        <v>1897</v>
      </c>
      <c r="C2147" s="1014">
        <v>0.97213062705979802</v>
      </c>
      <c r="D2147" s="1014">
        <v>0.98761895058434024</v>
      </c>
      <c r="E2147" s="1014">
        <v>1.0336645917320317</v>
      </c>
      <c r="F2147" s="1014">
        <v>1.0051008998477258</v>
      </c>
      <c r="G2147" s="1014">
        <v>0.98916507907325246</v>
      </c>
      <c r="H2147" s="1014">
        <v>1.0152715760871285</v>
      </c>
      <c r="I2147" s="1014">
        <v>1.0047834502423652</v>
      </c>
      <c r="K2147">
        <v>2.4585987192137981</v>
      </c>
      <c r="L2147">
        <v>0</v>
      </c>
      <c r="M2147">
        <v>1.6031356985861734E-3</v>
      </c>
      <c r="N2147">
        <v>0.16153137273509172</v>
      </c>
      <c r="O2147">
        <v>2.166957107153511E-2</v>
      </c>
      <c r="P2147">
        <v>2.9562513199322755E-2</v>
      </c>
      <c r="Q2147">
        <v>5.8638237686476627E-3</v>
      </c>
      <c r="R2147">
        <v>1.5822929842724313E-3</v>
      </c>
      <c r="S2147">
        <v>0.27061773765978092</v>
      </c>
      <c r="T2147">
        <v>1.3793694286100358</v>
      </c>
      <c r="U2147">
        <v>0.21816898610191204</v>
      </c>
      <c r="V2147">
        <v>0.24535373012805259</v>
      </c>
      <c r="W2147">
        <v>0.1040403926073456</v>
      </c>
      <c r="X2147">
        <v>1.8135526145940977E-2</v>
      </c>
      <c r="Y2147">
        <v>4.3064799004474746E-3</v>
      </c>
    </row>
    <row r="2148" spans="1:25">
      <c r="A2148" s="1010"/>
      <c r="B2148" s="1351">
        <v>1898</v>
      </c>
      <c r="C2148" s="1014">
        <v>0.98776881861488786</v>
      </c>
      <c r="D2148" s="1014">
        <v>1.035844443987302</v>
      </c>
      <c r="E2148" s="1014">
        <v>1.0223108556282927</v>
      </c>
      <c r="F2148" s="1014">
        <v>1.0269121868843212</v>
      </c>
      <c r="G2148" s="1014">
        <v>1.0107304184903589</v>
      </c>
      <c r="H2148" s="1014">
        <v>0.99775352709994702</v>
      </c>
      <c r="I2148" s="1014">
        <v>0.984683929124471</v>
      </c>
      <c r="K2148">
        <v>2.45511953720183</v>
      </c>
      <c r="L2148">
        <v>0</v>
      </c>
      <c r="M2148">
        <v>1.571076255811453E-3</v>
      </c>
      <c r="N2148">
        <v>0.15293847855084586</v>
      </c>
      <c r="O2148">
        <v>2.1096384832756401E-2</v>
      </c>
      <c r="P2148">
        <v>2.9480171741510769E-2</v>
      </c>
      <c r="Q2148">
        <v>5.6449241844655071E-3</v>
      </c>
      <c r="R2148">
        <v>1.5502917256456396E-3</v>
      </c>
      <c r="S2148">
        <v>0.25331557567789831</v>
      </c>
      <c r="T2148">
        <v>1.4090490199032175</v>
      </c>
      <c r="U2148">
        <v>0.2146755146070084</v>
      </c>
      <c r="V2148">
        <v>0.24805628475328573</v>
      </c>
      <c r="W2148">
        <v>9.9158202828912828E-2</v>
      </c>
      <c r="X2148">
        <v>1.7506381628413822E-2</v>
      </c>
      <c r="Y2148">
        <v>4.2193830236774204E-3</v>
      </c>
    </row>
    <row r="2149" spans="1:25">
      <c r="A2149" s="1010"/>
      <c r="B2149" s="1351">
        <v>1899</v>
      </c>
      <c r="C2149" s="1014">
        <v>1.0358766442377967</v>
      </c>
      <c r="D2149" s="1014">
        <v>1.01455923526379</v>
      </c>
      <c r="E2149" s="1014">
        <v>1.0234114982990143</v>
      </c>
      <c r="F2149" s="1014">
        <v>0.99958763478617974</v>
      </c>
      <c r="G2149" s="1014">
        <v>1.000094488813982</v>
      </c>
      <c r="H2149" s="1014">
        <v>0.99920399136614846</v>
      </c>
      <c r="I2149" s="1014">
        <v>0.99783293594513067</v>
      </c>
      <c r="K2149">
        <v>2.3843757726424331</v>
      </c>
      <c r="L2149">
        <v>0</v>
      </c>
      <c r="M2149">
        <v>1.503710396532264E-3</v>
      </c>
      <c r="N2149">
        <v>0.14687026691153243</v>
      </c>
      <c r="O2149">
        <v>2.0209438078438349E-2</v>
      </c>
      <c r="P2149">
        <v>2.8697819981913997E-2</v>
      </c>
      <c r="Q2149">
        <v>5.4135078242448431E-3</v>
      </c>
      <c r="R2149">
        <v>1.4838459595373072E-3</v>
      </c>
      <c r="S2149">
        <v>0.24744704868350656</v>
      </c>
      <c r="T2149">
        <v>1.3715802969361837</v>
      </c>
      <c r="U2149">
        <v>0.20470927302849415</v>
      </c>
      <c r="V2149">
        <v>0.24330260457235034</v>
      </c>
      <c r="W2149">
        <v>9.5162695860319238E-2</v>
      </c>
      <c r="X2149">
        <v>1.6964145650271652E-2</v>
      </c>
      <c r="Y2149">
        <v>4.0385395521714516E-3</v>
      </c>
    </row>
    <row r="2150" spans="1:25">
      <c r="A2150" s="1010"/>
      <c r="B2150" s="1351">
        <v>1900</v>
      </c>
      <c r="C2150" s="1014">
        <v>1.0187587723430795</v>
      </c>
      <c r="D2150" s="1014">
        <v>1.0086658960110024</v>
      </c>
      <c r="E2150" s="1014">
        <v>0.9821179838817885</v>
      </c>
      <c r="F2150" s="1014">
        <v>0.96791643554075024</v>
      </c>
      <c r="G2150" s="1014">
        <v>1.0208906209793254</v>
      </c>
      <c r="H2150" s="1014">
        <v>1.0032168874653311</v>
      </c>
      <c r="I2150" s="1014">
        <v>1.011940302209352</v>
      </c>
      <c r="K2150">
        <v>2.3526390314994567</v>
      </c>
      <c r="L2150">
        <v>0</v>
      </c>
      <c r="M2150">
        <v>1.6746083428043435E-3</v>
      </c>
      <c r="N2150">
        <v>0.14438964301450044</v>
      </c>
      <c r="O2150">
        <v>2.0548503478567411E-2</v>
      </c>
      <c r="P2150">
        <v>2.7455179645631506E-2</v>
      </c>
      <c r="Q2150">
        <v>5.2808674985769851E-3</v>
      </c>
      <c r="R2150">
        <v>1.6525747847209835E-3</v>
      </c>
      <c r="S2150">
        <v>0.25590960964303405</v>
      </c>
      <c r="T2150">
        <v>1.3272578790972112</v>
      </c>
      <c r="U2150">
        <v>0.20801032856672416</v>
      </c>
      <c r="V2150">
        <v>0.24801655423458127</v>
      </c>
      <c r="W2150">
        <v>9.5874910141004466E-2</v>
      </c>
      <c r="X2150">
        <v>1.5419825944830512E-2</v>
      </c>
      <c r="Y2150">
        <v>4.4977637928791453E-3</v>
      </c>
    </row>
    <row r="2151" spans="1:25">
      <c r="A2151" s="1010"/>
      <c r="B2151" s="1351">
        <v>1901</v>
      </c>
      <c r="C2151" s="1014">
        <v>0.99448023369954475</v>
      </c>
      <c r="D2151" s="1014">
        <v>1.0019736609771184</v>
      </c>
      <c r="E2151" s="1014">
        <v>0.98469397137552828</v>
      </c>
      <c r="F2151" s="1014">
        <v>1.0402644845669917</v>
      </c>
      <c r="G2151" s="1014">
        <v>0.97222577864870241</v>
      </c>
      <c r="H2151" s="1014">
        <v>0.99291236925714665</v>
      </c>
      <c r="I2151" s="1014">
        <v>0.99116521144107073</v>
      </c>
      <c r="K2151">
        <v>2.457956343681817</v>
      </c>
      <c r="L2151">
        <v>0</v>
      </c>
      <c r="M2151">
        <v>1.6913208648765251E-3</v>
      </c>
      <c r="N2151">
        <v>0.1469510765338892</v>
      </c>
      <c r="O2151">
        <v>2.1082724629011566E-2</v>
      </c>
      <c r="P2151">
        <v>2.883612331295235E-2</v>
      </c>
      <c r="Q2151">
        <v>5.432337439607561E-3</v>
      </c>
      <c r="R2151">
        <v>1.6688364648176871E-3</v>
      </c>
      <c r="S2151">
        <v>0.25677904072028462</v>
      </c>
      <c r="T2151">
        <v>1.4265230856646742</v>
      </c>
      <c r="U2151">
        <v>0.2130973766290559</v>
      </c>
      <c r="V2151">
        <v>0.24118754155815142</v>
      </c>
      <c r="W2151">
        <v>9.7424458386357576E-2</v>
      </c>
      <c r="X2151">
        <v>1.6123040482446973E-2</v>
      </c>
      <c r="Y2151">
        <v>4.5420227254409692E-3</v>
      </c>
    </row>
    <row r="2152" spans="1:25">
      <c r="A2152" s="1010"/>
      <c r="B2152" s="1351">
        <v>1902</v>
      </c>
      <c r="C2152" s="1014">
        <v>0.98185401415306095</v>
      </c>
      <c r="D2152" s="1014">
        <v>0.96917590462119663</v>
      </c>
      <c r="E2152" s="1014">
        <v>0.99533289333688824</v>
      </c>
      <c r="F2152" s="1014">
        <v>0.97308869699074985</v>
      </c>
      <c r="G2152" s="1014">
        <v>0.99997788662350406</v>
      </c>
      <c r="H2152" s="1014">
        <v>1.0155363162326074</v>
      </c>
      <c r="I2152" s="1014">
        <v>1.0138635194502359</v>
      </c>
      <c r="K2152">
        <v>2.4031045267330757</v>
      </c>
      <c r="L2152">
        <v>0</v>
      </c>
      <c r="M2152">
        <v>1.7265150714912208E-3</v>
      </c>
      <c r="N2152">
        <v>0.15495907697145289</v>
      </c>
      <c r="O2152">
        <v>2.151799104510126E-2</v>
      </c>
      <c r="P2152">
        <v>2.814627894337576E-2</v>
      </c>
      <c r="Q2152">
        <v>5.6044353895845032E-3</v>
      </c>
      <c r="R2152">
        <v>1.7040741268922995E-3</v>
      </c>
      <c r="S2152">
        <v>0.27262286953522352</v>
      </c>
      <c r="T2152">
        <v>1.33462783888486</v>
      </c>
      <c r="U2152">
        <v>0.21587469672733642</v>
      </c>
      <c r="V2152">
        <v>0.24669713849062552</v>
      </c>
      <c r="W2152">
        <v>0.1020808675710201</v>
      </c>
      <c r="X2152">
        <v>1.6357846093576604E-2</v>
      </c>
      <c r="Y2152">
        <v>4.637928025515884E-3</v>
      </c>
    </row>
    <row r="2153" spans="1:25">
      <c r="A2153" s="1010"/>
      <c r="B2153" s="1351">
        <v>1903</v>
      </c>
      <c r="C2153" s="1014">
        <v>1.019616199510172</v>
      </c>
      <c r="D2153" s="1014">
        <v>0.98919819374731843</v>
      </c>
      <c r="E2153" s="1014">
        <v>1.0372387254224564</v>
      </c>
      <c r="F2153" s="1014">
        <v>1.0370049451604462</v>
      </c>
      <c r="G2153" s="1014">
        <v>0.99898669224559555</v>
      </c>
      <c r="H2153" s="1014">
        <v>1.0148708115179625</v>
      </c>
      <c r="I2153" s="1014">
        <v>1.0025689139333036</v>
      </c>
      <c r="K2153">
        <v>2.4643848709339635</v>
      </c>
      <c r="L2153">
        <v>0</v>
      </c>
      <c r="M2153">
        <v>1.5159921441426035E-3</v>
      </c>
      <c r="N2153">
        <v>0.15440406211621532</v>
      </c>
      <c r="O2153">
        <v>2.0655459033272077E-2</v>
      </c>
      <c r="P2153">
        <v>2.9905424570062775E-2</v>
      </c>
      <c r="Q2153">
        <v>5.609130468153198E-3</v>
      </c>
      <c r="R2153">
        <v>1.496274618824265E-3</v>
      </c>
      <c r="S2153">
        <v>0.25723546649345314</v>
      </c>
      <c r="T2153">
        <v>1.4232342668343414</v>
      </c>
      <c r="U2153">
        <v>0.20802046438717531</v>
      </c>
      <c r="V2153">
        <v>0.24402629037961809</v>
      </c>
      <c r="W2153">
        <v>9.9244542509826256E-2</v>
      </c>
      <c r="X2153">
        <v>1.7997115401516439E-2</v>
      </c>
      <c r="Y2153">
        <v>4.072366265644117E-3</v>
      </c>
    </row>
    <row r="2154" spans="1:25">
      <c r="A2154" s="1010"/>
      <c r="B2154" s="1351">
        <v>1904</v>
      </c>
      <c r="C2154" s="1014">
        <v>0.9876453702836463</v>
      </c>
      <c r="D2154" s="1014">
        <v>1.0092848485069419</v>
      </c>
      <c r="E2154" s="1014">
        <v>1.0320550319499091</v>
      </c>
      <c r="F2154" s="1014">
        <v>0.96662443829647116</v>
      </c>
      <c r="G2154" s="1014">
        <v>0.99725129408866919</v>
      </c>
      <c r="H2154" s="1014">
        <v>0.9908319305506248</v>
      </c>
      <c r="I2154" s="1014">
        <v>0.99795012910664727</v>
      </c>
      <c r="K2154">
        <v>2.3773138543315273</v>
      </c>
      <c r="L2154">
        <v>0</v>
      </c>
      <c r="M2154">
        <v>1.53778463763084E-3</v>
      </c>
      <c r="N2154">
        <v>0.15414667932777923</v>
      </c>
      <c r="O2154">
        <v>2.1226498583695737E-2</v>
      </c>
      <c r="P2154">
        <v>2.8593082887907132E-2</v>
      </c>
      <c r="Q2154">
        <v>5.7348084836093176E-3</v>
      </c>
      <c r="R2154">
        <v>1.5172984218555015E-3</v>
      </c>
      <c r="S2154">
        <v>0.2595904897944144</v>
      </c>
      <c r="T2154">
        <v>1.326531656864965</v>
      </c>
      <c r="U2154">
        <v>0.21473621062872977</v>
      </c>
      <c r="V2154">
        <v>0.24573008422952214</v>
      </c>
      <c r="W2154">
        <v>9.9376598760265458E-2</v>
      </c>
      <c r="X2154">
        <v>1.7538644859410563E-2</v>
      </c>
      <c r="Y2154">
        <v>4.1295861270003367E-3</v>
      </c>
    </row>
    <row r="2155" spans="1:25">
      <c r="A2155" s="1010"/>
      <c r="B2155" s="1351">
        <v>1905</v>
      </c>
      <c r="C2155" s="1014">
        <v>1.0154713411981247</v>
      </c>
      <c r="D2155" s="1014">
        <v>0.98163274545971924</v>
      </c>
      <c r="E2155" s="1014">
        <v>0.9964258879046981</v>
      </c>
      <c r="F2155" s="1014">
        <v>0.99463903656887942</v>
      </c>
      <c r="G2155" s="1014">
        <v>0.97194177229193357</v>
      </c>
      <c r="H2155" s="1014">
        <v>1.0142373986777873</v>
      </c>
      <c r="I2155" s="1014">
        <v>0.99637383619789943</v>
      </c>
      <c r="K2155">
        <v>2.3926666086652921</v>
      </c>
      <c r="L2155">
        <v>0</v>
      </c>
      <c r="M2155">
        <v>1.6587829647092152E-3</v>
      </c>
      <c r="N2155">
        <v>0.14937001969475222</v>
      </c>
      <c r="O2155">
        <v>2.074797715528099E-2</v>
      </c>
      <c r="P2155">
        <v>2.8172179669839783E-2</v>
      </c>
      <c r="Q2155">
        <v>5.4098364471683903E-3</v>
      </c>
      <c r="R2155">
        <v>1.6371947780502744E-3</v>
      </c>
      <c r="S2155">
        <v>0.25729317388519313</v>
      </c>
      <c r="T2155">
        <v>1.3642084354369131</v>
      </c>
      <c r="U2155">
        <v>0.20873181016812611</v>
      </c>
      <c r="V2155">
        <v>0.23980137880383662</v>
      </c>
      <c r="W2155">
        <v>9.8334910190968225E-2</v>
      </c>
      <c r="X2155">
        <v>1.6162570915131107E-2</v>
      </c>
      <c r="Y2155">
        <v>4.455904484739313E-3</v>
      </c>
    </row>
    <row r="2156" spans="1:25">
      <c r="A2156" s="1010"/>
      <c r="B2156" s="1351">
        <v>1906</v>
      </c>
      <c r="C2156" s="1014">
        <v>1.0131203911913595</v>
      </c>
      <c r="D2156" s="1014">
        <v>0.99915281166728809</v>
      </c>
      <c r="E2156" s="1014">
        <v>1.0421772015121344</v>
      </c>
      <c r="F2156" s="1014">
        <v>0.98523088143125603</v>
      </c>
      <c r="G2156" s="1014">
        <v>0.95789581359966136</v>
      </c>
      <c r="H2156" s="1014">
        <v>1.0022966511055191</v>
      </c>
      <c r="I2156" s="1014">
        <v>0.98584641886367119</v>
      </c>
      <c r="K2156">
        <v>2.3807803636696692</v>
      </c>
      <c r="L2156">
        <v>0</v>
      </c>
      <c r="M2156">
        <v>1.4880785163861633E-3</v>
      </c>
      <c r="N2156">
        <v>0.15380722326983348</v>
      </c>
      <c r="O2156">
        <v>2.07454076439232E-2</v>
      </c>
      <c r="P2156">
        <v>2.8869467616048312E-2</v>
      </c>
      <c r="Q2156">
        <v>5.6609838584291052E-3</v>
      </c>
      <c r="R2156">
        <v>1.4684812369215822E-3</v>
      </c>
      <c r="S2156">
        <v>0.25229220107989092</v>
      </c>
      <c r="T2156">
        <v>1.3522831476789674</v>
      </c>
      <c r="U2156">
        <v>0.20937098670992602</v>
      </c>
      <c r="V2156">
        <v>0.23739290627079876</v>
      </c>
      <c r="W2156">
        <v>9.8580065933796535E-2</v>
      </c>
      <c r="X2156">
        <v>1.7800849045329487E-2</v>
      </c>
      <c r="Y2156">
        <v>3.996721842190896E-3</v>
      </c>
    </row>
    <row r="2157" spans="1:25">
      <c r="A2157" s="1010"/>
      <c r="B2157" s="1351">
        <v>1907</v>
      </c>
      <c r="C2157" s="1014">
        <v>1.0222947343324911</v>
      </c>
      <c r="D2157" s="1014">
        <v>0.98418006584694251</v>
      </c>
      <c r="E2157" s="1014">
        <v>0.98040465628222384</v>
      </c>
      <c r="F2157" s="1014">
        <v>0.9664264763906989</v>
      </c>
      <c r="G2157" s="1014">
        <v>1.008886618331615</v>
      </c>
      <c r="H2157" s="1014">
        <v>1.0481990681184614</v>
      </c>
      <c r="I2157" s="1014">
        <v>0.96925533124191077</v>
      </c>
      <c r="K2157">
        <v>2.3537064505017629</v>
      </c>
      <c r="L2157">
        <v>0</v>
      </c>
      <c r="M2157">
        <v>1.7593180506065337E-3</v>
      </c>
      <c r="N2157">
        <v>0.1509956432224312</v>
      </c>
      <c r="O2157">
        <v>2.0587327371148652E-2</v>
      </c>
      <c r="P2157">
        <v>2.7284385411802919E-2</v>
      </c>
      <c r="Q2157">
        <v>5.2816459259729534E-3</v>
      </c>
      <c r="R2157">
        <v>1.737163302952503E-3</v>
      </c>
      <c r="S2157">
        <v>0.25091814422747982</v>
      </c>
      <c r="T2157">
        <v>1.3251790947683313</v>
      </c>
      <c r="U2157">
        <v>0.2072851408731621</v>
      </c>
      <c r="V2157">
        <v>0.24576017713954995</v>
      </c>
      <c r="W2157">
        <v>0.10036497783482418</v>
      </c>
      <c r="X2157">
        <v>1.5344082619802442E-2</v>
      </c>
      <c r="Y2157">
        <v>4.7279858549077996E-3</v>
      </c>
    </row>
    <row r="2158" spans="1:25">
      <c r="A2158" s="1010"/>
      <c r="B2158" s="1351">
        <v>1908</v>
      </c>
      <c r="C2158" s="1014">
        <v>0.99369932600032573</v>
      </c>
      <c r="D2158" s="1014">
        <v>0.97766482592017168</v>
      </c>
      <c r="E2158" s="1014">
        <v>1.010942643919807</v>
      </c>
      <c r="F2158" s="1014">
        <v>0.97383916957753713</v>
      </c>
      <c r="G2158" s="1014">
        <v>0.98849408904604252</v>
      </c>
      <c r="H2158" s="1014">
        <v>1.0195833880300986</v>
      </c>
      <c r="I2158" s="1014">
        <v>1.0120337604087397</v>
      </c>
      <c r="K2158">
        <v>2.3952814373463882</v>
      </c>
      <c r="L2158">
        <v>0</v>
      </c>
      <c r="M2158">
        <v>1.6549594743609144E-3</v>
      </c>
      <c r="N2158">
        <v>0.15571609497574199</v>
      </c>
      <c r="O2158">
        <v>2.1231217635563373E-2</v>
      </c>
      <c r="P2158">
        <v>2.8359678115838664E-2</v>
      </c>
      <c r="Q2158">
        <v>5.6170410634032476E-3</v>
      </c>
      <c r="R2158">
        <v>1.6335339810081319E-3</v>
      </c>
      <c r="S2158">
        <v>0.26819520139016179</v>
      </c>
      <c r="T2158">
        <v>1.3359861256669505</v>
      </c>
      <c r="U2158">
        <v>0.21335510217221593</v>
      </c>
      <c r="V2158">
        <v>0.24392353892969726</v>
      </c>
      <c r="W2158">
        <v>0.10163459650886206</v>
      </c>
      <c r="X2158">
        <v>1.6838325379330676E-2</v>
      </c>
      <c r="Y2158">
        <v>4.4459410019720199E-3</v>
      </c>
    </row>
    <row r="2159" spans="1:25">
      <c r="A2159" s="1010"/>
      <c r="B2159" s="1351">
        <v>1909</v>
      </c>
      <c r="C2159" s="1014">
        <v>0.98764391115523453</v>
      </c>
      <c r="D2159" s="1014">
        <v>1.0129057798310579</v>
      </c>
      <c r="E2159" s="1014">
        <v>0.99443624002372577</v>
      </c>
      <c r="F2159" s="1014">
        <v>1.0071000333230007</v>
      </c>
      <c r="G2159" s="1014">
        <v>0.98981244195567442</v>
      </c>
      <c r="H2159" s="1014">
        <v>1.0020340635770077</v>
      </c>
      <c r="I2159" s="1014">
        <v>1.0322654798151394</v>
      </c>
      <c r="K2159">
        <v>2.4349043472543856</v>
      </c>
      <c r="L2159">
        <v>0</v>
      </c>
      <c r="M2159">
        <v>1.6803294090972471E-3</v>
      </c>
      <c r="N2159">
        <v>0.15037895567098583</v>
      </c>
      <c r="O2159">
        <v>2.1184554107423932E-2</v>
      </c>
      <c r="P2159">
        <v>2.8662016612088097E-2</v>
      </c>
      <c r="Q2159">
        <v>5.5126057372829581E-3</v>
      </c>
      <c r="R2159">
        <v>1.658194478658933E-3</v>
      </c>
      <c r="S2159">
        <v>0.268710293118398</v>
      </c>
      <c r="T2159">
        <v>1.3812561585702869</v>
      </c>
      <c r="U2159">
        <v>0.21460606666392698</v>
      </c>
      <c r="V2159">
        <v>0.24459161644473787</v>
      </c>
      <c r="W2159">
        <v>9.9116687198707865E-2</v>
      </c>
      <c r="X2159">
        <v>1.6394469313737076E-2</v>
      </c>
      <c r="Y2159">
        <v>4.5130587472466347E-3</v>
      </c>
    </row>
    <row r="2160" spans="1:25">
      <c r="A2160" s="1010"/>
      <c r="B2160" s="1351">
        <v>1910</v>
      </c>
      <c r="C2160" s="1014">
        <v>0.95788352280979883</v>
      </c>
      <c r="D2160" s="1014">
        <v>0.97617385986158656</v>
      </c>
      <c r="E2160" s="1014">
        <v>0.96853726734302847</v>
      </c>
      <c r="F2160" s="1014">
        <v>0.99003367970149514</v>
      </c>
      <c r="G2160" s="1014">
        <v>0.99426484809019688</v>
      </c>
      <c r="H2160" s="1014">
        <v>1.005122623884515</v>
      </c>
      <c r="I2160" s="1014">
        <v>1.0244703893936706</v>
      </c>
      <c r="K2160">
        <v>2.4376295073685372</v>
      </c>
      <c r="L2160">
        <v>0</v>
      </c>
      <c r="M2160">
        <v>1.8484651826077079E-3</v>
      </c>
      <c r="N2160">
        <v>0.15296549403011817</v>
      </c>
      <c r="O2160">
        <v>2.2002972940181612E-2</v>
      </c>
      <c r="P2160">
        <v>2.8063359380372296E-2</v>
      </c>
      <c r="Q2160">
        <v>5.576941066623123E-3</v>
      </c>
      <c r="R2160">
        <v>1.8241902269854429E-3</v>
      </c>
      <c r="S2160">
        <v>0.28015949986321353</v>
      </c>
      <c r="T2160">
        <v>1.3572968948828381</v>
      </c>
      <c r="U2160">
        <v>0.22118149561924011</v>
      </c>
      <c r="V2160">
        <v>0.24740738397899067</v>
      </c>
      <c r="W2160">
        <v>0.10240873722706062</v>
      </c>
      <c r="X2160">
        <v>1.5626158881814619E-2</v>
      </c>
      <c r="Y2160">
        <v>4.9648444537076638E-3</v>
      </c>
    </row>
    <row r="2161" spans="1:25">
      <c r="A2161" s="1010"/>
      <c r="B2161" s="1351">
        <v>1911</v>
      </c>
      <c r="C2161" s="1014">
        <v>0.97660622569585653</v>
      </c>
      <c r="D2161" s="1014">
        <v>1.0146802380693827</v>
      </c>
      <c r="E2161" s="1014">
        <v>0.98881575056437998</v>
      </c>
      <c r="F2161" s="1014">
        <v>1.0056408840730111</v>
      </c>
      <c r="G2161" s="1014">
        <v>1.0069158298651153</v>
      </c>
      <c r="H2161" s="1014">
        <v>1.0160234581012464</v>
      </c>
      <c r="I2161" s="1014">
        <v>0.97356703169640224</v>
      </c>
      <c r="K2161">
        <v>2.4326355144308138</v>
      </c>
      <c r="L2161">
        <v>0</v>
      </c>
      <c r="M2161">
        <v>1.7425530279457698E-3</v>
      </c>
      <c r="N2161">
        <v>0.15334841324445278</v>
      </c>
      <c r="O2161">
        <v>2.1411933297841145E-2</v>
      </c>
      <c r="P2161">
        <v>2.8438896725469506E-2</v>
      </c>
      <c r="Q2161">
        <v>5.5402388061482856E-3</v>
      </c>
      <c r="R2161">
        <v>1.7199144842262131E-3</v>
      </c>
      <c r="S2161">
        <v>0.25720765763591674</v>
      </c>
      <c r="T2161">
        <v>1.3791328697041878</v>
      </c>
      <c r="U2161">
        <v>0.21701191616509388</v>
      </c>
      <c r="V2161">
        <v>0.24824714211228763</v>
      </c>
      <c r="W2161">
        <v>0.10141434693508614</v>
      </c>
      <c r="X2161">
        <v>1.62236980916396E-2</v>
      </c>
      <c r="Y2161">
        <v>4.6810402564064031E-3</v>
      </c>
    </row>
    <row r="2162" spans="1:25">
      <c r="A2162" s="1010"/>
      <c r="B2162" s="1351">
        <v>1912</v>
      </c>
      <c r="C2162" s="1014">
        <v>0.98649236603544777</v>
      </c>
      <c r="D2162" s="1014">
        <v>1.0102632808034644</v>
      </c>
      <c r="E2162" s="1014">
        <v>1.0021330743197987</v>
      </c>
      <c r="F2162" s="1014">
        <v>1.0061836651170277</v>
      </c>
      <c r="G2162" s="1014">
        <v>0.97381489853032288</v>
      </c>
      <c r="H2162" s="1014">
        <v>0.96672629619060946</v>
      </c>
      <c r="I2162" s="1014">
        <v>1.0298564236206209</v>
      </c>
      <c r="K2162">
        <v>2.4214010711224017</v>
      </c>
      <c r="L2162">
        <v>0</v>
      </c>
      <c r="M2162">
        <v>1.5982319386289407E-3</v>
      </c>
      <c r="N2162">
        <v>0.1463258047958598</v>
      </c>
      <c r="O2162">
        <v>2.1226640586909588E-2</v>
      </c>
      <c r="P2162">
        <v>2.8737999308403803E-2</v>
      </c>
      <c r="Q2162">
        <v>5.5664981991430671E-3</v>
      </c>
      <c r="R2162">
        <v>1.5764095396598732E-3</v>
      </c>
      <c r="S2162">
        <v>0.26568305790724195</v>
      </c>
      <c r="T2162">
        <v>1.3801667832709987</v>
      </c>
      <c r="U2162">
        <v>0.21488324167963396</v>
      </c>
      <c r="V2162">
        <v>0.24190645270772318</v>
      </c>
      <c r="W2162">
        <v>9.6004419282714512E-2</v>
      </c>
      <c r="X2162">
        <v>1.6631528679052841E-2</v>
      </c>
      <c r="Y2162">
        <v>4.2904671036890886E-3</v>
      </c>
    </row>
    <row r="2163" spans="1:25">
      <c r="A2163" s="1010"/>
      <c r="B2163" s="1351">
        <v>1913</v>
      </c>
      <c r="C2163" s="1014">
        <v>0.97357809506579629</v>
      </c>
      <c r="D2163" s="1014">
        <v>0.96969081726258077</v>
      </c>
      <c r="E2163" s="1014">
        <v>1.0146415080834028</v>
      </c>
      <c r="F2163" s="1014">
        <v>1.0314135250044651</v>
      </c>
      <c r="G2163" s="1014">
        <v>0.9988189057916651</v>
      </c>
      <c r="H2163" s="1014">
        <v>1.0158063366612879</v>
      </c>
      <c r="I2163" s="1014">
        <v>1.0115671975364053</v>
      </c>
      <c r="K2163">
        <v>2.4963294808474856</v>
      </c>
      <c r="L2163">
        <v>0</v>
      </c>
      <c r="M2163">
        <v>1.6730290734047709E-3</v>
      </c>
      <c r="N2163">
        <v>0.1591758440533774</v>
      </c>
      <c r="O2163">
        <v>2.1711631620335205E-2</v>
      </c>
      <c r="P2163">
        <v>2.9716936452168476E-2</v>
      </c>
      <c r="Q2163">
        <v>5.7653875099698427E-3</v>
      </c>
      <c r="R2163">
        <v>1.6512891109953026E-3</v>
      </c>
      <c r="S2163">
        <v>0.27443591795085243</v>
      </c>
      <c r="T2163">
        <v>1.4150536975426156</v>
      </c>
      <c r="U2163">
        <v>0.2177775884763859</v>
      </c>
      <c r="V2163">
        <v>0.24697114106290238</v>
      </c>
      <c r="W2163">
        <v>0.10366688566925461</v>
      </c>
      <c r="X2163">
        <v>1.7581925859212335E-2</v>
      </c>
      <c r="Y2163">
        <v>4.4942646128200711E-3</v>
      </c>
    </row>
    <row r="2164" spans="1:25">
      <c r="A2164" s="1010"/>
      <c r="B2164" s="1351">
        <v>1914</v>
      </c>
      <c r="C2164" s="1014">
        <v>0.98389576760137731</v>
      </c>
      <c r="D2164" s="1014">
        <v>1.0239932581929416</v>
      </c>
      <c r="E2164" s="1014">
        <v>0.99436677126631245</v>
      </c>
      <c r="F2164" s="1014">
        <v>1.0016665858105667</v>
      </c>
      <c r="G2164" s="1014">
        <v>1.0118458968195336</v>
      </c>
      <c r="H2164" s="1014">
        <v>1.0038725330824618</v>
      </c>
      <c r="I2164" s="1014">
        <v>1.003696412677372</v>
      </c>
      <c r="K2164">
        <v>2.4252433868702412</v>
      </c>
      <c r="L2164">
        <v>0</v>
      </c>
      <c r="M2164">
        <v>1.6860256194475641E-3</v>
      </c>
      <c r="N2164">
        <v>0.15086074053245468</v>
      </c>
      <c r="O2164">
        <v>2.1214338860591559E-2</v>
      </c>
      <c r="P2164">
        <v>2.8520059502137689E-2</v>
      </c>
      <c r="Q2164">
        <v>5.5199696088886179E-3</v>
      </c>
      <c r="R2164">
        <v>1.6638563278273727E-3</v>
      </c>
      <c r="S2164">
        <v>0.26100803363622194</v>
      </c>
      <c r="T2164">
        <v>1.3738025824117903</v>
      </c>
      <c r="U2164">
        <v>0.21542336573277171</v>
      </c>
      <c r="V2164">
        <v>0.24859577597863647</v>
      </c>
      <c r="W2164">
        <v>9.9438361509193732E-2</v>
      </c>
      <c r="X2164">
        <v>1.6353859954919205E-2</v>
      </c>
      <c r="Y2164">
        <v>4.5284684342550485E-3</v>
      </c>
    </row>
    <row r="2165" spans="1:25">
      <c r="A2165" s="1010"/>
      <c r="B2165" s="1351">
        <v>1915</v>
      </c>
      <c r="C2165" s="1014">
        <v>1.0011234827510225</v>
      </c>
      <c r="D2165" s="1014">
        <v>0.99038719292312694</v>
      </c>
      <c r="E2165" s="1014">
        <v>0.98552007890522242</v>
      </c>
      <c r="F2165" s="1014">
        <v>1.0296211293470638</v>
      </c>
      <c r="G2165" s="1014">
        <v>1.0130038390027323</v>
      </c>
      <c r="H2165" s="1014">
        <v>0.9941833184448613</v>
      </c>
      <c r="I2165" s="1014">
        <v>1.0117893771508126</v>
      </c>
      <c r="K2165">
        <v>2.4530451114778868</v>
      </c>
      <c r="L2165">
        <v>0</v>
      </c>
      <c r="M2165">
        <v>1.6836773810947152E-3</v>
      </c>
      <c r="N2165">
        <v>0.14665546236180804</v>
      </c>
      <c r="O2165">
        <v>2.099702917918685E-2</v>
      </c>
      <c r="P2165">
        <v>2.8797449895069868E-2</v>
      </c>
      <c r="Q2165">
        <v>5.4147882471664403E-3</v>
      </c>
      <c r="R2165">
        <v>1.6613232072443726E-3</v>
      </c>
      <c r="S2165">
        <v>0.26202363914454374</v>
      </c>
      <c r="T2165">
        <v>1.4119461071044979</v>
      </c>
      <c r="U2165">
        <v>0.21168612031961428</v>
      </c>
      <c r="V2165">
        <v>0.24773497513857326</v>
      </c>
      <c r="W2165">
        <v>9.7180182475977081E-2</v>
      </c>
      <c r="X2165">
        <v>1.6110137670227131E-2</v>
      </c>
      <c r="Y2165">
        <v>4.5215741150710998E-3</v>
      </c>
    </row>
    <row r="2166" spans="1:25">
      <c r="A2166" s="1010"/>
      <c r="B2166" s="1351">
        <v>1916</v>
      </c>
      <c r="C2166" s="1014">
        <v>1.0288077423250195</v>
      </c>
      <c r="D2166" s="1014">
        <v>0.95197420281750267</v>
      </c>
      <c r="E2166" s="1014">
        <v>0.96247510273523895</v>
      </c>
      <c r="F2166" s="1014">
        <v>0.97429785634101695</v>
      </c>
      <c r="G2166" s="1014">
        <v>0.97977544093662539</v>
      </c>
      <c r="H2166" s="1014">
        <v>0.99901631853964612</v>
      </c>
      <c r="I2166" s="1014">
        <v>1.012597722303318</v>
      </c>
      <c r="K2166">
        <v>2.3513642707307665</v>
      </c>
      <c r="L2166">
        <v>0</v>
      </c>
      <c r="M2166">
        <v>1.7416985940032817E-3</v>
      </c>
      <c r="N2166">
        <v>0.14149644257544966</v>
      </c>
      <c r="O2166">
        <v>2.059564510961491E-2</v>
      </c>
      <c r="P2166">
        <v>2.7090252456933625E-2</v>
      </c>
      <c r="Q2166">
        <v>5.1879101092360009E-3</v>
      </c>
      <c r="R2166">
        <v>1.7186859437372836E-3</v>
      </c>
      <c r="S2166">
        <v>0.26054599267681205</v>
      </c>
      <c r="T2166">
        <v>1.3355968851575621</v>
      </c>
      <c r="U2166">
        <v>0.20591359939666901</v>
      </c>
      <c r="V2166">
        <v>0.24046470459462202</v>
      </c>
      <c r="W2166">
        <v>9.5081753000954297E-2</v>
      </c>
      <c r="X2166">
        <v>1.4736401728991724E-2</v>
      </c>
      <c r="Y2166">
        <v>4.6776965741838006E-3</v>
      </c>
    </row>
    <row r="2167" spans="1:25">
      <c r="A2167" s="1010"/>
      <c r="B2167" s="1351">
        <v>1917</v>
      </c>
      <c r="C2167" s="1014">
        <v>1.0066584337736069</v>
      </c>
      <c r="D2167" s="1014">
        <v>1.0252423693671004</v>
      </c>
      <c r="E2167" s="1014">
        <v>0.97074285962241746</v>
      </c>
      <c r="F2167" s="1014">
        <v>0.96744065832668547</v>
      </c>
      <c r="G2167" s="1014">
        <v>1.0070617896149154</v>
      </c>
      <c r="H2167" s="1014">
        <v>0.98995698341974903</v>
      </c>
      <c r="I2167" s="1014">
        <v>0.99392588429138151</v>
      </c>
      <c r="K2167">
        <v>2.3442009127862455</v>
      </c>
      <c r="L2167">
        <v>0</v>
      </c>
      <c r="M2167">
        <v>1.7059875975099555E-3</v>
      </c>
      <c r="N2167">
        <v>0.14209210342145068</v>
      </c>
      <c r="O2167">
        <v>2.0713631302476405E-2</v>
      </c>
      <c r="P2167">
        <v>2.7154339935984661E-2</v>
      </c>
      <c r="Q2167">
        <v>5.2619916208344669E-3</v>
      </c>
      <c r="R2167">
        <v>1.683240511784558E-3</v>
      </c>
      <c r="S2167">
        <v>0.25112021642261578</v>
      </c>
      <c r="T2167">
        <v>1.3263686165516047</v>
      </c>
      <c r="U2167">
        <v>0.21047219698020619</v>
      </c>
      <c r="V2167">
        <v>0.24643199270199206</v>
      </c>
      <c r="W2167">
        <v>9.5001468453353693E-2</v>
      </c>
      <c r="X2167">
        <v>1.5025876688455739E-2</v>
      </c>
      <c r="Y2167">
        <v>4.5812257929919841E-3</v>
      </c>
    </row>
    <row r="2168" spans="1:25">
      <c r="A2168" s="1010"/>
      <c r="B2168" s="1351">
        <v>1918</v>
      </c>
      <c r="C2168" s="1014">
        <v>1.0051388901519898</v>
      </c>
      <c r="D2168" s="1014">
        <v>0.98854361530793511</v>
      </c>
      <c r="E2168" s="1014">
        <v>1.0306451757923849</v>
      </c>
      <c r="F2168" s="1014">
        <v>1.041394332895117</v>
      </c>
      <c r="G2168" s="1014">
        <v>0.96637826085628753</v>
      </c>
      <c r="H2168" s="1014">
        <v>1.0203526091939266</v>
      </c>
      <c r="I2168" s="1014">
        <v>1.0095460889372694</v>
      </c>
      <c r="K2168">
        <v>2.4788895892537361</v>
      </c>
      <c r="L2168">
        <v>0</v>
      </c>
      <c r="M2168">
        <v>1.5677645511255067E-3</v>
      </c>
      <c r="N2168">
        <v>0.15654654714942387</v>
      </c>
      <c r="O2168">
        <v>2.0951630314126269E-2</v>
      </c>
      <c r="P2168">
        <v>2.9905731710089502E-2</v>
      </c>
      <c r="Q2168">
        <v>5.6526677353329396E-3</v>
      </c>
      <c r="R2168">
        <v>1.5474832048829707E-3</v>
      </c>
      <c r="S2168">
        <v>0.26325857548009851</v>
      </c>
      <c r="T2168">
        <v>1.4291089829524262</v>
      </c>
      <c r="U2168">
        <v>0.21099410676859928</v>
      </c>
      <c r="V2168">
        <v>0.23936715844578188</v>
      </c>
      <c r="W2168">
        <v>0.10100630707581633</v>
      </c>
      <c r="X2168">
        <v>1.7906423812294049E-2</v>
      </c>
      <c r="Y2168">
        <v>4.2117391559900576E-3</v>
      </c>
    </row>
    <row r="2169" spans="1:25">
      <c r="A2169" s="1010"/>
      <c r="B2169" s="1351">
        <v>1919</v>
      </c>
      <c r="C2169" s="1014">
        <v>1.0340586692704308</v>
      </c>
      <c r="D2169" s="1014">
        <v>1.0269058451934612</v>
      </c>
      <c r="E2169" s="1014">
        <v>0.98967049081361858</v>
      </c>
      <c r="F2169" s="1014">
        <v>1.0314521477782674</v>
      </c>
      <c r="G2169" s="1014">
        <v>1.0178578865726884</v>
      </c>
      <c r="H2169" s="1014">
        <v>0.98656435850939095</v>
      </c>
      <c r="I2169" s="1014">
        <v>1.0350671229383457</v>
      </c>
      <c r="K2169">
        <v>2.427689655649893</v>
      </c>
      <c r="L2169">
        <v>0</v>
      </c>
      <c r="M2169">
        <v>1.5909955982991858E-3</v>
      </c>
      <c r="N2169">
        <v>0.14031817333301724</v>
      </c>
      <c r="O2169">
        <v>2.0169614641027216E-2</v>
      </c>
      <c r="P2169">
        <v>2.8710593292192353E-2</v>
      </c>
      <c r="Q2169">
        <v>5.2233071738012546E-3</v>
      </c>
      <c r="R2169">
        <v>1.5697088279509302E-3</v>
      </c>
      <c r="S2169">
        <v>0.25424439235696422</v>
      </c>
      <c r="T2169">
        <v>1.4145493849199469</v>
      </c>
      <c r="U2169">
        <v>0.20495752454413102</v>
      </c>
      <c r="V2169">
        <v>0.24656411160448205</v>
      </c>
      <c r="W2169">
        <v>9.2749488717580597E-2</v>
      </c>
      <c r="X2169">
        <v>1.59521218617933E-2</v>
      </c>
      <c r="Y2169">
        <v>4.2722299753063658E-3</v>
      </c>
    </row>
    <row r="2170" spans="1:25">
      <c r="A2170" s="1010"/>
      <c r="B2170" s="1351">
        <v>1920</v>
      </c>
      <c r="C2170" s="1014">
        <v>1.0000454918201251</v>
      </c>
      <c r="D2170" s="1014">
        <v>0.98980088015787904</v>
      </c>
      <c r="E2170" s="1014">
        <v>0.96818834934777143</v>
      </c>
      <c r="F2170" s="1014">
        <v>0.99260736800035754</v>
      </c>
      <c r="G2170" s="1014">
        <v>0.97164744142200465</v>
      </c>
      <c r="H2170" s="1014">
        <v>0.95248160967063855</v>
      </c>
      <c r="I2170" s="1014">
        <v>1.0155855497563171</v>
      </c>
      <c r="K2170">
        <v>2.3775577551254803</v>
      </c>
      <c r="L2170">
        <v>0</v>
      </c>
      <c r="M2170">
        <v>1.6739018048204813E-3</v>
      </c>
      <c r="N2170">
        <v>0.13827185032263831</v>
      </c>
      <c r="O2170">
        <v>2.1010916317633601E-2</v>
      </c>
      <c r="P2170">
        <v>2.7616786572520216E-2</v>
      </c>
      <c r="Q2170">
        <v>5.3235907712638648E-3</v>
      </c>
      <c r="R2170">
        <v>1.6507043895632398E-3</v>
      </c>
      <c r="S2170">
        <v>0.25961773652740383</v>
      </c>
      <c r="T2170">
        <v>1.3608178782495102</v>
      </c>
      <c r="U2170">
        <v>0.21185528599193781</v>
      </c>
      <c r="V2170">
        <v>0.24079798532932697</v>
      </c>
      <c r="W2170">
        <v>9.259118876606573E-2</v>
      </c>
      <c r="X2170">
        <v>1.5185060498604037E-2</v>
      </c>
      <c r="Y2170">
        <v>4.4926731938353635E-3</v>
      </c>
    </row>
    <row r="2171" spans="1:25">
      <c r="A2171" s="1010"/>
      <c r="B2171" s="1351">
        <v>1921</v>
      </c>
      <c r="C2171" s="1014">
        <v>0.9948750287804331</v>
      </c>
      <c r="D2171" s="1014">
        <v>1.0203924641066702</v>
      </c>
      <c r="E2171" s="1014">
        <v>1.0141995270555006</v>
      </c>
      <c r="F2171" s="1014">
        <v>1.0098860279834445</v>
      </c>
      <c r="G2171" s="1014">
        <v>0.98470735623393202</v>
      </c>
      <c r="H2171" s="1014">
        <v>1.0215946687838351</v>
      </c>
      <c r="I2171" s="1014">
        <v>0.99714688550404462</v>
      </c>
      <c r="K2171">
        <v>2.4330988940193166</v>
      </c>
      <c r="L2171">
        <v>0</v>
      </c>
      <c r="M2171">
        <v>1.6296825928376628E-3</v>
      </c>
      <c r="N2171">
        <v>0.15485662387100985</v>
      </c>
      <c r="O2171">
        <v>2.1009667201187063E-2</v>
      </c>
      <c r="P2171">
        <v>2.8964455220313542E-2</v>
      </c>
      <c r="Q2171">
        <v>5.5765268942425386E-3</v>
      </c>
      <c r="R2171">
        <v>1.6086258774401542E-3</v>
      </c>
      <c r="S2171">
        <v>0.25855935766728982</v>
      </c>
      <c r="T2171">
        <v>1.3855092432477447</v>
      </c>
      <c r="U2171">
        <v>0.2131141796283709</v>
      </c>
      <c r="V2171">
        <v>0.24319159239650978</v>
      </c>
      <c r="W2171">
        <v>0.10088009253908645</v>
      </c>
      <c r="X2171">
        <v>1.7080062713942641E-2</v>
      </c>
      <c r="Y2171">
        <v>4.3781493550141175E-3</v>
      </c>
    </row>
    <row r="2172" spans="1:25">
      <c r="A2172" s="1010"/>
      <c r="B2172" s="1351">
        <v>1922</v>
      </c>
      <c r="C2172" s="1014">
        <v>0.99737485893083355</v>
      </c>
      <c r="D2172" s="1014">
        <v>0.97595859400503271</v>
      </c>
      <c r="E2172" s="1014">
        <v>0.99976358370551666</v>
      </c>
      <c r="F2172" s="1014">
        <v>0.99988642960762952</v>
      </c>
      <c r="G2172" s="1014">
        <v>0.97123482252351923</v>
      </c>
      <c r="H2172" s="1014">
        <v>1.0332552657603851</v>
      </c>
      <c r="I2172" s="1014">
        <v>0.98013118293292467</v>
      </c>
      <c r="K2172">
        <v>2.419003734576572</v>
      </c>
      <c r="L2172">
        <v>0</v>
      </c>
      <c r="M2172">
        <v>1.7108613054480463E-3</v>
      </c>
      <c r="N2172">
        <v>0.15565893700957592</v>
      </c>
      <c r="O2172">
        <v>2.1153621484498543E-2</v>
      </c>
      <c r="P2172">
        <v>2.8444750215615912E-2</v>
      </c>
      <c r="Q2172">
        <v>5.5341597531851318E-3</v>
      </c>
      <c r="R2172">
        <v>1.6890051689085778E-3</v>
      </c>
      <c r="S2172">
        <v>0.2600680457353679</v>
      </c>
      <c r="T2172">
        <v>1.371477709432106</v>
      </c>
      <c r="U2172">
        <v>0.21253049937361465</v>
      </c>
      <c r="V2172">
        <v>0.24078389366231603</v>
      </c>
      <c r="W2172">
        <v>0.10227171088438326</v>
      </c>
      <c r="X2172">
        <v>1.6505347873084799E-2</v>
      </c>
      <c r="Y2172">
        <v>4.596915289364855E-3</v>
      </c>
    </row>
    <row r="2173" spans="1:25">
      <c r="A2173" s="1010"/>
      <c r="B2173" s="1351">
        <v>1923</v>
      </c>
      <c r="C2173" s="1014">
        <v>0.98849138660951819</v>
      </c>
      <c r="D2173" s="1014">
        <v>1.0007179146037468</v>
      </c>
      <c r="E2173" s="1014">
        <v>1.0142668246401063</v>
      </c>
      <c r="F2173" s="1014">
        <v>1.0451965599584208</v>
      </c>
      <c r="G2173" s="1014">
        <v>0.9908088793369374</v>
      </c>
      <c r="H2173" s="1014">
        <v>1.0471252981897037</v>
      </c>
      <c r="I2173" s="1014">
        <v>0.96968330902300315</v>
      </c>
      <c r="K2173">
        <v>2.494275753532043</v>
      </c>
      <c r="L2173">
        <v>0</v>
      </c>
      <c r="M2173">
        <v>1.6881777361814751E-3</v>
      </c>
      <c r="N2173">
        <v>0.16049877473382868</v>
      </c>
      <c r="O2173">
        <v>2.123615883283797E-2</v>
      </c>
      <c r="P2173">
        <v>2.9660473914182622E-2</v>
      </c>
      <c r="Q2173">
        <v>5.6370221471568581E-3</v>
      </c>
      <c r="R2173">
        <v>1.666897044739568E-3</v>
      </c>
      <c r="S2173">
        <v>0.25765653209131972</v>
      </c>
      <c r="T2173">
        <v>1.4339549170834678</v>
      </c>
      <c r="U2173">
        <v>0.21449069663736764</v>
      </c>
      <c r="V2173">
        <v>0.24463801498537918</v>
      </c>
      <c r="W2173">
        <v>0.10455149071931578</v>
      </c>
      <c r="X2173">
        <v>1.7436208815307573E-2</v>
      </c>
      <c r="Y2173">
        <v>4.5367442633179843E-3</v>
      </c>
    </row>
    <row r="2174" spans="1:25">
      <c r="A2174" s="1010"/>
      <c r="B2174" s="1351">
        <v>1924</v>
      </c>
      <c r="C2174" s="1014">
        <v>1.0005289593214766</v>
      </c>
      <c r="D2174" s="1014">
        <v>0.99150798238465743</v>
      </c>
      <c r="E2174" s="1014">
        <v>0.97332827039332392</v>
      </c>
      <c r="F2174" s="1014">
        <v>0.98592490617326356</v>
      </c>
      <c r="G2174" s="1014">
        <v>1.0229781679045047</v>
      </c>
      <c r="H2174" s="1014">
        <v>0.98435097172073505</v>
      </c>
      <c r="I2174" s="1014">
        <v>1.0049424770487567</v>
      </c>
      <c r="K2174">
        <v>2.3857479234907291</v>
      </c>
      <c r="L2174">
        <v>0</v>
      </c>
      <c r="M2174">
        <v>1.7101722819006487E-3</v>
      </c>
      <c r="N2174">
        <v>0.14354887829523244</v>
      </c>
      <c r="O2174">
        <v>2.0996203212195721E-2</v>
      </c>
      <c r="P2174">
        <v>2.7716027424046361E-2</v>
      </c>
      <c r="Q2174">
        <v>5.3478718764198609E-3</v>
      </c>
      <c r="R2174">
        <v>1.6872395334523802E-3</v>
      </c>
      <c r="S2174">
        <v>0.25931616396849755</v>
      </c>
      <c r="T2174">
        <v>1.3517654732375115</v>
      </c>
      <c r="U2174">
        <v>0.21177039166145437</v>
      </c>
      <c r="V2174">
        <v>0.24952201093614379</v>
      </c>
      <c r="W2174">
        <v>9.5824793128503255E-2</v>
      </c>
      <c r="X2174">
        <v>1.5370932687476862E-2</v>
      </c>
      <c r="Y2174">
        <v>4.5921098116946573E-3</v>
      </c>
    </row>
    <row r="2175" spans="1:25">
      <c r="A2175" s="1010"/>
      <c r="B2175" s="1351">
        <v>1925</v>
      </c>
      <c r="C2175" s="1014">
        <v>0.99801437215028366</v>
      </c>
      <c r="D2175" s="1014">
        <v>1.0022397613730865</v>
      </c>
      <c r="E2175" s="1014">
        <v>0.95823889150033403</v>
      </c>
      <c r="F2175" s="1014">
        <v>1.0043491655739194</v>
      </c>
      <c r="G2175" s="1014">
        <v>1.0117347360877691</v>
      </c>
      <c r="H2175" s="1014">
        <v>0.98997629771430373</v>
      </c>
      <c r="I2175" s="1014">
        <v>0.99260486784378965</v>
      </c>
      <c r="K2175">
        <v>2.4042776098876963</v>
      </c>
      <c r="L2175">
        <v>0</v>
      </c>
      <c r="M2175">
        <v>1.7745922441278648E-3</v>
      </c>
      <c r="N2175">
        <v>0.14231262926168539</v>
      </c>
      <c r="O2175">
        <v>2.0989337638254359E-2</v>
      </c>
      <c r="P2175">
        <v>2.7662584074974836E-2</v>
      </c>
      <c r="Q2175">
        <v>5.2641134563015494E-3</v>
      </c>
      <c r="R2175">
        <v>1.7509308679178352E-3</v>
      </c>
      <c r="S2175">
        <v>0.25574587104640445</v>
      </c>
      <c r="T2175">
        <v>1.3767008752445289</v>
      </c>
      <c r="U2175">
        <v>0.21225257413837081</v>
      </c>
      <c r="V2175">
        <v>0.24781439543605813</v>
      </c>
      <c r="W2175">
        <v>9.5878991974967798E-2</v>
      </c>
      <c r="X2175">
        <v>1.49144423640906E-2</v>
      </c>
      <c r="Y2175">
        <v>4.7654566282668625E-3</v>
      </c>
    </row>
    <row r="2176" spans="1:25">
      <c r="A2176" s="1010"/>
      <c r="B2176" s="1351">
        <v>1926</v>
      </c>
      <c r="C2176" s="1014">
        <v>1.0265360936703021</v>
      </c>
      <c r="D2176" s="1014">
        <v>1.0419320993744472</v>
      </c>
      <c r="E2176" s="1014">
        <v>0.97728914171623726</v>
      </c>
      <c r="F2176" s="1014">
        <v>0.97917581317096258</v>
      </c>
      <c r="G2176" s="1014">
        <v>0.96889957399478299</v>
      </c>
      <c r="H2176" s="1014">
        <v>0.99913199970701694</v>
      </c>
      <c r="I2176" s="1014">
        <v>1.0119820591061506</v>
      </c>
      <c r="K2176">
        <v>2.3445300766894945</v>
      </c>
      <c r="L2176">
        <v>0</v>
      </c>
      <c r="M2176">
        <v>1.6598712116209602E-3</v>
      </c>
      <c r="N2176">
        <v>0.14103540201957965</v>
      </c>
      <c r="O2176">
        <v>2.0244680580560327E-2</v>
      </c>
      <c r="P2176">
        <v>2.7328528723261553E-2</v>
      </c>
      <c r="Q2176">
        <v>5.1773094134181024E-3</v>
      </c>
      <c r="R2176">
        <v>1.6379422664068294E-3</v>
      </c>
      <c r="S2176">
        <v>0.24953843543019902</v>
      </c>
      <c r="T2176">
        <v>1.3425954928600052</v>
      </c>
      <c r="U2176">
        <v>0.20641835784149307</v>
      </c>
      <c r="V2176">
        <v>0.23868669265572273</v>
      </c>
      <c r="W2176">
        <v>9.392120771601542E-2</v>
      </c>
      <c r="X2176">
        <v>1.5147959492816568E-2</v>
      </c>
      <c r="Y2176">
        <v>4.4579389016363834E-3</v>
      </c>
    </row>
    <row r="2177" spans="1:25">
      <c r="A2177" s="1010"/>
      <c r="B2177" s="1351">
        <v>1927</v>
      </c>
      <c r="C2177" s="1014">
        <v>0.99020657358964659</v>
      </c>
      <c r="D2177" s="1014">
        <v>0.96465935291682869</v>
      </c>
      <c r="E2177" s="1014">
        <v>0.99261926053288341</v>
      </c>
      <c r="F2177" s="1014">
        <v>1.0162361718274697</v>
      </c>
      <c r="G2177" s="1014">
        <v>0.99752310343417028</v>
      </c>
      <c r="H2177" s="1014">
        <v>1.0201404937080605</v>
      </c>
      <c r="I2177" s="1014">
        <v>0.98060492772842311</v>
      </c>
      <c r="K2177">
        <v>2.4484654525390788</v>
      </c>
      <c r="L2177">
        <v>0</v>
      </c>
      <c r="M2177">
        <v>1.7311895573733397E-3</v>
      </c>
      <c r="N2177">
        <v>0.1541185648978747</v>
      </c>
      <c r="O2177">
        <v>2.1356589149808095E-2</v>
      </c>
      <c r="P2177">
        <v>2.8715512718277162E-2</v>
      </c>
      <c r="Q2177">
        <v>5.5471953238925694E-3</v>
      </c>
      <c r="R2177">
        <v>1.7087894110507981E-3</v>
      </c>
      <c r="S2177">
        <v>0.26243982684794048</v>
      </c>
      <c r="T2177">
        <v>1.3937466562909859</v>
      </c>
      <c r="U2177">
        <v>0.21404439859345131</v>
      </c>
      <c r="V2177">
        <v>0.24575161404786255</v>
      </c>
      <c r="W2177">
        <v>0.10169183274162799</v>
      </c>
      <c r="X2177">
        <v>1.6424900599076767E-2</v>
      </c>
      <c r="Y2177">
        <v>4.6507614746023095E-3</v>
      </c>
    </row>
    <row r="2178" spans="1:25">
      <c r="A2178" s="1010"/>
      <c r="B2178" s="1351">
        <v>1928</v>
      </c>
      <c r="C2178" s="1014">
        <v>0.99394343055122425</v>
      </c>
      <c r="D2178" s="1014">
        <v>0.97364746928429646</v>
      </c>
      <c r="E2178" s="1014">
        <v>0.97331282510435568</v>
      </c>
      <c r="F2178" s="1014">
        <v>1.0236282124094542</v>
      </c>
      <c r="G2178" s="1014">
        <v>0.98799252629513157</v>
      </c>
      <c r="H2178" s="1014">
        <v>0.9810854597535017</v>
      </c>
      <c r="I2178" s="1014">
        <v>1.0179189139011087</v>
      </c>
      <c r="K2178">
        <v>2.4436123069976925</v>
      </c>
      <c r="L2178">
        <v>0</v>
      </c>
      <c r="M2178">
        <v>1.7227226508173727E-3</v>
      </c>
      <c r="N2178">
        <v>0.14458903210036952</v>
      </c>
      <c r="O2178">
        <v>2.1219997893661368E-2</v>
      </c>
      <c r="P2178">
        <v>2.8448233176111507E-2</v>
      </c>
      <c r="Q2178">
        <v>5.4047886982130783E-3</v>
      </c>
      <c r="R2178">
        <v>1.6995447156835535E-3</v>
      </c>
      <c r="S2178">
        <v>0.26655491533544667</v>
      </c>
      <c r="T2178">
        <v>1.4034587533359504</v>
      </c>
      <c r="U2178">
        <v>0.21317345686293868</v>
      </c>
      <c r="V2178">
        <v>0.24395602166260427</v>
      </c>
      <c r="W2178">
        <v>9.6520043612137049E-2</v>
      </c>
      <c r="X2178">
        <v>1.5684641794065222E-2</v>
      </c>
      <c r="Y2178">
        <v>4.6256004613256779E-3</v>
      </c>
    </row>
    <row r="2179" spans="1:25">
      <c r="A2179" s="1010"/>
      <c r="B2179" s="1351">
        <v>1929</v>
      </c>
      <c r="C2179" s="1014">
        <v>0.98112262274659479</v>
      </c>
      <c r="D2179" s="1014">
        <v>1.0052230864750329</v>
      </c>
      <c r="E2179" s="1014">
        <v>0.99468784231406926</v>
      </c>
      <c r="F2179" s="1014">
        <v>1.003232058358279</v>
      </c>
      <c r="G2179" s="1014">
        <v>0.98225977096566763</v>
      </c>
      <c r="H2179" s="1014">
        <v>1.0001381067761534</v>
      </c>
      <c r="I2179" s="1014">
        <v>0.99728932910788848</v>
      </c>
      <c r="K2179">
        <v>2.4253691271786666</v>
      </c>
      <c r="L2179">
        <v>0</v>
      </c>
      <c r="M2179">
        <v>1.6902463363752129E-3</v>
      </c>
      <c r="N2179">
        <v>0.15137770187748342</v>
      </c>
      <c r="O2179">
        <v>2.1361282939758079E-2</v>
      </c>
      <c r="P2179">
        <v>2.851398434951681E-2</v>
      </c>
      <c r="Q2179">
        <v>5.5600040069877024E-3</v>
      </c>
      <c r="R2179">
        <v>1.667938561820617E-3</v>
      </c>
      <c r="S2179">
        <v>0.26216518969105335</v>
      </c>
      <c r="T2179">
        <v>1.3759566132902814</v>
      </c>
      <c r="U2179">
        <v>0.21603337790936591</v>
      </c>
      <c r="V2179">
        <v>0.24372062386372231</v>
      </c>
      <c r="W2179">
        <v>9.9759990243486668E-2</v>
      </c>
      <c r="X2179">
        <v>1.640308785208652E-2</v>
      </c>
      <c r="Y2179">
        <v>4.5395789294765867E-3</v>
      </c>
    </row>
    <row r="2180" spans="1:25">
      <c r="A2180" s="1010"/>
      <c r="B2180" s="1351">
        <v>1930</v>
      </c>
      <c r="C2180" s="1014">
        <v>1.039344971727201</v>
      </c>
      <c r="D2180" s="1014">
        <v>1.0168875186267277</v>
      </c>
      <c r="E2180" s="1014">
        <v>0.99012041767281889</v>
      </c>
      <c r="F2180" s="1014">
        <v>1.0176128241635096</v>
      </c>
      <c r="G2180" s="1014">
        <v>0.95561248556656642</v>
      </c>
      <c r="H2180" s="1014">
        <v>1.0330856790587561</v>
      </c>
      <c r="I2180" s="1014">
        <v>1.0084447370907457</v>
      </c>
      <c r="K2180">
        <v>2.404018794736908</v>
      </c>
      <c r="L2180">
        <v>0</v>
      </c>
      <c r="M2180">
        <v>1.6595768689401423E-3</v>
      </c>
      <c r="N2180">
        <v>0.14665545886087869</v>
      </c>
      <c r="O2180">
        <v>2.0110641726347311E-2</v>
      </c>
      <c r="P2180">
        <v>2.8263697209050906E-2</v>
      </c>
      <c r="Q2180">
        <v>5.2104041475633314E-3</v>
      </c>
      <c r="R2180">
        <v>1.6383724073229485E-3</v>
      </c>
      <c r="S2180">
        <v>0.25148235046289369</v>
      </c>
      <c r="T2180">
        <v>1.3955798051940871</v>
      </c>
      <c r="U2180">
        <v>0.20391654969355968</v>
      </c>
      <c r="V2180">
        <v>0.23562291226711896</v>
      </c>
      <c r="W2180">
        <v>9.691227045229335E-2</v>
      </c>
      <c r="X2180">
        <v>1.5826799581314333E-2</v>
      </c>
      <c r="Y2180">
        <v>4.4591096034141443E-3</v>
      </c>
    </row>
    <row r="2181" spans="1:25">
      <c r="A2181" s="1010"/>
      <c r="B2181" s="1351">
        <v>1931</v>
      </c>
      <c r="C2181" s="1014">
        <v>0.96503293479630836</v>
      </c>
      <c r="D2181" s="1014">
        <v>0.9788400069730836</v>
      </c>
      <c r="E2181" s="1014">
        <v>1.0009529774667263</v>
      </c>
      <c r="F2181" s="1014">
        <v>1.0018289496915487</v>
      </c>
      <c r="G2181" s="1014">
        <v>1.0393195248975828</v>
      </c>
      <c r="H2181" s="1014">
        <v>1.02297564612882</v>
      </c>
      <c r="I2181" s="1014">
        <v>0.99599251288666657</v>
      </c>
      <c r="K2181">
        <v>2.4622203935656213</v>
      </c>
      <c r="L2181">
        <v>0</v>
      </c>
      <c r="M2181">
        <v>1.7451611887658379E-3</v>
      </c>
      <c r="N2181">
        <v>0.15933048756644</v>
      </c>
      <c r="O2181">
        <v>2.1849206889298263E-2</v>
      </c>
      <c r="P2181">
        <v>2.8952011713646725E-2</v>
      </c>
      <c r="Q2181">
        <v>5.7229738199818152E-3</v>
      </c>
      <c r="R2181">
        <v>1.7226428437056129E-3</v>
      </c>
      <c r="S2181">
        <v>0.27183423742594676</v>
      </c>
      <c r="T2181">
        <v>1.3741679084767473</v>
      </c>
      <c r="U2181">
        <v>0.21965741794111562</v>
      </c>
      <c r="V2181">
        <v>0.25450297837574154</v>
      </c>
      <c r="W2181">
        <v>0.10461005381330249</v>
      </c>
      <c r="X2181">
        <v>1.6927169936949787E-2</v>
      </c>
      <c r="Y2181">
        <v>4.6884659515058682E-3</v>
      </c>
    </row>
    <row r="2182" spans="1:25">
      <c r="A2182" s="1010"/>
      <c r="B2182" s="1351">
        <v>1932</v>
      </c>
      <c r="C2182" s="1014">
        <v>0.98167437886155562</v>
      </c>
      <c r="D2182" s="1014">
        <v>1.001949228932884</v>
      </c>
      <c r="E2182" s="1014">
        <v>1.0080920970476051</v>
      </c>
      <c r="F2182" s="1014">
        <v>0.98301234269086435</v>
      </c>
      <c r="G2182" s="1014">
        <v>1.0160869281188634</v>
      </c>
      <c r="H2182" s="1014">
        <v>1.0116583054716821</v>
      </c>
      <c r="I2182" s="1014">
        <v>0.9903246508306166</v>
      </c>
      <c r="K2182">
        <v>2.4089185883631345</v>
      </c>
      <c r="L2182">
        <v>0</v>
      </c>
      <c r="M2182">
        <v>1.663081208414653E-3</v>
      </c>
      <c r="N2182">
        <v>0.15512342677582</v>
      </c>
      <c r="O2182">
        <v>2.1373664311608025E-2</v>
      </c>
      <c r="P2182">
        <v>2.849400161731758E-2</v>
      </c>
      <c r="Q2182">
        <v>5.6386329038196877E-3</v>
      </c>
      <c r="R2182">
        <v>1.6413819034519872E-3</v>
      </c>
      <c r="S2182">
        <v>0.26171198585072686</v>
      </c>
      <c r="T2182">
        <v>1.3485098573958052</v>
      </c>
      <c r="U2182">
        <v>0.21595863924274811</v>
      </c>
      <c r="V2182">
        <v>0.24941370588535616</v>
      </c>
      <c r="W2182">
        <v>0.10141816222756111</v>
      </c>
      <c r="X2182">
        <v>1.6830910997532894E-2</v>
      </c>
      <c r="Y2182">
        <v>4.4673004597972545E-3</v>
      </c>
    </row>
    <row r="2183" spans="1:25">
      <c r="A2183" s="1010"/>
      <c r="B2183" s="1351">
        <v>1933</v>
      </c>
      <c r="C2183" s="1014">
        <v>0.9992428413120561</v>
      </c>
      <c r="D2183" s="1014">
        <v>1.0364733809992484</v>
      </c>
      <c r="E2183" s="1014">
        <v>1.0417571775756753</v>
      </c>
      <c r="F2183" s="1014">
        <v>0.99321951101707129</v>
      </c>
      <c r="G2183" s="1014">
        <v>0.99064162091805175</v>
      </c>
      <c r="H2183" s="1014">
        <v>0.99491631809931358</v>
      </c>
      <c r="I2183" s="1014">
        <v>1.0256215426792783</v>
      </c>
      <c r="K2183">
        <v>2.409619412920383</v>
      </c>
      <c r="L2183">
        <v>0</v>
      </c>
      <c r="M2183">
        <v>1.4869047252140256E-3</v>
      </c>
      <c r="N2183">
        <v>0.1534764031137254</v>
      </c>
      <c r="O2183">
        <v>2.086423254077463E-2</v>
      </c>
      <c r="P2183">
        <v>2.9264064582113891E-2</v>
      </c>
      <c r="Q2183">
        <v>5.6910602702466787E-3</v>
      </c>
      <c r="R2183">
        <v>1.4671776452046101E-3</v>
      </c>
      <c r="S2183">
        <v>0.26065366426435865</v>
      </c>
      <c r="T2183">
        <v>1.3632388823329784</v>
      </c>
      <c r="U2183">
        <v>0.21227729887773591</v>
      </c>
      <c r="V2183">
        <v>0.24383574449844039</v>
      </c>
      <c r="W2183">
        <v>9.8391794970764473E-2</v>
      </c>
      <c r="X2183">
        <v>1.7952820653986051E-2</v>
      </c>
      <c r="Y2183">
        <v>3.9931738952661928E-3</v>
      </c>
    </row>
    <row r="2184" spans="1:25">
      <c r="A2184" s="1010"/>
      <c r="B2184" s="1351">
        <v>1934</v>
      </c>
      <c r="C2184" s="1014">
        <v>1.0221881959351169</v>
      </c>
      <c r="D2184" s="1014">
        <v>1.0424016341060416</v>
      </c>
      <c r="E2184" s="1014">
        <v>1.0342162692980468</v>
      </c>
      <c r="F2184" s="1014">
        <v>1.0060098101444623</v>
      </c>
      <c r="G2184" s="1014">
        <v>0.97940509793837027</v>
      </c>
      <c r="H2184" s="1014">
        <v>0.99283940723037334</v>
      </c>
      <c r="I2184" s="1014">
        <v>1.0385717348468289</v>
      </c>
      <c r="K2184">
        <v>2.40630166578643</v>
      </c>
      <c r="L2184">
        <v>0</v>
      </c>
      <c r="M2184">
        <v>1.4716455977648246E-3</v>
      </c>
      <c r="N2184">
        <v>0.14848501108833079</v>
      </c>
      <c r="O2184">
        <v>2.036543259771878E-2</v>
      </c>
      <c r="P2184">
        <v>2.9185259214126437E-2</v>
      </c>
      <c r="Q2184">
        <v>5.5139218265496158E-3</v>
      </c>
      <c r="R2184">
        <v>1.4520801204448304E-3</v>
      </c>
      <c r="S2184">
        <v>0.2570510542212327</v>
      </c>
      <c r="T2184">
        <v>1.3806288714151362</v>
      </c>
      <c r="U2184">
        <v>0.20748688888198796</v>
      </c>
      <c r="V2184">
        <v>0.24054190336453082</v>
      </c>
      <c r="W2184">
        <v>9.5606862646876095E-2</v>
      </c>
      <c r="X2184">
        <v>1.7503942597490142E-2</v>
      </c>
      <c r="Y2184">
        <v>3.9520834097677704E-3</v>
      </c>
    </row>
    <row r="2185" spans="1:25">
      <c r="A2185" s="1010"/>
      <c r="B2185" s="1351">
        <v>1935</v>
      </c>
      <c r="C2185" s="1014">
        <v>0.99734021123535055</v>
      </c>
      <c r="D2185" s="1014">
        <v>1.0294723534359567</v>
      </c>
      <c r="E2185" s="1014">
        <v>0.99860047221938564</v>
      </c>
      <c r="F2185" s="1014">
        <v>1.0321433626384764</v>
      </c>
      <c r="G2185" s="1014">
        <v>0.97376499040954112</v>
      </c>
      <c r="H2185" s="1014">
        <v>1.0030347442081491</v>
      </c>
      <c r="I2185" s="1014">
        <v>1.0284215452948773</v>
      </c>
      <c r="K2185">
        <v>2.4561351953894182</v>
      </c>
      <c r="L2185">
        <v>0</v>
      </c>
      <c r="M2185">
        <v>1.6454533837223517E-3</v>
      </c>
      <c r="N2185">
        <v>0.14912459517542276</v>
      </c>
      <c r="O2185">
        <v>2.090660518163039E-2</v>
      </c>
      <c r="P2185">
        <v>2.9070161742251719E-2</v>
      </c>
      <c r="Q2185">
        <v>5.4631421554585287E-3</v>
      </c>
      <c r="R2185">
        <v>1.623799498789383E-3</v>
      </c>
      <c r="S2185">
        <v>0.26309590366886365</v>
      </c>
      <c r="T2185">
        <v>1.4156964385248481</v>
      </c>
      <c r="U2185">
        <v>0.21253389682505516</v>
      </c>
      <c r="V2185">
        <v>0.24122217122614009</v>
      </c>
      <c r="W2185">
        <v>9.8046287964498352E-2</v>
      </c>
      <c r="X2185">
        <v>1.6578199859835399E-2</v>
      </c>
      <c r="Y2185">
        <v>4.4194469503437868E-3</v>
      </c>
    </row>
    <row r="2186" spans="1:25">
      <c r="A2186" s="1010"/>
      <c r="B2186" s="1351">
        <v>1936</v>
      </c>
      <c r="C2186" s="1014">
        <v>0.99288353383008487</v>
      </c>
      <c r="D2186" s="1014">
        <v>0.98831877358966358</v>
      </c>
      <c r="E2186" s="1014">
        <v>0.96864895717454491</v>
      </c>
      <c r="F2186" s="1014">
        <v>1.0290902980028023</v>
      </c>
      <c r="G2186" s="1014">
        <v>1.0219711802845128</v>
      </c>
      <c r="H2186" s="1014">
        <v>0.98835090911786549</v>
      </c>
      <c r="I2186" s="1014">
        <v>0.96506779223614225</v>
      </c>
      <c r="K2186">
        <v>2.4423210249079812</v>
      </c>
      <c r="L2186">
        <v>0</v>
      </c>
      <c r="M2186">
        <v>1.7483818865619955E-3</v>
      </c>
      <c r="N2186">
        <v>0.14469959066180865</v>
      </c>
      <c r="O2186">
        <v>2.1169759054360148E-2</v>
      </c>
      <c r="P2186">
        <v>2.8327904486940916E-2</v>
      </c>
      <c r="Q2186">
        <v>5.3663651638724726E-3</v>
      </c>
      <c r="R2186">
        <v>1.7250316464491589E-3</v>
      </c>
      <c r="S2186">
        <v>0.25164607962088348</v>
      </c>
      <c r="T2186">
        <v>1.4108444386049261</v>
      </c>
      <c r="U2186">
        <v>0.21338503743118992</v>
      </c>
      <c r="V2186">
        <v>0.24984764470616042</v>
      </c>
      <c r="W2186">
        <v>9.6868212171638574E-2</v>
      </c>
      <c r="X2186">
        <v>1.5494375761207655E-2</v>
      </c>
      <c r="Y2186">
        <v>4.6949674851051882E-3</v>
      </c>
    </row>
    <row r="2187" spans="1:25">
      <c r="A2187" s="1010"/>
      <c r="B2187" s="1351">
        <v>1937</v>
      </c>
      <c r="C2187" s="1014">
        <v>1.0075838767181229</v>
      </c>
      <c r="D2187" s="1014">
        <v>1.0137278232945497</v>
      </c>
      <c r="E2187" s="1014">
        <v>0.99032405719143879</v>
      </c>
      <c r="F2187" s="1014">
        <v>1.0215545835701449</v>
      </c>
      <c r="G2187" s="1014">
        <v>1.0029573899980018</v>
      </c>
      <c r="H2187" s="1014">
        <v>1.0019122821697766</v>
      </c>
      <c r="I2187" s="1014">
        <v>0.98156294525614629</v>
      </c>
      <c r="K2187">
        <v>2.4262428670172271</v>
      </c>
      <c r="L2187">
        <v>0</v>
      </c>
      <c r="M2187">
        <v>1.6606702775769206E-3</v>
      </c>
      <c r="N2187">
        <v>0.14678333103682406</v>
      </c>
      <c r="O2187">
        <v>2.0758911316348373E-2</v>
      </c>
      <c r="P2187">
        <v>2.8547693529069749E-2</v>
      </c>
      <c r="Q2187">
        <v>5.3794693318848837E-3</v>
      </c>
      <c r="R2187">
        <v>1.6387916573058039E-3</v>
      </c>
      <c r="S2187">
        <v>0.25031137101500139</v>
      </c>
      <c r="T2187">
        <v>1.4009901234654347</v>
      </c>
      <c r="U2187">
        <v>0.21034510424488126</v>
      </c>
      <c r="V2187">
        <v>0.24560158464501849</v>
      </c>
      <c r="W2187">
        <v>9.6984940356218893E-2</v>
      </c>
      <c r="X2187">
        <v>1.6101966033154617E-2</v>
      </c>
      <c r="Y2187">
        <v>4.4602506636617573E-3</v>
      </c>
    </row>
    <row r="2188" spans="1:25">
      <c r="A2188" s="1010"/>
      <c r="B2188" s="1351">
        <v>1938</v>
      </c>
      <c r="C2188" s="1014">
        <v>0.95535549816495224</v>
      </c>
      <c r="D2188" s="1014">
        <v>0.98639724197249889</v>
      </c>
      <c r="E2188" s="1014">
        <v>1.002472207104494</v>
      </c>
      <c r="F2188" s="1014">
        <v>0.99282959087109668</v>
      </c>
      <c r="G2188" s="1014">
        <v>0.99777418387927586</v>
      </c>
      <c r="H2188" s="1014">
        <v>1.0327842039137181</v>
      </c>
      <c r="I2188" s="1014">
        <v>0.99110308814878478</v>
      </c>
      <c r="K2188">
        <v>2.4522241381332779</v>
      </c>
      <c r="L2188">
        <v>0</v>
      </c>
      <c r="M2188">
        <v>1.7711410936121909E-3</v>
      </c>
      <c r="N2188">
        <v>0.16246639277413946</v>
      </c>
      <c r="O2188">
        <v>2.203427905657903E-2</v>
      </c>
      <c r="P2188">
        <v>2.8775781272629457E-2</v>
      </c>
      <c r="Q2188">
        <v>5.7802618087170786E-3</v>
      </c>
      <c r="R2188">
        <v>1.748504566879059E-3</v>
      </c>
      <c r="S2188">
        <v>0.27307050524505438</v>
      </c>
      <c r="T2188">
        <v>1.3618564889891955</v>
      </c>
      <c r="U2188">
        <v>0.2218879124737318</v>
      </c>
      <c r="V2188">
        <v>0.24805801726458809</v>
      </c>
      <c r="W2188">
        <v>0.10657282135931621</v>
      </c>
      <c r="X2188">
        <v>1.6985461379391324E-2</v>
      </c>
      <c r="Y2188">
        <v>4.7588530366692366E-3</v>
      </c>
    </row>
    <row r="2189" spans="1:25">
      <c r="A2189" s="1010"/>
      <c r="B2189" s="1351">
        <v>1939</v>
      </c>
      <c r="C2189" s="1014">
        <v>0.99935841294042382</v>
      </c>
      <c r="D2189" s="1014">
        <v>1.0353307732710655</v>
      </c>
      <c r="E2189" s="1014">
        <v>1.0357364644307407</v>
      </c>
      <c r="F2189" s="1014">
        <v>1.0063727833828224</v>
      </c>
      <c r="G2189" s="1014">
        <v>1.0208160854423072</v>
      </c>
      <c r="H2189" s="1014">
        <v>1.0160040837596345</v>
      </c>
      <c r="I2189" s="1014">
        <v>0.99602044064122885</v>
      </c>
      <c r="K2189">
        <v>2.4314427409223267</v>
      </c>
      <c r="L2189">
        <v>0</v>
      </c>
      <c r="M2189">
        <v>1.5378105327430935E-3</v>
      </c>
      <c r="N2189">
        <v>0.15592119032943061</v>
      </c>
      <c r="O2189">
        <v>2.0862891782470024E-2</v>
      </c>
      <c r="P2189">
        <v>2.9380475295592061E-2</v>
      </c>
      <c r="Q2189">
        <v>5.6570815494563949E-3</v>
      </c>
      <c r="R2189">
        <v>1.5178315396856515E-3</v>
      </c>
      <c r="S2189">
        <v>0.25496802634454901</v>
      </c>
      <c r="T2189">
        <v>1.3811603214697319</v>
      </c>
      <c r="U2189">
        <v>0.21223203756005041</v>
      </c>
      <c r="V2189">
        <v>0.24899679032969674</v>
      </c>
      <c r="W2189">
        <v>0.1003066782033781</v>
      </c>
      <c r="X2189">
        <v>1.7846189953036985E-2</v>
      </c>
      <c r="Y2189">
        <v>4.1310370979917594E-3</v>
      </c>
    </row>
    <row r="2190" spans="1:25">
      <c r="A2190" s="1010"/>
      <c r="B2190" s="1351">
        <v>1940</v>
      </c>
      <c r="C2190" s="1014">
        <v>1.0107641214202692</v>
      </c>
      <c r="D2190" s="1014">
        <v>0.99021936048863657</v>
      </c>
      <c r="E2190" s="1014">
        <v>1.0127550791950222</v>
      </c>
      <c r="F2190" s="1014">
        <v>0.99639903648593553</v>
      </c>
      <c r="G2190" s="1014">
        <v>0.95618483576546098</v>
      </c>
      <c r="H2190" s="1014">
        <v>0.9975242715050936</v>
      </c>
      <c r="I2190" s="1014">
        <v>1.022631541134482</v>
      </c>
      <c r="K2190">
        <v>2.3999839571496611</v>
      </c>
      <c r="L2190">
        <v>0</v>
      </c>
      <c r="M2190">
        <v>1.5813879273496431E-3</v>
      </c>
      <c r="N2190">
        <v>0.1495665923727674</v>
      </c>
      <c r="O2190">
        <v>2.0815454421295999E-2</v>
      </c>
      <c r="P2190">
        <v>2.8610559307353126E-2</v>
      </c>
      <c r="Q2190">
        <v>5.5170209993314874E-3</v>
      </c>
      <c r="R2190">
        <v>1.5604621709291173E-3</v>
      </c>
      <c r="S2190">
        <v>0.26284212206085544</v>
      </c>
      <c r="T2190">
        <v>1.3669746056459642</v>
      </c>
      <c r="U2190">
        <v>0.20975915487105251</v>
      </c>
      <c r="V2190">
        <v>0.23734141677500747</v>
      </c>
      <c r="W2190">
        <v>9.7516742566894993E-2</v>
      </c>
      <c r="X2190">
        <v>1.6814150262505489E-2</v>
      </c>
      <c r="Y2190">
        <v>4.2470636230526604E-3</v>
      </c>
    </row>
    <row r="2191" spans="1:25">
      <c r="A2191" s="1010"/>
      <c r="B2191" s="1351">
        <v>1941</v>
      </c>
      <c r="C2191" s="1014">
        <v>1.032959970480279</v>
      </c>
      <c r="D2191" s="1014">
        <v>0.9934041095094257</v>
      </c>
      <c r="E2191" s="1014">
        <v>1.0003037485309731</v>
      </c>
      <c r="F2191" s="1014">
        <v>1.0082688070018595</v>
      </c>
      <c r="G2191" s="1014">
        <v>1.0335054919004751</v>
      </c>
      <c r="H2191" s="1014">
        <v>1.0017289605740438</v>
      </c>
      <c r="I2191" s="1014">
        <v>0.96776143656532188</v>
      </c>
      <c r="K2191">
        <v>2.3957520079752781</v>
      </c>
      <c r="L2191">
        <v>0</v>
      </c>
      <c r="M2191">
        <v>1.5935030998593923E-3</v>
      </c>
      <c r="N2191">
        <v>0.1451590147606408</v>
      </c>
      <c r="O2191">
        <v>2.0345776509705347E-2</v>
      </c>
      <c r="P2191">
        <v>2.8399329358131036E-2</v>
      </c>
      <c r="Q2191">
        <v>5.3257041056902436E-3</v>
      </c>
      <c r="R2191">
        <v>1.5725055364525285E-3</v>
      </c>
      <c r="S2191">
        <v>0.24324205266605492</v>
      </c>
      <c r="T2191">
        <v>1.3829870384809841</v>
      </c>
      <c r="U2191">
        <v>0.2052106851267525</v>
      </c>
      <c r="V2191">
        <v>0.24926086233408473</v>
      </c>
      <c r="W2191">
        <v>9.5342393122483313E-2</v>
      </c>
      <c r="X2191">
        <v>1.6220307380243736E-2</v>
      </c>
      <c r="Y2191">
        <v>4.2798416939130073E-3</v>
      </c>
    </row>
    <row r="2192" spans="1:25">
      <c r="A2192" s="1010"/>
      <c r="B2192" s="1351">
        <v>1942</v>
      </c>
      <c r="C2192" s="1014">
        <v>1.0413663881386257</v>
      </c>
      <c r="D2192" s="1014">
        <v>0.98058594486436246</v>
      </c>
      <c r="E2192" s="1014">
        <v>1.0270689569455582</v>
      </c>
      <c r="F2192" s="1014">
        <v>0.97255517172030403</v>
      </c>
      <c r="G2192" s="1014">
        <v>1.0262332309246407</v>
      </c>
      <c r="H2192" s="1014">
        <v>0.98611585827318837</v>
      </c>
      <c r="I2192" s="1014">
        <v>1.0186574291010115</v>
      </c>
      <c r="K2192">
        <v>2.3551576893140687</v>
      </c>
      <c r="L2192">
        <v>0</v>
      </c>
      <c r="M2192">
        <v>1.4760093127528554E-3</v>
      </c>
      <c r="N2192">
        <v>0.14573761845952554</v>
      </c>
      <c r="O2192">
        <v>2.0256448002062628E-2</v>
      </c>
      <c r="P2192">
        <v>2.8400512581026244E-2</v>
      </c>
      <c r="Q2192">
        <v>5.4458088326901875E-3</v>
      </c>
      <c r="R2192">
        <v>1.4562520228198336E-3</v>
      </c>
      <c r="S2192">
        <v>0.25454087617173837</v>
      </c>
      <c r="T2192">
        <v>1.3345651207705571</v>
      </c>
      <c r="U2192">
        <v>0.20364216390564441</v>
      </c>
      <c r="V2192">
        <v>0.247432433422001</v>
      </c>
      <c r="W2192">
        <v>9.4227795986103355E-2</v>
      </c>
      <c r="X2192">
        <v>1.6965230519884505E-2</v>
      </c>
      <c r="Y2192">
        <v>3.9634379527652818E-3</v>
      </c>
    </row>
    <row r="2193" spans="1:25">
      <c r="A2193" s="1010"/>
      <c r="B2193" s="1351">
        <v>1943</v>
      </c>
      <c r="C2193" s="1014">
        <v>1.0071215927244335</v>
      </c>
      <c r="D2193" s="1014">
        <v>1.0035125184335587</v>
      </c>
      <c r="E2193" s="1014">
        <v>1.0084440528564111</v>
      </c>
      <c r="F2193" s="1014">
        <v>0.99442909686137271</v>
      </c>
      <c r="G2193" s="1014">
        <v>1.0279032903298204</v>
      </c>
      <c r="H2193" s="1014">
        <v>1.0121962835934137</v>
      </c>
      <c r="I2193" s="1014">
        <v>1.0206689159122242</v>
      </c>
      <c r="K2193">
        <v>2.4134753029856704</v>
      </c>
      <c r="L2193">
        <v>0</v>
      </c>
      <c r="M2193">
        <v>1.6201807485044946E-3</v>
      </c>
      <c r="N2193">
        <v>0.15128364249085413</v>
      </c>
      <c r="O2193">
        <v>2.0826697768551495E-2</v>
      </c>
      <c r="P2193">
        <v>2.8661685003161963E-2</v>
      </c>
      <c r="Q2193">
        <v>5.4962717246730816E-3</v>
      </c>
      <c r="R2193">
        <v>1.5990524294016888E-3</v>
      </c>
      <c r="S2193">
        <v>0.26276032846563813</v>
      </c>
      <c r="T2193">
        <v>1.3641791001328794</v>
      </c>
      <c r="U2193">
        <v>0.21050314994669472</v>
      </c>
      <c r="V2193">
        <v>0.24982368272381303</v>
      </c>
      <c r="W2193">
        <v>9.8887196031200483E-2</v>
      </c>
      <c r="X2193">
        <v>1.672258343196914E-2</v>
      </c>
      <c r="Y2193">
        <v>4.3520935853397129E-3</v>
      </c>
    </row>
    <row r="2194" spans="1:25">
      <c r="A2194" s="1010"/>
      <c r="B2194" s="1351">
        <v>1944</v>
      </c>
      <c r="C2194" s="1014">
        <v>0.9880625864575977</v>
      </c>
      <c r="D2194" s="1014">
        <v>1.0100042825764506</v>
      </c>
      <c r="E2194" s="1014">
        <v>0.9573597145536934</v>
      </c>
      <c r="F2194" s="1014">
        <v>1.0118787894965151</v>
      </c>
      <c r="G2194" s="1014">
        <v>1.0331489076522651</v>
      </c>
      <c r="H2194" s="1014">
        <v>0.99231003471934609</v>
      </c>
      <c r="I2194" s="1014">
        <v>0.95560754962885264</v>
      </c>
      <c r="K2194">
        <v>2.4160179744861887</v>
      </c>
      <c r="L2194">
        <v>0</v>
      </c>
      <c r="M2194">
        <v>1.7968955953863923E-3</v>
      </c>
      <c r="N2194">
        <v>0.14372236578561717</v>
      </c>
      <c r="O2194">
        <v>2.1164193242332281E-2</v>
      </c>
      <c r="P2194">
        <v>2.7761337627294828E-2</v>
      </c>
      <c r="Q2194">
        <v>5.3031670161606485E-3</v>
      </c>
      <c r="R2194">
        <v>1.7729931860611073E-3</v>
      </c>
      <c r="S2194">
        <v>0.24791820065792458</v>
      </c>
      <c r="T2194">
        <v>1.3870029575126077</v>
      </c>
      <c r="U2194">
        <v>0.21438736588704843</v>
      </c>
      <c r="V2194">
        <v>0.25210834649348218</v>
      </c>
      <c r="W2194">
        <v>9.6881092866538454E-2</v>
      </c>
      <c r="X2194">
        <v>1.4967346821095873E-2</v>
      </c>
      <c r="Y2194">
        <v>4.825502985411627E-3</v>
      </c>
    </row>
    <row r="2195" spans="1:25">
      <c r="A2195" s="1010"/>
      <c r="B2195" s="1351">
        <v>1945</v>
      </c>
      <c r="C2195" s="1014">
        <v>0.98877735584624482</v>
      </c>
      <c r="D2195" s="1014">
        <v>1.0446693256165804</v>
      </c>
      <c r="E2195" s="1014">
        <v>1.000426826829788</v>
      </c>
      <c r="F2195" s="1014">
        <v>0.96387353057462843</v>
      </c>
      <c r="G2195" s="1014">
        <v>1.0380252521427218</v>
      </c>
      <c r="H2195" s="1014">
        <v>1.0328831951666575</v>
      </c>
      <c r="I2195" s="1014">
        <v>0.99544843366746349</v>
      </c>
      <c r="K2195">
        <v>2.3784053692500779</v>
      </c>
      <c r="L2195">
        <v>0</v>
      </c>
      <c r="M2195">
        <v>1.6971504984436558E-3</v>
      </c>
      <c r="N2195">
        <v>0.15472048613162961</v>
      </c>
      <c r="O2195">
        <v>2.1020996707593328E-2</v>
      </c>
      <c r="P2195">
        <v>2.7938666976717243E-2</v>
      </c>
      <c r="Q2195">
        <v>5.5031301779724928E-3</v>
      </c>
      <c r="R2195">
        <v>1.6754617064920886E-3</v>
      </c>
      <c r="S2195">
        <v>0.25755286189359039</v>
      </c>
      <c r="T2195">
        <v>1.3220950380228573</v>
      </c>
      <c r="U2195">
        <v>0.21438076300184275</v>
      </c>
      <c r="V2195">
        <v>0.25273130022914853</v>
      </c>
      <c r="W2195">
        <v>0.10161506473815626</v>
      </c>
      <c r="X2195">
        <v>1.6308695713253264E-2</v>
      </c>
      <c r="Y2195">
        <v>4.5600544492683586E-3</v>
      </c>
    </row>
    <row r="2196" spans="1:25">
      <c r="A2196" s="1010"/>
      <c r="B2196" s="1351">
        <v>1946</v>
      </c>
      <c r="C2196" s="1014">
        <v>1.0060748194456819</v>
      </c>
      <c r="D2196" s="1014">
        <v>0.99429584832301987</v>
      </c>
      <c r="E2196" s="1014">
        <v>0.96237309076739264</v>
      </c>
      <c r="F2196" s="1014">
        <v>0.98894211997887627</v>
      </c>
      <c r="G2196" s="1014">
        <v>0.97967344194772688</v>
      </c>
      <c r="H2196" s="1014">
        <v>1.0287344651438959</v>
      </c>
      <c r="I2196" s="1014">
        <v>1.0151472112782012</v>
      </c>
      <c r="K2196">
        <v>2.3921239933259053</v>
      </c>
      <c r="L2196">
        <v>0</v>
      </c>
      <c r="M2196">
        <v>1.8169505380501159E-3</v>
      </c>
      <c r="N2196">
        <v>0.14762141307705406</v>
      </c>
      <c r="O2196">
        <v>2.0860372148204697E-2</v>
      </c>
      <c r="P2196">
        <v>2.7477899374171277E-2</v>
      </c>
      <c r="Q2196">
        <v>5.2540429829884298E-3</v>
      </c>
      <c r="R2196">
        <v>1.7936371156054439E-3</v>
      </c>
      <c r="S2196">
        <v>0.26385772769877508</v>
      </c>
      <c r="T2196">
        <v>1.355669518713444</v>
      </c>
      <c r="U2196">
        <v>0.21056600827969008</v>
      </c>
      <c r="V2196">
        <v>0.2418171628671883</v>
      </c>
      <c r="W2196">
        <v>9.9203762600671458E-2</v>
      </c>
      <c r="X2196">
        <v>1.4937710049802707E-2</v>
      </c>
      <c r="Y2196">
        <v>4.881688956361767E-3</v>
      </c>
    </row>
    <row r="2197" spans="1:25">
      <c r="A2197" s="1010"/>
      <c r="B2197" s="1351">
        <v>1947</v>
      </c>
      <c r="C2197" s="1014">
        <v>1.0355676985482578</v>
      </c>
      <c r="D2197" s="1014">
        <v>0.98773528749989392</v>
      </c>
      <c r="E2197" s="1014">
        <v>1.035939698154583</v>
      </c>
      <c r="F2197" s="1014">
        <v>1.0120906169364283</v>
      </c>
      <c r="G2197" s="1014">
        <v>1.0428614071496818</v>
      </c>
      <c r="H2197" s="1014">
        <v>1.0024659546590886</v>
      </c>
      <c r="I2197" s="1014">
        <v>1.0111674131315349</v>
      </c>
      <c r="K2197">
        <v>2.4223555615586005</v>
      </c>
      <c r="L2197">
        <v>0</v>
      </c>
      <c r="M2197">
        <v>1.4788774562169776E-3</v>
      </c>
      <c r="N2197">
        <v>0.15001105089941849</v>
      </c>
      <c r="O2197">
        <v>2.0343073472185443E-2</v>
      </c>
      <c r="P2197">
        <v>2.9407585244425796E-2</v>
      </c>
      <c r="Q2197">
        <v>5.5172350696388308E-3</v>
      </c>
      <c r="R2197">
        <v>1.4594046395591154E-3</v>
      </c>
      <c r="S2197">
        <v>0.2545898592652534</v>
      </c>
      <c r="T2197">
        <v>1.389012037089659</v>
      </c>
      <c r="U2197">
        <v>0.20481188333093089</v>
      </c>
      <c r="V2197">
        <v>0.25057272201082353</v>
      </c>
      <c r="W2197">
        <v>9.6493255654150234E-2</v>
      </c>
      <c r="X2197">
        <v>1.764431400250276E-2</v>
      </c>
      <c r="Y2197">
        <v>3.9720183362697784E-3</v>
      </c>
    </row>
    <row r="2198" spans="1:25">
      <c r="A2198" s="1010"/>
      <c r="B2198" s="1351">
        <v>1948</v>
      </c>
      <c r="C2198" s="1014">
        <v>1.0044106244934863</v>
      </c>
      <c r="D2198" s="1014">
        <v>0.98041617763359301</v>
      </c>
      <c r="E2198" s="1014">
        <v>0.99412518588216825</v>
      </c>
      <c r="F2198" s="1014">
        <v>0.99195099996754643</v>
      </c>
      <c r="G2198" s="1014">
        <v>1.0003107252822985</v>
      </c>
      <c r="H2198" s="1014">
        <v>0.98517643192120985</v>
      </c>
      <c r="I2198" s="1014">
        <v>1.0097782760730634</v>
      </c>
      <c r="K2198">
        <v>2.3961375782350505</v>
      </c>
      <c r="L2198">
        <v>0</v>
      </c>
      <c r="M2198">
        <v>1.6372307913976258E-3</v>
      </c>
      <c r="N2198">
        <v>0.14635077419966813</v>
      </c>
      <c r="O2198">
        <v>2.0980654816646079E-2</v>
      </c>
      <c r="P2198">
        <v>2.8233287900103026E-2</v>
      </c>
      <c r="Q2198">
        <v>5.4578352806728481E-3</v>
      </c>
      <c r="R2198">
        <v>1.6152945554671963E-3</v>
      </c>
      <c r="S2198">
        <v>0.26127536937845902</v>
      </c>
      <c r="T2198">
        <v>1.3604723159243801</v>
      </c>
      <c r="U2198">
        <v>0.21102257141932887</v>
      </c>
      <c r="V2198">
        <v>0.24533134256047595</v>
      </c>
      <c r="W2198">
        <v>9.6479577050548021E-2</v>
      </c>
      <c r="X2198">
        <v>1.6159486642421842E-2</v>
      </c>
      <c r="Y2198">
        <v>4.3962992982746075E-3</v>
      </c>
    </row>
    <row r="2199" spans="1:25">
      <c r="A2199" s="1010"/>
      <c r="B2199" s="1351">
        <v>1949</v>
      </c>
      <c r="C2199" s="1014">
        <v>0.99195945791409501</v>
      </c>
      <c r="D2199" s="1014">
        <v>1.0174867791583124</v>
      </c>
      <c r="E2199" s="1014">
        <v>1.0079877195285867</v>
      </c>
      <c r="F2199" s="1014">
        <v>0.97638718535693514</v>
      </c>
      <c r="G2199" s="1014">
        <v>1.0343541366277302</v>
      </c>
      <c r="H2199" s="1014">
        <v>1.0200046966278205</v>
      </c>
      <c r="I2199" s="1014">
        <v>0.99102369571530047</v>
      </c>
      <c r="K2199">
        <v>2.3941016295382793</v>
      </c>
      <c r="L2199">
        <v>0</v>
      </c>
      <c r="M2199">
        <v>1.6541663556450717E-3</v>
      </c>
      <c r="N2199">
        <v>0.15425996280554083</v>
      </c>
      <c r="O2199">
        <v>2.1080495257182408E-2</v>
      </c>
      <c r="P2199">
        <v>2.8317775209648961E-2</v>
      </c>
      <c r="Q2199">
        <v>5.5607104753975243E-3</v>
      </c>
      <c r="R2199">
        <v>1.6327599756608346E-3</v>
      </c>
      <c r="S2199">
        <v>0.25790660611429622</v>
      </c>
      <c r="T2199">
        <v>1.3394191676702483</v>
      </c>
      <c r="U2199">
        <v>0.21371912341315008</v>
      </c>
      <c r="V2199">
        <v>0.25187380926968178</v>
      </c>
      <c r="W2199">
        <v>0.10085985524442975</v>
      </c>
      <c r="X2199">
        <v>1.6681696044119489E-2</v>
      </c>
      <c r="Y2199">
        <v>4.4438344145674704E-3</v>
      </c>
    </row>
    <row r="2200" spans="1:25">
      <c r="A2200" s="1010"/>
      <c r="B2200" s="1351">
        <v>1950</v>
      </c>
      <c r="C2200" s="1014">
        <v>1.0120518181828315</v>
      </c>
      <c r="D2200" s="1014">
        <v>0.98119133531011926</v>
      </c>
      <c r="E2200" s="1014">
        <v>1.0097855591755414</v>
      </c>
      <c r="F2200" s="1014">
        <v>0.99111161006485715</v>
      </c>
      <c r="G2200" s="1014">
        <v>0.97447435100301638</v>
      </c>
      <c r="H2200" s="1014">
        <v>0.99550635621537709</v>
      </c>
      <c r="I2200" s="1014">
        <v>1.0385766016370248</v>
      </c>
      <c r="K2200">
        <v>2.3992412385118635</v>
      </c>
      <c r="L2200">
        <v>0</v>
      </c>
      <c r="M2200">
        <v>1.5891354480139109E-3</v>
      </c>
      <c r="N2200">
        <v>0.14895401501427874</v>
      </c>
      <c r="O2200">
        <v>2.0828942372964617E-2</v>
      </c>
      <c r="P2200">
        <v>2.8551320368873576E-2</v>
      </c>
      <c r="Q2200">
        <v>5.5042440542742892E-3</v>
      </c>
      <c r="R2200">
        <v>1.5680645475071536E-3</v>
      </c>
      <c r="S2200">
        <v>0.26762940755453851</v>
      </c>
      <c r="T2200">
        <v>1.3596569096228233</v>
      </c>
      <c r="U2200">
        <v>0.20948221809791304</v>
      </c>
      <c r="V2200">
        <v>0.24039525891542393</v>
      </c>
      <c r="W2200">
        <v>9.7287381340184276E-2</v>
      </c>
      <c r="X2200">
        <v>1.6704857285119602E-2</v>
      </c>
      <c r="Y2200">
        <v>4.2677547859753112E-3</v>
      </c>
    </row>
    <row r="2201" spans="1:25">
      <c r="A2201" s="1010"/>
      <c r="B2201" s="1351">
        <v>1951</v>
      </c>
      <c r="C2201" s="1014">
        <v>0.97218192100631962</v>
      </c>
      <c r="D2201" s="1014">
        <v>1.0055194707829147</v>
      </c>
      <c r="E2201" s="1014">
        <v>1.0161896543840065</v>
      </c>
      <c r="F2201" s="1014">
        <v>0.96064447087231553</v>
      </c>
      <c r="G2201" s="1014">
        <v>0.98106146622071944</v>
      </c>
      <c r="H2201" s="1014">
        <v>1.0103890864435279</v>
      </c>
      <c r="I2201" s="1014">
        <v>1.0320368016668306</v>
      </c>
      <c r="K2201">
        <v>2.3921890796888721</v>
      </c>
      <c r="L2201">
        <v>0</v>
      </c>
      <c r="M2201">
        <v>1.6479343994030024E-3</v>
      </c>
      <c r="N2201">
        <v>0.15751138746748133</v>
      </c>
      <c r="O2201">
        <v>2.1571007715754896E-2</v>
      </c>
      <c r="P2201">
        <v>2.8380022618626308E-2</v>
      </c>
      <c r="Q2201">
        <v>5.7368907480241441E-3</v>
      </c>
      <c r="R2201">
        <v>1.6264057150059848E-3</v>
      </c>
      <c r="S2201">
        <v>0.27486556292001363</v>
      </c>
      <c r="T2201">
        <v>1.3179939521489739</v>
      </c>
      <c r="U2201">
        <v>0.21809580039821386</v>
      </c>
      <c r="V2201">
        <v>0.24402670554580425</v>
      </c>
      <c r="W2201">
        <v>0.10248966296825365</v>
      </c>
      <c r="X2201">
        <v>1.7113075630375958E-2</v>
      </c>
      <c r="Y2201">
        <v>4.4265402117464308E-3</v>
      </c>
    </row>
    <row r="2202" spans="1:25">
      <c r="A2202" s="1010"/>
      <c r="B2202" s="1351">
        <v>1952</v>
      </c>
      <c r="C2202" s="1014">
        <v>1.0234079937258378</v>
      </c>
      <c r="D2202" s="1014">
        <v>0.99481649693693175</v>
      </c>
      <c r="E2202" s="1014">
        <v>0.99822352843947926</v>
      </c>
      <c r="F2202" s="1014">
        <v>1.0173535058572178</v>
      </c>
      <c r="G2202" s="1014">
        <v>0.99389109189115354</v>
      </c>
      <c r="H2202" s="1014">
        <v>1.0155299366341761</v>
      </c>
      <c r="I2202" s="1014">
        <v>1.0323685157324156</v>
      </c>
      <c r="K2202">
        <v>2.4295121894505511</v>
      </c>
      <c r="L2202">
        <v>0</v>
      </c>
      <c r="M2202">
        <v>1.6370733065093448E-3</v>
      </c>
      <c r="N2202">
        <v>0.14822055327035852</v>
      </c>
      <c r="O2202">
        <v>2.0527905616853189E-2</v>
      </c>
      <c r="P2202">
        <v>2.8733859294778251E-2</v>
      </c>
      <c r="Q2202">
        <v>5.3621496293851587E-3</v>
      </c>
      <c r="R2202">
        <v>1.6157947768465613E-3</v>
      </c>
      <c r="S2202">
        <v>0.26288441153982767</v>
      </c>
      <c r="T2202">
        <v>1.3954022562338251</v>
      </c>
      <c r="U2202">
        <v>0.20711907146793718</v>
      </c>
      <c r="V2202">
        <v>0.24306714485151978</v>
      </c>
      <c r="W2202">
        <v>9.7473761863264494E-2</v>
      </c>
      <c r="X2202">
        <v>1.6344693476493085E-2</v>
      </c>
      <c r="Y2202">
        <v>4.3976607359713041E-3</v>
      </c>
    </row>
    <row r="2203" spans="1:25">
      <c r="A2203" s="1010"/>
      <c r="B2203" s="1351">
        <v>1953</v>
      </c>
      <c r="C2203" s="1014">
        <v>1.0035126281535369</v>
      </c>
      <c r="D2203" s="1014">
        <v>1.0043912941830389</v>
      </c>
      <c r="E2203" s="1014">
        <v>1.0319846551614764</v>
      </c>
      <c r="F2203" s="1014">
        <v>1.0320184639310317</v>
      </c>
      <c r="G2203" s="1014">
        <v>0.99945394003028998</v>
      </c>
      <c r="H2203" s="1014">
        <v>0.99836390633846639</v>
      </c>
      <c r="I2203" s="1014">
        <v>0.97705405550421831</v>
      </c>
      <c r="K2203">
        <v>2.4539132873683482</v>
      </c>
      <c r="L2203">
        <v>0</v>
      </c>
      <c r="M2203">
        <v>1.5268299611054914E-3</v>
      </c>
      <c r="N2203">
        <v>0.15303171318439079</v>
      </c>
      <c r="O2203">
        <v>2.0913174445155631E-2</v>
      </c>
      <c r="P2203">
        <v>2.9674324254958175E-2</v>
      </c>
      <c r="Q2203">
        <v>5.6497643362763165E-3</v>
      </c>
      <c r="R2203">
        <v>1.5066431360046607E-3</v>
      </c>
      <c r="S2203">
        <v>0.25136915674525012</v>
      </c>
      <c r="T2203">
        <v>1.4162725260897535</v>
      </c>
      <c r="U2203">
        <v>0.21134062152010102</v>
      </c>
      <c r="V2203">
        <v>0.24510673087724097</v>
      </c>
      <c r="W2203">
        <v>9.8661816927187299E-2</v>
      </c>
      <c r="X2203">
        <v>1.781305986170938E-2</v>
      </c>
      <c r="Y2203">
        <v>4.1005859514283843E-3</v>
      </c>
    </row>
    <row r="2204" spans="1:25">
      <c r="A2204" s="1010"/>
      <c r="B2204" s="1351">
        <v>1954</v>
      </c>
      <c r="C2204" s="1014">
        <v>0.99426601442737661</v>
      </c>
      <c r="D2204" s="1014">
        <v>0.96459405654741825</v>
      </c>
      <c r="E2204" s="1014">
        <v>1.0273355498354624</v>
      </c>
      <c r="F2204" s="1014">
        <v>0.99347839805001137</v>
      </c>
      <c r="G2204" s="1014">
        <v>1.0268511181658213</v>
      </c>
      <c r="H2204" s="1014">
        <v>0.97751229088983449</v>
      </c>
      <c r="I2204" s="1014">
        <v>0.99853468716073113</v>
      </c>
      <c r="K2204">
        <v>2.4175688625715512</v>
      </c>
      <c r="L2204">
        <v>0</v>
      </c>
      <c r="M2204">
        <v>1.537142822538289E-3</v>
      </c>
      <c r="N2204">
        <v>0.1518777055477136</v>
      </c>
      <c r="O2204">
        <v>2.1293103560460873E-2</v>
      </c>
      <c r="P2204">
        <v>2.9095859077768443E-2</v>
      </c>
      <c r="Q2204">
        <v>5.7260180361004935E-3</v>
      </c>
      <c r="R2204">
        <v>1.5163861270914018E-3</v>
      </c>
      <c r="S2204">
        <v>0.26277516499741754</v>
      </c>
      <c r="T2204">
        <v>1.3632822666754316</v>
      </c>
      <c r="U2204">
        <v>0.21329002163328878</v>
      </c>
      <c r="V2204">
        <v>0.2503764604871847</v>
      </c>
      <c r="W2204">
        <v>9.8182488881848939E-2</v>
      </c>
      <c r="X2204">
        <v>1.7563427208393656E-2</v>
      </c>
      <c r="Y2204">
        <v>4.1271031613903473E-3</v>
      </c>
    </row>
    <row r="2205" spans="1:25">
      <c r="A2205" s="1010"/>
      <c r="B2205" s="1351">
        <v>1955</v>
      </c>
      <c r="C2205" s="1014">
        <v>1.018137524858951</v>
      </c>
      <c r="D2205" s="1014">
        <v>0.98542498894279207</v>
      </c>
      <c r="E2205" s="1014">
        <v>1.0197335949286948</v>
      </c>
      <c r="F2205" s="1014">
        <v>1.0208128140539525</v>
      </c>
      <c r="G2205" s="1014">
        <v>0.98299612955148952</v>
      </c>
      <c r="H2205" s="1014">
        <v>1.0274740375016997</v>
      </c>
      <c r="I2205" s="1014">
        <v>1.0037357946816774</v>
      </c>
      <c r="K2205">
        <v>2.4408639257732379</v>
      </c>
      <c r="L2205">
        <v>0</v>
      </c>
      <c r="M2205">
        <v>1.5954770287238261E-3</v>
      </c>
      <c r="N2205">
        <v>0.15417077000425716</v>
      </c>
      <c r="O2205">
        <v>2.0691359802009621E-2</v>
      </c>
      <c r="P2205">
        <v>2.9210858468533184E-2</v>
      </c>
      <c r="Q2205">
        <v>5.5223890240761967E-3</v>
      </c>
      <c r="R2205">
        <v>1.5749802356217538E-3</v>
      </c>
      <c r="S2205">
        <v>0.25932076211414429</v>
      </c>
      <c r="T2205">
        <v>1.4006227980495245</v>
      </c>
      <c r="U2205">
        <v>0.2082635560993131</v>
      </c>
      <c r="V2205">
        <v>0.24144709433300285</v>
      </c>
      <c r="W2205">
        <v>0.10010787463936517</v>
      </c>
      <c r="X2205">
        <v>1.7240383022846334E-2</v>
      </c>
      <c r="Y2205">
        <v>4.2865770092672751E-3</v>
      </c>
    </row>
    <row r="2206" spans="1:25">
      <c r="A2206" s="1010"/>
      <c r="B2206" s="1351">
        <v>1956</v>
      </c>
      <c r="C2206" s="1014">
        <v>0.98546049608750108</v>
      </c>
      <c r="D2206" s="1014">
        <v>0.99825504605481041</v>
      </c>
      <c r="E2206" s="1014">
        <v>1.0283152581020472</v>
      </c>
      <c r="F2206" s="1014">
        <v>0.98909550289989334</v>
      </c>
      <c r="G2206" s="1014">
        <v>1.0315533464978122</v>
      </c>
      <c r="H2206" s="1014">
        <v>1.0033605157305086</v>
      </c>
      <c r="I2206" s="1014">
        <v>1.0026818754054923</v>
      </c>
      <c r="K2206">
        <v>2.423431207076411</v>
      </c>
      <c r="L2206">
        <v>0</v>
      </c>
      <c r="M2206">
        <v>1.5766987664458858E-3</v>
      </c>
      <c r="N2206">
        <v>0.1563019886859473</v>
      </c>
      <c r="O2206">
        <v>2.1322519350821505E-2</v>
      </c>
      <c r="P2206">
        <v>2.9094277308256634E-2</v>
      </c>
      <c r="Q2206">
        <v>5.7394917603746116E-3</v>
      </c>
      <c r="R2206">
        <v>1.5559564173319802E-3</v>
      </c>
      <c r="S2206">
        <v>0.26389772036529396</v>
      </c>
      <c r="T2206">
        <v>1.3572889922945903</v>
      </c>
      <c r="U2206">
        <v>0.21519927336241848</v>
      </c>
      <c r="V2206">
        <v>0.25173629481163046</v>
      </c>
      <c r="W2206">
        <v>0.1009850557366694</v>
      </c>
      <c r="X2206">
        <v>1.7651535302439247E-2</v>
      </c>
      <c r="Y2206">
        <v>4.2348004470825259E-3</v>
      </c>
    </row>
    <row r="2207" spans="1:25">
      <c r="A2207" s="1010"/>
      <c r="B2207" s="1351">
        <v>1957</v>
      </c>
      <c r="C2207" s="1014">
        <v>1.0148796686674613</v>
      </c>
      <c r="D2207" s="1014">
        <v>1.0171149282264189</v>
      </c>
      <c r="E2207" s="1014">
        <v>1.0015072031306236</v>
      </c>
      <c r="F2207" s="1014">
        <v>1.0013419062277393</v>
      </c>
      <c r="G2207" s="1014">
        <v>1.016493403765133</v>
      </c>
      <c r="H2207" s="1014">
        <v>1.0065283026425076</v>
      </c>
      <c r="I2207" s="1014">
        <v>1.0203756083476694</v>
      </c>
      <c r="K2207">
        <v>2.4083513170685102</v>
      </c>
      <c r="L2207">
        <v>0</v>
      </c>
      <c r="M2207">
        <v>1.6171846896281012E-3</v>
      </c>
      <c r="N2207">
        <v>0.14786225157782532</v>
      </c>
      <c r="O2207">
        <v>2.060184159378849E-2</v>
      </c>
      <c r="P2207">
        <v>2.8527342219861262E-2</v>
      </c>
      <c r="Q2207">
        <v>5.3992558178545657E-3</v>
      </c>
      <c r="R2207">
        <v>1.5959766831134636E-3</v>
      </c>
      <c r="S2207">
        <v>0.25839367156581494</v>
      </c>
      <c r="T2207">
        <v>1.3735118568260416</v>
      </c>
      <c r="U2207">
        <v>0.20887061202179458</v>
      </c>
      <c r="V2207">
        <v>0.24742738921861079</v>
      </c>
      <c r="W2207">
        <v>9.7048524565679889E-2</v>
      </c>
      <c r="X2207">
        <v>1.6386057249887818E-2</v>
      </c>
      <c r="Y2207">
        <v>4.3437224178626554E-3</v>
      </c>
    </row>
    <row r="2208" spans="1:25">
      <c r="A2208" s="1010"/>
      <c r="B2208" s="1351">
        <v>1958</v>
      </c>
      <c r="C2208" s="1014">
        <v>0.99086851430398626</v>
      </c>
      <c r="D2208" s="1014">
        <v>0.99420531439552828</v>
      </c>
      <c r="E2208" s="1014">
        <v>0.98631159473412511</v>
      </c>
      <c r="F2208" s="1014">
        <v>0.98957871603862302</v>
      </c>
      <c r="G2208" s="1014">
        <v>1.0396081098774941</v>
      </c>
      <c r="H2208" s="1014">
        <v>0.99172290107284478</v>
      </c>
      <c r="I2208" s="1014">
        <v>1.0153091016904392</v>
      </c>
      <c r="K2208">
        <v>2.4098519126549793</v>
      </c>
      <c r="L2208">
        <v>0</v>
      </c>
      <c r="M2208">
        <v>1.6926815538395314E-3</v>
      </c>
      <c r="N2208">
        <v>0.14778819683061376</v>
      </c>
      <c r="O2208">
        <v>2.1196916507349541E-2</v>
      </c>
      <c r="P2208">
        <v>2.8212220352311156E-2</v>
      </c>
      <c r="Q2208">
        <v>5.4707208563338659E-3</v>
      </c>
      <c r="R2208">
        <v>1.6701520754086993E-3</v>
      </c>
      <c r="S2208">
        <v>0.26493537773311504</v>
      </c>
      <c r="T2208">
        <v>1.3570518010732027</v>
      </c>
      <c r="U2208">
        <v>0.21387968481489983</v>
      </c>
      <c r="V2208">
        <v>0.25292191613611015</v>
      </c>
      <c r="W2208">
        <v>9.7884206075181238E-2</v>
      </c>
      <c r="X2208">
        <v>1.5987798370513621E-2</v>
      </c>
      <c r="Y2208">
        <v>4.5456033837787896E-3</v>
      </c>
    </row>
    <row r="2209" spans="1:25">
      <c r="A2209" s="1010"/>
      <c r="B2209" s="1351">
        <v>1959</v>
      </c>
      <c r="C2209" s="1014">
        <v>0.99873482548645265</v>
      </c>
      <c r="D2209" s="1014">
        <v>0.98400898339164333</v>
      </c>
      <c r="E2209" s="1014">
        <v>1.0023860496475061</v>
      </c>
      <c r="F2209" s="1014">
        <v>1.0175196827044874</v>
      </c>
      <c r="G2209" s="1014">
        <v>1.0196442120178364</v>
      </c>
      <c r="H2209" s="1014">
        <v>1.0066204207668301</v>
      </c>
      <c r="I2209" s="1014">
        <v>1.0224483368461921</v>
      </c>
      <c r="K2209">
        <v>2.4521293991393045</v>
      </c>
      <c r="L2209">
        <v>0</v>
      </c>
      <c r="M2209">
        <v>1.6524692268207698E-3</v>
      </c>
      <c r="N2209">
        <v>0.15149021080609007</v>
      </c>
      <c r="O2209">
        <v>2.1088422214057635E-2</v>
      </c>
      <c r="P2209">
        <v>2.9041355950036346E-2</v>
      </c>
      <c r="Q2209">
        <v>5.5316563413208572E-3</v>
      </c>
      <c r="R2209">
        <v>1.6308004766453377E-3</v>
      </c>
      <c r="S2209">
        <v>0.26751022653082779</v>
      </c>
      <c r="T2209">
        <v>1.3957217954616035</v>
      </c>
      <c r="U2209">
        <v>0.21225007592659434</v>
      </c>
      <c r="V2209">
        <v>0.24895605957198136</v>
      </c>
      <c r="W2209">
        <v>9.9377871717499053E-2</v>
      </c>
      <c r="X2209">
        <v>1.6744892065271393E-2</v>
      </c>
      <c r="Y2209">
        <v>4.4385013041959654E-3</v>
      </c>
    </row>
    <row r="2210" spans="1:25">
      <c r="A2210" s="1010"/>
      <c r="B2210" s="1351">
        <v>1960</v>
      </c>
      <c r="C2210" s="1014">
        <v>0.97352398925510719</v>
      </c>
      <c r="D2210" s="1014">
        <v>1.0151970600718991</v>
      </c>
      <c r="E2210" s="1014">
        <v>1.0133657629807042</v>
      </c>
      <c r="F2210" s="1014">
        <v>1.0120863332085801</v>
      </c>
      <c r="G2210" s="1014">
        <v>1.0301317687916203</v>
      </c>
      <c r="H2210" s="1014">
        <v>1.0156514354999044</v>
      </c>
      <c r="I2210" s="1014">
        <v>1.0154614366243639</v>
      </c>
      <c r="K2210">
        <v>2.4660868158294136</v>
      </c>
      <c r="L2210">
        <v>0</v>
      </c>
      <c r="M2210">
        <v>1.6604713292502971E-3</v>
      </c>
      <c r="N2210">
        <v>0.15737364395701228</v>
      </c>
      <c r="O2210">
        <v>2.1494002292936409E-2</v>
      </c>
      <c r="P2210">
        <v>2.9325360585569952E-2</v>
      </c>
      <c r="Q2210">
        <v>5.7003392757334261E-3</v>
      </c>
      <c r="R2210">
        <v>1.6388912560783443E-3</v>
      </c>
      <c r="S2210">
        <v>0.26923308995096901</v>
      </c>
      <c r="T2210">
        <v>1.3885096428288188</v>
      </c>
      <c r="U2210">
        <v>0.21778520291636605</v>
      </c>
      <c r="V2210">
        <v>0.25232450421536523</v>
      </c>
      <c r="W2210">
        <v>0.10257005118620803</v>
      </c>
      <c r="X2210">
        <v>1.7332036954918119E-2</v>
      </c>
      <c r="Y2210">
        <v>4.4605217386878846E-3</v>
      </c>
    </row>
    <row r="2211" spans="1:25">
      <c r="A2211" s="1010"/>
      <c r="B2211" s="1351">
        <v>1961</v>
      </c>
      <c r="C2211" s="1014">
        <v>1.0219484026650767</v>
      </c>
      <c r="D2211" s="1014">
        <v>1.0108260057512268</v>
      </c>
      <c r="E2211" s="1014">
        <v>0.99916201133544458</v>
      </c>
      <c r="F2211" s="1014">
        <v>0.98017750693275218</v>
      </c>
      <c r="G2211" s="1014">
        <v>0.98141433351634511</v>
      </c>
      <c r="H2211" s="1014">
        <v>1.0442702374813599</v>
      </c>
      <c r="I2211" s="1014">
        <v>0.97993480846245429</v>
      </c>
      <c r="K2211">
        <v>2.3697784535325424</v>
      </c>
      <c r="L2211">
        <v>0</v>
      </c>
      <c r="M2211">
        <v>1.6766310656994804E-3</v>
      </c>
      <c r="N2211">
        <v>0.15228835203513491</v>
      </c>
      <c r="O2211">
        <v>2.0485756746949167E-2</v>
      </c>
      <c r="P2211">
        <v>2.7862754055072474E-2</v>
      </c>
      <c r="Q2211">
        <v>5.3561938116923734E-3</v>
      </c>
      <c r="R2211">
        <v>1.655438144333075E-3</v>
      </c>
      <c r="S2211">
        <v>0.2502520861550302</v>
      </c>
      <c r="T2211">
        <v>1.3444315394255435</v>
      </c>
      <c r="U2211">
        <v>0.20741802632749895</v>
      </c>
      <c r="V2211">
        <v>0.24102013759220428</v>
      </c>
      <c r="W2211">
        <v>0.10009295068505804</v>
      </c>
      <c r="X2211">
        <v>1.6086292705884884E-2</v>
      </c>
      <c r="Y2211">
        <v>4.5055569138370138E-3</v>
      </c>
    </row>
    <row r="2212" spans="1:25">
      <c r="A2212" s="1010"/>
      <c r="B2212" s="1351">
        <v>1962</v>
      </c>
      <c r="C2212" s="1014">
        <v>1.0240999110678948</v>
      </c>
      <c r="D2212" s="1014">
        <v>1.0064721914923296</v>
      </c>
      <c r="E2212" s="1014">
        <v>0.98706326133745381</v>
      </c>
      <c r="F2212" s="1014">
        <v>0.99136094033962696</v>
      </c>
      <c r="G2212" s="1014">
        <v>1.0058300798174822</v>
      </c>
      <c r="H2212" s="1014">
        <v>0.98587545018512079</v>
      </c>
      <c r="I2212" s="1014">
        <v>1.0211062767473218</v>
      </c>
      <c r="K2212">
        <v>2.376761769180836</v>
      </c>
      <c r="L2212">
        <v>0</v>
      </c>
      <c r="M2212">
        <v>1.621187633791979E-3</v>
      </c>
      <c r="N2212">
        <v>0.14185682887276133</v>
      </c>
      <c r="O2212">
        <v>2.0454319798708879E-2</v>
      </c>
      <c r="P2212">
        <v>2.7937713881183917E-2</v>
      </c>
      <c r="Q2212">
        <v>5.2830834952884171E-3</v>
      </c>
      <c r="R2212">
        <v>1.5994817512485228E-3</v>
      </c>
      <c r="S2212">
        <v>0.25573235176655901</v>
      </c>
      <c r="T2212">
        <v>1.3595119147245858</v>
      </c>
      <c r="U2212">
        <v>0.2069419274071492</v>
      </c>
      <c r="V2212">
        <v>0.24510576306263593</v>
      </c>
      <c r="W2212">
        <v>9.391328803217884E-2</v>
      </c>
      <c r="X2212">
        <v>1.5693021964447312E-2</v>
      </c>
      <c r="Y2212">
        <v>4.3532620578808877E-3</v>
      </c>
    </row>
    <row r="2213" spans="1:25">
      <c r="A2213" s="1010"/>
      <c r="B2213" s="1351">
        <v>1963</v>
      </c>
      <c r="C2213" s="1014">
        <v>1.0004353300022359</v>
      </c>
      <c r="D2213" s="1014">
        <v>0.98044675411742266</v>
      </c>
      <c r="E2213" s="1014">
        <v>0.97703011334298195</v>
      </c>
      <c r="F2213" s="1014">
        <v>0.95334212268630258</v>
      </c>
      <c r="G2213" s="1014">
        <v>1.0163048354695647</v>
      </c>
      <c r="H2213" s="1014">
        <v>0.98416617376133253</v>
      </c>
      <c r="I2213" s="1014">
        <v>0.9698908029146811</v>
      </c>
      <c r="K2213">
        <v>2.3329872686506707</v>
      </c>
      <c r="L2213">
        <v>0</v>
      </c>
      <c r="M2213">
        <v>1.7011752670118951E-3</v>
      </c>
      <c r="N2213">
        <v>0.14440224346431729</v>
      </c>
      <c r="O2213">
        <v>2.1052514470789013E-2</v>
      </c>
      <c r="P2213">
        <v>2.7079465802814562E-2</v>
      </c>
      <c r="Q2213">
        <v>5.3824827434799331E-3</v>
      </c>
      <c r="R2213">
        <v>1.6783588815980116E-3</v>
      </c>
      <c r="S2213">
        <v>0.25172835229980467</v>
      </c>
      <c r="T2213">
        <v>1.3071683499964419</v>
      </c>
      <c r="U2213">
        <v>0.21180280844558355</v>
      </c>
      <c r="V2213">
        <v>0.2483734688855308</v>
      </c>
      <c r="W2213">
        <v>9.617840005176137E-2</v>
      </c>
      <c r="X2213">
        <v>1.5274059270706158E-2</v>
      </c>
      <c r="Y2213">
        <v>4.5679396048531624E-3</v>
      </c>
    </row>
    <row r="2214" spans="1:25">
      <c r="A2214" s="1010"/>
      <c r="B2214" s="1351">
        <v>1964</v>
      </c>
      <c r="C2214" s="1014">
        <v>0.98823441273617529</v>
      </c>
      <c r="D2214" s="1014">
        <v>1.0365100290161715</v>
      </c>
      <c r="E2214" s="1014">
        <v>0.99738771890257316</v>
      </c>
      <c r="F2214" s="1014">
        <v>1.0154363551787084</v>
      </c>
      <c r="G2214" s="1014">
        <v>1.0011433486021362</v>
      </c>
      <c r="H2214" s="1014">
        <v>0.98794334173179732</v>
      </c>
      <c r="I2214" s="1014">
        <v>0.98598709132025986</v>
      </c>
      <c r="K2214">
        <v>2.4272777888546089</v>
      </c>
      <c r="L2214">
        <v>0</v>
      </c>
      <c r="M2214">
        <v>1.6372923816365011E-3</v>
      </c>
      <c r="N2214">
        <v>0.14781209557790545</v>
      </c>
      <c r="O2214">
        <v>2.1066834380005034E-2</v>
      </c>
      <c r="P2214">
        <v>2.868421374442166E-2</v>
      </c>
      <c r="Q2214">
        <v>5.4982977741611996E-3</v>
      </c>
      <c r="R2214">
        <v>1.6154167591108679E-3</v>
      </c>
      <c r="S2214">
        <v>0.25242455694987492</v>
      </c>
      <c r="T2214">
        <v>1.3927543439765688</v>
      </c>
      <c r="U2214">
        <v>0.21448803507961012</v>
      </c>
      <c r="V2214">
        <v>0.24647856352091702</v>
      </c>
      <c r="W2214">
        <v>9.7253532622467026E-2</v>
      </c>
      <c r="X2214">
        <v>1.6442558954893893E-2</v>
      </c>
      <c r="Y2214">
        <v>4.3966318963082592E-3</v>
      </c>
    </row>
    <row r="2215" spans="1:25">
      <c r="A2215" s="1010"/>
      <c r="B2215" s="1351">
        <v>1965</v>
      </c>
      <c r="C2215" s="1014">
        <v>0.99242022437311661</v>
      </c>
      <c r="D2215" s="1014">
        <v>0.98729208199961482</v>
      </c>
      <c r="E2215" s="1014">
        <v>1.0270089523829236</v>
      </c>
      <c r="F2215" s="1014">
        <v>1.009116448992833</v>
      </c>
      <c r="G2215" s="1014">
        <v>1.0203151769098804</v>
      </c>
      <c r="H2215" s="1014">
        <v>0.97237068800845861</v>
      </c>
      <c r="I2215" s="1014">
        <v>1.0214721314213335</v>
      </c>
      <c r="K2215">
        <v>2.4394200642506698</v>
      </c>
      <c r="L2215">
        <v>0</v>
      </c>
      <c r="M2215">
        <v>1.5251200970874778E-3</v>
      </c>
      <c r="N2215">
        <v>0.1505305820125829</v>
      </c>
      <c r="O2215">
        <v>2.122360815412315E-2</v>
      </c>
      <c r="P2215">
        <v>2.9419986463093052E-2</v>
      </c>
      <c r="Q2215">
        <v>5.7054842427589937E-3</v>
      </c>
      <c r="R2215">
        <v>1.5044168529355386E-3</v>
      </c>
      <c r="S2215">
        <v>0.26570568972748831</v>
      </c>
      <c r="T2215">
        <v>1.3847341255051662</v>
      </c>
      <c r="U2215">
        <v>0.21368558755865852</v>
      </c>
      <c r="V2215">
        <v>0.24937908964693803</v>
      </c>
      <c r="W2215">
        <v>9.7330121975434503E-2</v>
      </c>
      <c r="X2215">
        <v>1.7631965465769516E-2</v>
      </c>
      <c r="Y2215">
        <v>4.09452674280825E-3</v>
      </c>
    </row>
    <row r="2216" spans="1:25">
      <c r="A2216" s="1010"/>
      <c r="B2216" s="1351">
        <v>1966</v>
      </c>
      <c r="C2216" s="1014">
        <v>0.99458277292623964</v>
      </c>
      <c r="D2216" s="1014">
        <v>1.0252624801598642</v>
      </c>
      <c r="E2216" s="1014">
        <v>1.001214905781602</v>
      </c>
      <c r="F2216" s="1014">
        <v>1.0261535217499174</v>
      </c>
      <c r="G2216" s="1014">
        <v>0.99064321124501775</v>
      </c>
      <c r="H2216" s="1014">
        <v>1.0217635572831558</v>
      </c>
      <c r="I2216" s="1014">
        <v>1.02655802248247</v>
      </c>
      <c r="K2216">
        <v>2.4604931039498354</v>
      </c>
      <c r="L2216">
        <v>0</v>
      </c>
      <c r="M2216">
        <v>1.6732418752151154E-3</v>
      </c>
      <c r="N2216">
        <v>0.15288292297428915</v>
      </c>
      <c r="O2216">
        <v>2.0985210988357473E-2</v>
      </c>
      <c r="P2216">
        <v>2.9098620544086917E-2</v>
      </c>
      <c r="Q2216">
        <v>5.4981134481802488E-3</v>
      </c>
      <c r="R2216">
        <v>1.6516259148973936E-3</v>
      </c>
      <c r="S2216">
        <v>0.26554146212371033</v>
      </c>
      <c r="T2216">
        <v>1.4075387463256579</v>
      </c>
      <c r="U2216">
        <v>0.21313212327812345</v>
      </c>
      <c r="V2216">
        <v>0.24426880083326152</v>
      </c>
      <c r="W2216">
        <v>0.10036122796541491</v>
      </c>
      <c r="X2216">
        <v>1.6712310147057433E-2</v>
      </c>
      <c r="Y2216">
        <v>4.4951812820141846E-3</v>
      </c>
    </row>
    <row r="2217" spans="1:25">
      <c r="A2217" s="1010"/>
      <c r="B2217" s="1351">
        <v>1967</v>
      </c>
      <c r="C2217" s="1014">
        <v>0.9772875132697505</v>
      </c>
      <c r="D2217" s="1014">
        <v>0.99066363461385332</v>
      </c>
      <c r="E2217" s="1014">
        <v>0.99344584163382643</v>
      </c>
      <c r="F2217" s="1014">
        <v>0.99549190086770611</v>
      </c>
      <c r="G2217" s="1014">
        <v>1.0421346457741703</v>
      </c>
      <c r="H2217" s="1014">
        <v>0.98858634364140863</v>
      </c>
      <c r="I2217" s="1014">
        <v>0.96845095987320562</v>
      </c>
      <c r="K2217">
        <v>2.4190178131494791</v>
      </c>
      <c r="L2217">
        <v>0</v>
      </c>
      <c r="M2217">
        <v>1.6870089272972586E-3</v>
      </c>
      <c r="N2217">
        <v>0.15049811879999433</v>
      </c>
      <c r="O2217">
        <v>2.1513209074532434E-2</v>
      </c>
      <c r="P2217">
        <v>2.8419350154029278E-2</v>
      </c>
      <c r="Q2217">
        <v>5.5925386927438226E-3</v>
      </c>
      <c r="R2217">
        <v>1.6644837098372543E-3</v>
      </c>
      <c r="S2217">
        <v>0.25647286372349976</v>
      </c>
      <c r="T2217">
        <v>1.3653140942629549</v>
      </c>
      <c r="U2217">
        <v>0.21687680440509291</v>
      </c>
      <c r="V2217">
        <v>0.25420128661613911</v>
      </c>
      <c r="W2217">
        <v>9.9253916776741669E-2</v>
      </c>
      <c r="X2217">
        <v>1.6367979899940266E-2</v>
      </c>
      <c r="Y2217">
        <v>4.5301759612695249E-3</v>
      </c>
    </row>
    <row r="2218" spans="1:25">
      <c r="A2218" s="1010"/>
      <c r="B2218" s="1351">
        <v>1968</v>
      </c>
      <c r="C2218" s="1014">
        <v>1.0336873788029473</v>
      </c>
      <c r="D2218" s="1014">
        <v>0.99823650178292678</v>
      </c>
      <c r="E2218" s="1014">
        <v>0.98812823154359009</v>
      </c>
      <c r="F2218" s="1014">
        <v>1.005276952454832</v>
      </c>
      <c r="G2218" s="1014">
        <v>1.0208009408793346</v>
      </c>
      <c r="H2218" s="1014">
        <v>1.003184904726264</v>
      </c>
      <c r="I2218" s="1014">
        <v>1.0203649779253561</v>
      </c>
      <c r="K2218">
        <v>2.3987002618379987</v>
      </c>
      <c r="L2218">
        <v>0</v>
      </c>
      <c r="M2218">
        <v>1.6337019960039818E-3</v>
      </c>
      <c r="N2218">
        <v>0.14344654843264074</v>
      </c>
      <c r="O2218">
        <v>2.0301951873177508E-2</v>
      </c>
      <c r="P2218">
        <v>2.8218890817139613E-2</v>
      </c>
      <c r="Q2218">
        <v>5.2493839713927196E-3</v>
      </c>
      <c r="R2218">
        <v>1.612205975409815E-3</v>
      </c>
      <c r="S2218">
        <v>0.25568456592415328</v>
      </c>
      <c r="T2218">
        <v>1.3786188618446571</v>
      </c>
      <c r="U2218">
        <v>0.20502605229550797</v>
      </c>
      <c r="V2218">
        <v>0.2470943111966464</v>
      </c>
      <c r="W2218">
        <v>9.4905045567258831E-2</v>
      </c>
      <c r="X2218">
        <v>1.5788252734507142E-2</v>
      </c>
      <c r="Y2218">
        <v>4.3878932015085559E-3</v>
      </c>
    </row>
    <row r="2219" spans="1:25">
      <c r="A2219" s="1010"/>
      <c r="B2219" s="1351">
        <v>1969</v>
      </c>
      <c r="C2219" s="1014">
        <v>1.0304597718725135</v>
      </c>
      <c r="D2219" s="1014">
        <v>1.0187635035069578</v>
      </c>
      <c r="E2219" s="1014">
        <v>0.99488169151833783</v>
      </c>
      <c r="F2219" s="1014">
        <v>0.99424177048079854</v>
      </c>
      <c r="G2219" s="1014">
        <v>0.97702656231489904</v>
      </c>
      <c r="H2219" s="1014">
        <v>0.99968679295126661</v>
      </c>
      <c r="I2219" s="1014">
        <v>0.98693026424329411</v>
      </c>
      <c r="K2219">
        <v>2.3664229188600538</v>
      </c>
      <c r="L2219">
        <v>0</v>
      </c>
      <c r="M2219">
        <v>1.6032207986858894E-3</v>
      </c>
      <c r="N2219">
        <v>0.143667014540768</v>
      </c>
      <c r="O2219">
        <v>2.0278874042297439E-2</v>
      </c>
      <c r="P2219">
        <v>2.7927663546945543E-2</v>
      </c>
      <c r="Q2219">
        <v>5.2793016586458116E-3</v>
      </c>
      <c r="R2219">
        <v>1.5820520297656368E-3</v>
      </c>
      <c r="S2219">
        <v>0.24534047916321428</v>
      </c>
      <c r="T2219">
        <v>1.3636303838581885</v>
      </c>
      <c r="U2219">
        <v>0.20569060743339107</v>
      </c>
      <c r="V2219">
        <v>0.23978157187179264</v>
      </c>
      <c r="W2219">
        <v>9.4667588472758801E-2</v>
      </c>
      <c r="X2219">
        <v>1.5874778939261491E-2</v>
      </c>
      <c r="Y2219">
        <v>4.3058241017106128E-3</v>
      </c>
    </row>
    <row r="2220" spans="1:25">
      <c r="A2220" s="1010"/>
      <c r="B2220" s="1351">
        <v>1970</v>
      </c>
      <c r="C2220" s="1014">
        <v>0.99510165707390652</v>
      </c>
      <c r="D2220" s="1014">
        <v>0.97730096345465034</v>
      </c>
      <c r="E2220" s="1014">
        <v>0.96207559327629999</v>
      </c>
      <c r="F2220" s="1014">
        <v>0.99652680795572857</v>
      </c>
      <c r="G2220" s="1014">
        <v>0.98477524212718037</v>
      </c>
      <c r="H2220" s="1014">
        <v>1.023232820173539</v>
      </c>
      <c r="I2220" s="1014">
        <v>1.0408596637936709</v>
      </c>
      <c r="K2220">
        <v>2.4211511555266116</v>
      </c>
      <c r="L2220">
        <v>0</v>
      </c>
      <c r="M2220">
        <v>1.8352308727966784E-3</v>
      </c>
      <c r="N2220">
        <v>0.14896189069845425</v>
      </c>
      <c r="O2220">
        <v>2.1170349225036959E-2</v>
      </c>
      <c r="P2220">
        <v>2.7813822666654713E-2</v>
      </c>
      <c r="Q2220">
        <v>5.3304879152460414E-3</v>
      </c>
      <c r="R2220">
        <v>1.8115562829818898E-3</v>
      </c>
      <c r="S2220">
        <v>0.27539828052989546</v>
      </c>
      <c r="T2220">
        <v>1.3660604601065891</v>
      </c>
      <c r="U2220">
        <v>0.21288694140216205</v>
      </c>
      <c r="V2220">
        <v>0.24337387825280876</v>
      </c>
      <c r="W2220">
        <v>0.10012282294214819</v>
      </c>
      <c r="X2220">
        <v>1.5125437354522417E-2</v>
      </c>
      <c r="Y2220">
        <v>4.9304590229085152E-3</v>
      </c>
    </row>
    <row r="2221" spans="1:25">
      <c r="A2221" s="1010"/>
      <c r="B2221" s="1351">
        <v>1971</v>
      </c>
      <c r="C2221" s="1014">
        <v>1.0430577505489464</v>
      </c>
      <c r="D2221" s="1014">
        <v>1.0092416748596329</v>
      </c>
      <c r="E2221" s="1014">
        <v>0.98421082785606862</v>
      </c>
      <c r="F2221" s="1014">
        <v>0.97190264050116482</v>
      </c>
      <c r="G2221" s="1014">
        <v>0.99003391749407421</v>
      </c>
      <c r="H2221" s="1014">
        <v>0.98938662960991841</v>
      </c>
      <c r="I2221" s="1014">
        <v>0.97132360835134168</v>
      </c>
      <c r="K2221">
        <v>2.3196818386416886</v>
      </c>
      <c r="L2221">
        <v>0</v>
      </c>
      <c r="M2221">
        <v>1.6058780283387333E-3</v>
      </c>
      <c r="N2221">
        <v>0.13931690364906552</v>
      </c>
      <c r="O2221">
        <v>2.0068613231663809E-2</v>
      </c>
      <c r="P2221">
        <v>2.7186175905890557E-2</v>
      </c>
      <c r="Q2221">
        <v>5.1685012558079146E-3</v>
      </c>
      <c r="R2221">
        <v>1.5844534275944561E-3</v>
      </c>
      <c r="S2221">
        <v>0.23877036765642207</v>
      </c>
      <c r="T2221">
        <v>1.3327678134488532</v>
      </c>
      <c r="U2221">
        <v>0.20317137896254728</v>
      </c>
      <c r="V2221">
        <v>0.24131050046296731</v>
      </c>
      <c r="W2221">
        <v>9.2390069486631823E-2</v>
      </c>
      <c r="X2221">
        <v>1.5240579267603619E-2</v>
      </c>
      <c r="Y2221">
        <v>4.3123599149800795E-3</v>
      </c>
    </row>
    <row r="2222" spans="1:25">
      <c r="A2222" s="1010"/>
      <c r="B2222" s="1351">
        <v>1972</v>
      </c>
      <c r="C2222" s="1014">
        <v>0.98404554124252908</v>
      </c>
      <c r="D2222" s="1014">
        <v>0.99548258602470363</v>
      </c>
      <c r="E2222" s="1014">
        <v>0.98998659865196603</v>
      </c>
      <c r="F2222" s="1014">
        <v>0.98581043600269702</v>
      </c>
      <c r="G2222" s="1014">
        <v>0.98016806802485956</v>
      </c>
      <c r="H2222" s="1014">
        <v>0.98698798066498317</v>
      </c>
      <c r="I2222" s="1014">
        <v>0.99335658407313454</v>
      </c>
      <c r="K2222">
        <v>2.3932402598188838</v>
      </c>
      <c r="L2222">
        <v>0</v>
      </c>
      <c r="M2222">
        <v>1.6829469136645531E-3</v>
      </c>
      <c r="N2222">
        <v>0.14857062944277846</v>
      </c>
      <c r="O2222">
        <v>2.1340335837776999E-2</v>
      </c>
      <c r="P2222">
        <v>2.8049390657159286E-2</v>
      </c>
      <c r="Q2222">
        <v>5.5282540246889035E-3</v>
      </c>
      <c r="R2222">
        <v>1.6604395425759821E-3</v>
      </c>
      <c r="S2222">
        <v>0.26045946954613897</v>
      </c>
      <c r="T2222">
        <v>1.3519623632803719</v>
      </c>
      <c r="U2222">
        <v>0.21537538151493196</v>
      </c>
      <c r="V2222">
        <v>0.24319094377108699</v>
      </c>
      <c r="W2222">
        <v>9.8185716254477085E-2</v>
      </c>
      <c r="X2222">
        <v>1.6081113789417852E-2</v>
      </c>
      <c r="Y2222">
        <v>4.5191690711437202E-3</v>
      </c>
    </row>
    <row r="2223" spans="1:25">
      <c r="A2223" s="1010"/>
      <c r="B2223" s="1351">
        <v>1973</v>
      </c>
      <c r="C2223" s="1014">
        <v>0.98581383647711818</v>
      </c>
      <c r="D2223" s="1014">
        <v>0.96319337950454376</v>
      </c>
      <c r="E2223" s="1014">
        <v>0.994323820037461</v>
      </c>
      <c r="F2223" s="1014">
        <v>0.98632572248768502</v>
      </c>
      <c r="G2223" s="1014">
        <v>0.99435768033721361</v>
      </c>
      <c r="H2223" s="1014">
        <v>0.9751932953956528</v>
      </c>
      <c r="I2223" s="1014">
        <v>0.98402268502655155</v>
      </c>
      <c r="K2223">
        <v>2.3959489660019013</v>
      </c>
      <c r="L2223">
        <v>0</v>
      </c>
      <c r="M2223">
        <v>1.6569810451685916E-3</v>
      </c>
      <c r="N2223">
        <v>0.14818458136501605</v>
      </c>
      <c r="O2223">
        <v>2.1460087527197309E-2</v>
      </c>
      <c r="P2223">
        <v>2.8183785650096122E-2</v>
      </c>
      <c r="Q2223">
        <v>5.5836715670312493E-3</v>
      </c>
      <c r="R2223">
        <v>1.6345529158255435E-3</v>
      </c>
      <c r="S2223">
        <v>0.26089754231492074</v>
      </c>
      <c r="T2223">
        <v>1.3527614149405167</v>
      </c>
      <c r="U2223">
        <v>0.21500407405318861</v>
      </c>
      <c r="V2223">
        <v>0.24548560068086644</v>
      </c>
      <c r="W2223">
        <v>9.7676902337968219E-2</v>
      </c>
      <c r="X2223">
        <v>1.6285019487790899E-2</v>
      </c>
      <c r="Y2223">
        <v>4.4487142066532408E-3</v>
      </c>
    </row>
    <row r="2224" spans="1:25">
      <c r="A2224" s="1010"/>
      <c r="B2224" s="1351">
        <v>1974</v>
      </c>
      <c r="C2224" s="1014">
        <v>0.97120362087157674</v>
      </c>
      <c r="D2224" s="1014">
        <v>0.95995237996038141</v>
      </c>
      <c r="E2224" s="1014">
        <v>0.99356155989813721</v>
      </c>
      <c r="F2224" s="1014">
        <v>1.0387676803946262</v>
      </c>
      <c r="G2224" s="1014">
        <v>1.0036558099840378</v>
      </c>
      <c r="H2224" s="1014">
        <v>0.97436335414250186</v>
      </c>
      <c r="I2224" s="1014">
        <v>0.96750588539359172</v>
      </c>
      <c r="K2224">
        <v>2.4789830513531173</v>
      </c>
      <c r="L2224">
        <v>0</v>
      </c>
      <c r="M2224">
        <v>1.6843815249486197E-3</v>
      </c>
      <c r="N2224">
        <v>0.15028660232050522</v>
      </c>
      <c r="O2224">
        <v>2.1798553702963533E-2</v>
      </c>
      <c r="P2224">
        <v>2.922059579989407E-2</v>
      </c>
      <c r="Q2224">
        <v>5.6673779699856703E-3</v>
      </c>
      <c r="R2224">
        <v>1.661563095685136E-3</v>
      </c>
      <c r="S2224">
        <v>0.26074637117471255</v>
      </c>
      <c r="T2224">
        <v>1.4246692897781776</v>
      </c>
      <c r="U2224">
        <v>0.21823578851454925</v>
      </c>
      <c r="V2224">
        <v>0.24802848018607326</v>
      </c>
      <c r="W2224">
        <v>9.9107569495846273E-2</v>
      </c>
      <c r="X2224">
        <v>1.6723013827345801E-2</v>
      </c>
      <c r="Y2224">
        <v>4.5222270123276556E-3</v>
      </c>
    </row>
    <row r="2225" spans="1:25">
      <c r="A2225" s="1010"/>
      <c r="B2225" s="1351">
        <v>1975</v>
      </c>
      <c r="C2225" s="1014">
        <v>1.0155594490437569</v>
      </c>
      <c r="D2225" s="1014">
        <v>1.005279015732401</v>
      </c>
      <c r="E2225" s="1014">
        <v>0.99687053024055128</v>
      </c>
      <c r="F2225" s="1014">
        <v>1.0425787369927848</v>
      </c>
      <c r="G2225" s="1014">
        <v>1.0059655071555533</v>
      </c>
      <c r="H2225" s="1014">
        <v>0.97336134269954755</v>
      </c>
      <c r="I2225" s="1014">
        <v>0.98893462625608741</v>
      </c>
      <c r="K2225">
        <v>2.445338420561896</v>
      </c>
      <c r="L2225">
        <v>0</v>
      </c>
      <c r="M2225">
        <v>1.5820191669098259E-3</v>
      </c>
      <c r="N2225">
        <v>0.142570152660319</v>
      </c>
      <c r="O2225">
        <v>2.0638109763352404E-2</v>
      </c>
      <c r="P2225">
        <v>2.9041978182685394E-2</v>
      </c>
      <c r="Q2225">
        <v>5.3835996807888387E-3</v>
      </c>
      <c r="R2225">
        <v>1.5605653848175759E-3</v>
      </c>
      <c r="S2225">
        <v>0.24894865217534315</v>
      </c>
      <c r="T2225">
        <v>1.4299706940229922</v>
      </c>
      <c r="U2225">
        <v>0.20871519684216455</v>
      </c>
      <c r="V2225">
        <v>0.24560528389086148</v>
      </c>
      <c r="W2225">
        <v>9.3833480624511328E-2</v>
      </c>
      <c r="X2225">
        <v>1.6405381963734235E-2</v>
      </c>
      <c r="Y2225">
        <v>4.2473445372325953E-3</v>
      </c>
    </row>
    <row r="2226" spans="1:25">
      <c r="A2226" s="1010"/>
      <c r="B2226" s="1351">
        <v>1976</v>
      </c>
      <c r="C2226" s="1014">
        <v>0.99314429351501465</v>
      </c>
      <c r="D2226" s="1014">
        <v>1.0006294755130036</v>
      </c>
      <c r="E2226" s="1014">
        <v>1.0376886053557128</v>
      </c>
      <c r="F2226" s="1014">
        <v>0.99794285413395778</v>
      </c>
      <c r="G2226" s="1014">
        <v>0.99101437043399299</v>
      </c>
      <c r="H2226" s="1014">
        <v>0.98484303179547328</v>
      </c>
      <c r="I2226" s="1014">
        <v>1.0009101221587411</v>
      </c>
      <c r="K2226">
        <v>2.4172260981938281</v>
      </c>
      <c r="L2226">
        <v>0</v>
      </c>
      <c r="M2226">
        <v>1.5051237420660951E-3</v>
      </c>
      <c r="N2226">
        <v>0.15344336509066137</v>
      </c>
      <c r="O2226">
        <v>2.1152789006209666E-2</v>
      </c>
      <c r="P2226">
        <v>2.9277585369294919E-2</v>
      </c>
      <c r="Q2226">
        <v>5.7467289133239976E-3</v>
      </c>
      <c r="R2226">
        <v>1.4849506993375402E-3</v>
      </c>
      <c r="S2226">
        <v>0.25957112641829633</v>
      </c>
      <c r="T2226">
        <v>1.3696333996378907</v>
      </c>
      <c r="U2226">
        <v>0.21356673254801775</v>
      </c>
      <c r="V2226">
        <v>0.24429679330948628</v>
      </c>
      <c r="W2226">
        <v>9.860144391924229E-2</v>
      </c>
      <c r="X2226">
        <v>1.7914760734402305E-2</v>
      </c>
      <c r="Y2226">
        <v>4.0415462897303083E-3</v>
      </c>
    </row>
    <row r="2227" spans="1:25">
      <c r="A2227" s="1010"/>
      <c r="B2227" s="1351">
        <v>1977</v>
      </c>
      <c r="C2227" s="1014">
        <v>1.0254657667226226</v>
      </c>
      <c r="D2227" s="1014">
        <v>1.0124282461715708</v>
      </c>
      <c r="E2227" s="1014">
        <v>1.0059877645148689</v>
      </c>
      <c r="F2227" s="1014">
        <v>1.025125712390859</v>
      </c>
      <c r="G2227" s="1014">
        <v>1.0079461086015513</v>
      </c>
      <c r="H2227" s="1014">
        <v>1.031134674463055</v>
      </c>
      <c r="I2227" s="1014">
        <v>1.0227729838948367</v>
      </c>
      <c r="K2227">
        <v>2.442565952996214</v>
      </c>
      <c r="L2227">
        <v>0</v>
      </c>
      <c r="M2227">
        <v>1.6260914938863939E-3</v>
      </c>
      <c r="N2227">
        <v>0.15075012544448052</v>
      </c>
      <c r="O2227">
        <v>2.041278529894652E-2</v>
      </c>
      <c r="P2227">
        <v>2.9021514098848594E-2</v>
      </c>
      <c r="Q2227">
        <v>5.3738066989756179E-3</v>
      </c>
      <c r="R2227">
        <v>1.6052755645422992E-3</v>
      </c>
      <c r="S2227">
        <v>0.25903646860528912</v>
      </c>
      <c r="T2227">
        <v>1.4062348351469842</v>
      </c>
      <c r="U2227">
        <v>0.2067293409047298</v>
      </c>
      <c r="V2227">
        <v>0.24531686955471332</v>
      </c>
      <c r="W2227">
        <v>9.8681602289710776E-2</v>
      </c>
      <c r="X2227">
        <v>1.666038997514167E-2</v>
      </c>
      <c r="Y2227">
        <v>4.3690309077365069E-3</v>
      </c>
    </row>
    <row r="2228" spans="1:25">
      <c r="A2228" s="1010"/>
      <c r="B2228" s="1351">
        <v>1978</v>
      </c>
      <c r="C2228" s="1014">
        <v>1.0215822986562351</v>
      </c>
      <c r="D2228" s="1014">
        <v>1.0195939905624085</v>
      </c>
      <c r="E2228" s="1014">
        <v>0.97481383310244085</v>
      </c>
      <c r="F2228" s="1014">
        <v>0.98745055038212293</v>
      </c>
      <c r="G2228" s="1014">
        <v>0.99347815729916045</v>
      </c>
      <c r="H2228" s="1014">
        <v>0.99791428432198825</v>
      </c>
      <c r="I2228" s="1014">
        <v>0.97298723589285341</v>
      </c>
      <c r="K2228">
        <v>2.357314165268559</v>
      </c>
      <c r="L2228">
        <v>0</v>
      </c>
      <c r="M2228">
        <v>1.6824330538876991E-3</v>
      </c>
      <c r="N2228">
        <v>0.14188316788190752</v>
      </c>
      <c r="O2228">
        <v>2.043847908985837E-2</v>
      </c>
      <c r="P2228">
        <v>2.7422041515351457E-2</v>
      </c>
      <c r="Q2228">
        <v>5.2137082044174223E-3</v>
      </c>
      <c r="R2228">
        <v>1.6601789161715731E-3</v>
      </c>
      <c r="S2228">
        <v>0.24357988738065692</v>
      </c>
      <c r="T2228">
        <v>1.3538887842013658</v>
      </c>
      <c r="U2228">
        <v>0.20741105884882061</v>
      </c>
      <c r="V2228">
        <v>0.24319039133297315</v>
      </c>
      <c r="W2228">
        <v>9.4627541684908556E-2</v>
      </c>
      <c r="X2228">
        <v>1.5162899534027614E-2</v>
      </c>
      <c r="Y2228">
        <v>4.5184597319863889E-3</v>
      </c>
    </row>
    <row r="2229" spans="1:25">
      <c r="A2229" s="1010"/>
      <c r="B2229" s="1351">
        <v>1979</v>
      </c>
      <c r="C2229" s="1014">
        <v>1.0010244935046819</v>
      </c>
      <c r="D2229" s="1014">
        <v>1.0188906625057559</v>
      </c>
      <c r="E2229" s="1014">
        <v>1.0324225793615929</v>
      </c>
      <c r="F2229" s="1014">
        <v>1.0040194364597153</v>
      </c>
      <c r="G2229" s="1014">
        <v>0.98254709600028334</v>
      </c>
      <c r="H2229" s="1014">
        <v>0.96451640307352182</v>
      </c>
      <c r="I2229" s="1014">
        <v>0.9938067132513384</v>
      </c>
      <c r="K2229">
        <v>2.4038643610514701</v>
      </c>
      <c r="L2229">
        <v>0</v>
      </c>
      <c r="M2229">
        <v>1.4727319091417169E-3</v>
      </c>
      <c r="N2229">
        <v>0.14773502055166249</v>
      </c>
      <c r="O2229">
        <v>2.0899443128190653E-2</v>
      </c>
      <c r="P2229">
        <v>2.9119894456423198E-2</v>
      </c>
      <c r="Q2229">
        <v>5.6484969394868471E-3</v>
      </c>
      <c r="R2229">
        <v>1.4525770254112426E-3</v>
      </c>
      <c r="S2229">
        <v>0.25164016174879711</v>
      </c>
      <c r="T2229">
        <v>1.3778581184420395</v>
      </c>
      <c r="U2229">
        <v>0.21186742990512317</v>
      </c>
      <c r="V2229">
        <v>0.24237523028668728</v>
      </c>
      <c r="W2229">
        <v>9.5222793263729719E-2</v>
      </c>
      <c r="X2229">
        <v>1.7564491391779222E-2</v>
      </c>
      <c r="Y2229">
        <v>3.9534358212816676E-3</v>
      </c>
    </row>
    <row r="2230" spans="1:25">
      <c r="A2230" s="1010"/>
      <c r="B2230" s="1351">
        <v>1980</v>
      </c>
      <c r="C2230" s="1014">
        <v>0.99654644257495106</v>
      </c>
      <c r="D2230" s="1014">
        <v>1.0094354781058774</v>
      </c>
      <c r="E2230" s="1014">
        <v>1.0298091964162233</v>
      </c>
      <c r="F2230" s="1014">
        <v>0.95934915081972549</v>
      </c>
      <c r="G2230" s="1014">
        <v>0.99762914843879824</v>
      </c>
      <c r="H2230" s="1014">
        <v>1.0179133943328404</v>
      </c>
      <c r="I2230" s="1014">
        <v>1.039852394490824</v>
      </c>
      <c r="K2230">
        <v>2.3796490287638559</v>
      </c>
      <c r="L2230">
        <v>0</v>
      </c>
      <c r="M2230">
        <v>1.5729984277707107E-3</v>
      </c>
      <c r="N2230">
        <v>0.15666891847310271</v>
      </c>
      <c r="O2230">
        <v>2.1034715013675931E-2</v>
      </c>
      <c r="P2230">
        <v>2.8524209240150963E-2</v>
      </c>
      <c r="Q2230">
        <v>5.670395567004681E-3</v>
      </c>
      <c r="R2230">
        <v>1.5526006113976121E-3</v>
      </c>
      <c r="S2230">
        <v>0.27043624219329765</v>
      </c>
      <c r="T2230">
        <v>1.3165006529874257</v>
      </c>
      <c r="U2230">
        <v>0.21281046487677729</v>
      </c>
      <c r="V2230">
        <v>0.24523774995107933</v>
      </c>
      <c r="W2230">
        <v>0.10113431935388877</v>
      </c>
      <c r="X2230">
        <v>1.7426091874256033E-2</v>
      </c>
      <c r="Y2230">
        <v>4.2256670495703069E-3</v>
      </c>
    </row>
    <row r="2231" spans="1:25">
      <c r="A2231" s="1010"/>
      <c r="B2231" s="1351">
        <v>1981</v>
      </c>
      <c r="C2231" s="1014">
        <v>1.0085850446394087</v>
      </c>
      <c r="D2231" s="1014">
        <v>0.99560440132097427</v>
      </c>
      <c r="E2231" s="1014">
        <v>1.0210639535451649</v>
      </c>
      <c r="F2231" s="1014">
        <v>1.0193140350953849</v>
      </c>
      <c r="G2231" s="1014">
        <v>0.97420674644877103</v>
      </c>
      <c r="H2231" s="1014">
        <v>1.0290091464144333</v>
      </c>
      <c r="I2231" s="1014">
        <v>1.0194573456419174</v>
      </c>
      <c r="K2231">
        <v>2.4481234925238602</v>
      </c>
      <c r="L2231">
        <v>0</v>
      </c>
      <c r="M2231">
        <v>1.6049027843955065E-3</v>
      </c>
      <c r="N2231">
        <v>0.15570824016795493</v>
      </c>
      <c r="O2231">
        <v>2.0841038602154503E-2</v>
      </c>
      <c r="P2231">
        <v>2.9299823172452125E-2</v>
      </c>
      <c r="Q2231">
        <v>5.5696971398103519E-3</v>
      </c>
      <c r="R2231">
        <v>1.5843156588062901E-3</v>
      </c>
      <c r="S2231">
        <v>0.26465902914582201</v>
      </c>
      <c r="T2231">
        <v>1.398595820796205</v>
      </c>
      <c r="U2231">
        <v>0.21024057841005941</v>
      </c>
      <c r="V2231">
        <v>0.24052303039699027</v>
      </c>
      <c r="W2231">
        <v>0.10102756305530708</v>
      </c>
      <c r="X2231">
        <v>1.7367273808936341E-2</v>
      </c>
      <c r="Y2231">
        <v>4.3119849537541586E-3</v>
      </c>
    </row>
    <row r="2232" spans="1:25">
      <c r="A2232" s="1010"/>
      <c r="B2232" s="1351">
        <v>1982</v>
      </c>
      <c r="C2232" s="1014">
        <v>0.98674245436103769</v>
      </c>
      <c r="D2232" s="1014">
        <v>0.98715231955151428</v>
      </c>
      <c r="E2232" s="1014">
        <v>0.98408499518892201</v>
      </c>
      <c r="F2232" s="1014">
        <v>0.99714180177224954</v>
      </c>
      <c r="G2232" s="1014">
        <v>0.97287481374738227</v>
      </c>
      <c r="H2232" s="1014">
        <v>1.0059442593204631</v>
      </c>
      <c r="I2232" s="1014">
        <v>0.99278991660613847</v>
      </c>
      <c r="K2232">
        <v>2.4119997351710931</v>
      </c>
      <c r="L2232">
        <v>0</v>
      </c>
      <c r="M2232">
        <v>1.7348122218366561E-3</v>
      </c>
      <c r="N2232">
        <v>0.15047871764926615</v>
      </c>
      <c r="O2232">
        <v>2.1317417949466868E-2</v>
      </c>
      <c r="P2232">
        <v>2.813011795697867E-2</v>
      </c>
      <c r="Q2232">
        <v>5.4894198250221701E-3</v>
      </c>
      <c r="R2232">
        <v>1.7120484211209347E-3</v>
      </c>
      <c r="S2232">
        <v>0.26227697329228128</v>
      </c>
      <c r="T2232">
        <v>1.3673755112187409</v>
      </c>
      <c r="U2232">
        <v>0.21476632686123381</v>
      </c>
      <c r="V2232">
        <v>0.24179242540535009</v>
      </c>
      <c r="W2232">
        <v>9.9799749560676262E-2</v>
      </c>
      <c r="X2232">
        <v>1.5936207827108952E-2</v>
      </c>
      <c r="Y2232">
        <v>4.6596314256808422E-3</v>
      </c>
    </row>
    <row r="2233" spans="1:25">
      <c r="A2233" s="1010"/>
      <c r="B2233" s="1351">
        <v>1983</v>
      </c>
      <c r="C2233" s="1014">
        <v>0.97461087664354318</v>
      </c>
      <c r="D2233" s="1014">
        <v>1.0024314764222013</v>
      </c>
      <c r="E2233" s="1014">
        <v>1.0052299617265612</v>
      </c>
      <c r="F2233" s="1014">
        <v>0.99994156075022689</v>
      </c>
      <c r="G2233" s="1014">
        <v>1.0051558664841689</v>
      </c>
      <c r="H2233" s="1014">
        <v>1.0233577245825534</v>
      </c>
      <c r="I2233" s="1014">
        <v>1.0280561588229649</v>
      </c>
      <c r="K2233">
        <v>2.450313183992832</v>
      </c>
      <c r="L2233">
        <v>0</v>
      </c>
      <c r="M2233">
        <v>1.7044267469822957E-3</v>
      </c>
      <c r="N2233">
        <v>0.15763561467143275</v>
      </c>
      <c r="O2233">
        <v>2.1524341212854025E-2</v>
      </c>
      <c r="P2233">
        <v>2.8929871961219968E-2</v>
      </c>
      <c r="Q2233">
        <v>5.6621301937673932E-3</v>
      </c>
      <c r="R2233">
        <v>1.682442221957662E-3</v>
      </c>
      <c r="S2233">
        <v>0.27461113369237472</v>
      </c>
      <c r="T2233">
        <v>1.3716716098184758</v>
      </c>
      <c r="U2233">
        <v>0.21751375297354397</v>
      </c>
      <c r="V2233">
        <v>0.24801829990497351</v>
      </c>
      <c r="W2233">
        <v>0.10323515062873068</v>
      </c>
      <c r="X2233">
        <v>1.6954210349242521E-2</v>
      </c>
      <c r="Y2233">
        <v>4.5790531112393455E-3</v>
      </c>
    </row>
    <row r="2234" spans="1:25">
      <c r="A2234" s="1010"/>
      <c r="B2234" s="1351">
        <v>1984</v>
      </c>
      <c r="C2234" s="1014">
        <v>0.9566251870397755</v>
      </c>
      <c r="D2234" s="1014">
        <v>0.98650562537509512</v>
      </c>
      <c r="E2234" s="1014">
        <v>0.96988581198355706</v>
      </c>
      <c r="F2234" s="1014">
        <v>1.0137914760512916</v>
      </c>
      <c r="G2234" s="1014">
        <v>1.025845867452448</v>
      </c>
      <c r="H2234" s="1014">
        <v>0.95937290008242093</v>
      </c>
      <c r="I2234" s="1014">
        <v>1.0179362157722935</v>
      </c>
      <c r="K2234">
        <v>2.4575493639600254</v>
      </c>
      <c r="L2234">
        <v>0</v>
      </c>
      <c r="M2234">
        <v>1.7576633941317975E-3</v>
      </c>
      <c r="N2234">
        <v>0.14595388352645247</v>
      </c>
      <c r="O2234">
        <v>2.198187717092253E-2</v>
      </c>
      <c r="P2234">
        <v>2.8510439696954538E-2</v>
      </c>
      <c r="Q2234">
        <v>5.5792821643882908E-3</v>
      </c>
      <c r="R2234">
        <v>1.7334801544699493E-3</v>
      </c>
      <c r="S2234">
        <v>0.27312948457035519</v>
      </c>
      <c r="T2234">
        <v>1.3898972699513468</v>
      </c>
      <c r="U2234">
        <v>0.22147723015697782</v>
      </c>
      <c r="V2234">
        <v>0.25288586402258917</v>
      </c>
      <c r="W2234">
        <v>9.7634321757541415E-2</v>
      </c>
      <c r="X2234">
        <v>1.5805932643268607E-2</v>
      </c>
      <c r="Y2234">
        <v>4.7179615388878585E-3</v>
      </c>
    </row>
    <row r="2235" spans="1:25">
      <c r="A2235" s="1010"/>
      <c r="B2235" s="1351">
        <v>1985</v>
      </c>
      <c r="C2235" s="1014">
        <v>1.0246213141710081</v>
      </c>
      <c r="D2235" s="1014">
        <v>0.98390166845508586</v>
      </c>
      <c r="E2235" s="1014">
        <v>1.0399961866144671</v>
      </c>
      <c r="F2235" s="1014">
        <v>0.9788882965964083</v>
      </c>
      <c r="G2235" s="1014">
        <v>1.0185037807879922</v>
      </c>
      <c r="H2235" s="1014">
        <v>1.0069458510140523</v>
      </c>
      <c r="I2235" s="1014">
        <v>1.0059481598089146</v>
      </c>
      <c r="K2235">
        <v>2.3823919932403084</v>
      </c>
      <c r="L2235">
        <v>0</v>
      </c>
      <c r="M2235">
        <v>1.4899784720263148E-3</v>
      </c>
      <c r="N2235">
        <v>0.15300461981168204</v>
      </c>
      <c r="O2235">
        <v>2.0580654991019461E-2</v>
      </c>
      <c r="P2235">
        <v>2.886836903897684E-2</v>
      </c>
      <c r="Q2235">
        <v>5.6040024217197644E-3</v>
      </c>
      <c r="R2235">
        <v>1.4704467697730301E-3</v>
      </c>
      <c r="S2235">
        <v>0.2568912212933987</v>
      </c>
      <c r="T2235">
        <v>1.3435310641108791</v>
      </c>
      <c r="U2235">
        <v>0.20701356910335567</v>
      </c>
      <c r="V2235">
        <v>0.24704692289436608</v>
      </c>
      <c r="W2235">
        <v>9.8188808034235076E-2</v>
      </c>
      <c r="X2235">
        <v>1.7680221868255457E-2</v>
      </c>
      <c r="Y2235">
        <v>4.0020713746748053E-3</v>
      </c>
    </row>
    <row r="2236" spans="1:25">
      <c r="A2236" s="1010"/>
      <c r="B2236" s="1351">
        <v>1986</v>
      </c>
      <c r="C2236" s="1014">
        <v>1.0389308490118472</v>
      </c>
      <c r="D2236" s="1014">
        <v>1.0062064657488121</v>
      </c>
      <c r="E2236" s="1014">
        <v>0.96934126939964094</v>
      </c>
      <c r="F2236" s="1014">
        <v>1.0093256925218927</v>
      </c>
      <c r="G2236" s="1014">
        <v>0.99748701654026839</v>
      </c>
      <c r="H2236" s="1014">
        <v>0.96292753816833021</v>
      </c>
      <c r="I2236" s="1014">
        <v>0.97011938481309412</v>
      </c>
      <c r="K2236">
        <v>2.3643495377227337</v>
      </c>
      <c r="L2236">
        <v>0</v>
      </c>
      <c r="M2236">
        <v>1.6191831564019972E-3</v>
      </c>
      <c r="N2236">
        <v>0.13424007885832112</v>
      </c>
      <c r="O2236">
        <v>2.0152235908042378E-2</v>
      </c>
      <c r="P2236">
        <v>2.7575183114944682E-2</v>
      </c>
      <c r="Q2236">
        <v>5.112049171877929E-3</v>
      </c>
      <c r="R2236">
        <v>1.5969874695560321E-3</v>
      </c>
      <c r="S2236">
        <v>0.23757386605245998</v>
      </c>
      <c r="T2236">
        <v>1.383762916529405</v>
      </c>
      <c r="U2236">
        <v>0.20392968864219749</v>
      </c>
      <c r="V2236">
        <v>0.24287633764903899</v>
      </c>
      <c r="W2236">
        <v>8.9828270500356647E-2</v>
      </c>
      <c r="X2236">
        <v>1.4974633537582644E-2</v>
      </c>
      <c r="Y2236">
        <v>4.3464734453536663E-3</v>
      </c>
    </row>
    <row r="2237" spans="1:25">
      <c r="A2237" s="1010"/>
      <c r="B2237" s="1351">
        <v>1987</v>
      </c>
      <c r="C2237" s="1014">
        <v>1.029910577022648</v>
      </c>
      <c r="D2237" s="1014">
        <v>1.0078453367659159</v>
      </c>
      <c r="E2237" s="1014">
        <v>1.0099993482874587</v>
      </c>
      <c r="F2237" s="1014">
        <v>0.97463478345225385</v>
      </c>
      <c r="G2237" s="1014">
        <v>1.0072417740919437</v>
      </c>
      <c r="H2237" s="1014">
        <v>1.0185322521583067</v>
      </c>
      <c r="I2237" s="1014">
        <v>0.99904467672833819</v>
      </c>
      <c r="K2237">
        <v>2.359959303838024</v>
      </c>
      <c r="L2237">
        <v>0</v>
      </c>
      <c r="M2237">
        <v>1.5876002768616057E-3</v>
      </c>
      <c r="N2237">
        <v>0.14895143223683843</v>
      </c>
      <c r="O2237">
        <v>2.034756987166424E-2</v>
      </c>
      <c r="P2237">
        <v>2.8035563968324878E-2</v>
      </c>
      <c r="Q2237">
        <v>5.3781861680748414E-3</v>
      </c>
      <c r="R2237">
        <v>1.5670256201024124E-3</v>
      </c>
      <c r="S2237">
        <v>0.25149680591689122</v>
      </c>
      <c r="T2237">
        <v>1.3370576830787886</v>
      </c>
      <c r="U2237">
        <v>0.20585048482120397</v>
      </c>
      <c r="V2237">
        <v>0.24491948629645477</v>
      </c>
      <c r="W2237">
        <v>9.7273429715764331E-2</v>
      </c>
      <c r="X2237">
        <v>1.6404309252718578E-2</v>
      </c>
      <c r="Y2237">
        <v>4.2649271680619306E-3</v>
      </c>
    </row>
    <row r="2238" spans="1:25">
      <c r="A2238" s="1010"/>
      <c r="B2238" s="1351">
        <v>1988</v>
      </c>
      <c r="C2238" s="1014">
        <v>1.0007353590679136</v>
      </c>
      <c r="D2238" s="1014">
        <v>1.0404190332310619</v>
      </c>
      <c r="E2238" s="1014">
        <v>0.97288376138364574</v>
      </c>
      <c r="F2238" s="1014">
        <v>0.996917903018542</v>
      </c>
      <c r="G2238" s="1014">
        <v>0.96487577603760111</v>
      </c>
      <c r="H2238" s="1014">
        <v>1.0184965554023417</v>
      </c>
      <c r="I2238" s="1014">
        <v>1.0114396287645999</v>
      </c>
      <c r="K2238">
        <v>2.3946305907281538</v>
      </c>
      <c r="L2238">
        <v>0</v>
      </c>
      <c r="M2238">
        <v>1.7520962319868369E-3</v>
      </c>
      <c r="N2238">
        <v>0.14693706268637455</v>
      </c>
      <c r="O2238">
        <v>2.0770380177047899E-2</v>
      </c>
      <c r="P2238">
        <v>2.7752034516890869E-2</v>
      </c>
      <c r="Q2238">
        <v>5.287954433377145E-3</v>
      </c>
      <c r="R2238">
        <v>1.7293889784277998E-3</v>
      </c>
      <c r="S2238">
        <v>0.25763257935489114</v>
      </c>
      <c r="T2238">
        <v>1.3668280372094803</v>
      </c>
      <c r="U2238">
        <v>0.21172520272525167</v>
      </c>
      <c r="V2238">
        <v>0.23958101239579613</v>
      </c>
      <c r="W2238">
        <v>9.81130207032163E-2</v>
      </c>
      <c r="X2238">
        <v>1.5319187073027957E-2</v>
      </c>
      <c r="Y2238">
        <v>4.7068267063569485E-3</v>
      </c>
    </row>
    <row r="2239" spans="1:25">
      <c r="A2239" s="1010"/>
      <c r="B2239" s="1351">
        <v>1989</v>
      </c>
      <c r="C2239" s="1014">
        <v>1.030023071726893</v>
      </c>
      <c r="D2239" s="1014">
        <v>0.97298871133751141</v>
      </c>
      <c r="E2239" s="1014">
        <v>1.0209641560000116</v>
      </c>
      <c r="F2239" s="1014">
        <v>1.0031437358548905</v>
      </c>
      <c r="G2239" s="1014">
        <v>1.0145150028691399</v>
      </c>
      <c r="H2239" s="1014">
        <v>1.0127377760999456</v>
      </c>
      <c r="I2239" s="1014">
        <v>1.0037581796099193</v>
      </c>
      <c r="K2239">
        <v>2.4098677595548379</v>
      </c>
      <c r="L2239">
        <v>0</v>
      </c>
      <c r="M2239">
        <v>1.554811166680644E-3</v>
      </c>
      <c r="N2239">
        <v>0.15077144415578567</v>
      </c>
      <c r="O2239">
        <v>2.051062699570581E-2</v>
      </c>
      <c r="P2239">
        <v>2.889735400084836E-2</v>
      </c>
      <c r="Q2239">
        <v>5.4808522584711382E-3</v>
      </c>
      <c r="R2239">
        <v>1.5345461549443817E-3</v>
      </c>
      <c r="S2239">
        <v>0.25675059962104724</v>
      </c>
      <c r="T2239">
        <v>1.3764064578240565</v>
      </c>
      <c r="U2239">
        <v>0.20586447697776319</v>
      </c>
      <c r="V2239">
        <v>0.2461148454818323</v>
      </c>
      <c r="W2239">
        <v>9.7830148455560442E-2</v>
      </c>
      <c r="X2239">
        <v>1.708469002474821E-2</v>
      </c>
      <c r="Y2239">
        <v>4.1765287707545822E-3</v>
      </c>
    </row>
    <row r="2240" spans="1:25">
      <c r="A2240" s="1010"/>
      <c r="B2240" s="1351">
        <v>1990</v>
      </c>
      <c r="C2240" s="1014">
        <v>0.98459084980952594</v>
      </c>
      <c r="D2240" s="1014">
        <v>1.001966587580654</v>
      </c>
      <c r="E2240" s="1014">
        <v>0.99557014188353821</v>
      </c>
      <c r="F2240" s="1014">
        <v>0.99883142642150902</v>
      </c>
      <c r="G2240" s="1014">
        <v>1.0174192314367698</v>
      </c>
      <c r="H2240" s="1014">
        <v>1.0086784525818406</v>
      </c>
      <c r="I2240" s="1014">
        <v>1.005005848078917</v>
      </c>
      <c r="K2240">
        <v>2.428280524389649</v>
      </c>
      <c r="L2240">
        <v>0</v>
      </c>
      <c r="M2240">
        <v>1.6967820769164268E-3</v>
      </c>
      <c r="N2240">
        <v>0.15238605506746247</v>
      </c>
      <c r="O2240">
        <v>2.1301832474018824E-2</v>
      </c>
      <c r="P2240">
        <v>2.8550168749137159E-2</v>
      </c>
      <c r="Q2240">
        <v>5.5494627403353614E-3</v>
      </c>
      <c r="R2240">
        <v>1.6745776513186388E-3</v>
      </c>
      <c r="S2240">
        <v>0.2644393068514535</v>
      </c>
      <c r="T2240">
        <v>1.3699400835068707</v>
      </c>
      <c r="U2240">
        <v>0.21527545981821816</v>
      </c>
      <c r="V2240">
        <v>0.24949851041319943</v>
      </c>
      <c r="W2240">
        <v>0.10037165812525313</v>
      </c>
      <c r="X2240">
        <v>1.6432542726780457E-2</v>
      </c>
      <c r="Y2240">
        <v>4.5576483425149358E-3</v>
      </c>
    </row>
    <row r="2241" spans="1:25">
      <c r="A2241" s="1010"/>
      <c r="B2241" s="1351">
        <v>1991</v>
      </c>
      <c r="C2241" s="1014">
        <v>0.98819375452545044</v>
      </c>
      <c r="D2241" s="1014">
        <v>0.9848231028442529</v>
      </c>
      <c r="E2241" s="1014">
        <v>1.0279731796380602</v>
      </c>
      <c r="F2241" s="1014">
        <v>0.99246235963469454</v>
      </c>
      <c r="G2241" s="1014">
        <v>0.95957465639633244</v>
      </c>
      <c r="H2241" s="1014">
        <v>1.0129617598623122</v>
      </c>
      <c r="I2241" s="1014">
        <v>0.99224410609483538</v>
      </c>
      <c r="K2241">
        <v>2.4164775020465101</v>
      </c>
      <c r="L2241">
        <v>0</v>
      </c>
      <c r="M2241">
        <v>1.5932564900591924E-3</v>
      </c>
      <c r="N2241">
        <v>0.15780051999319419</v>
      </c>
      <c r="O2241">
        <v>2.1326777633189853E-2</v>
      </c>
      <c r="P2241">
        <v>2.8957379652681709E-2</v>
      </c>
      <c r="Q2241">
        <v>5.7386947862733372E-3</v>
      </c>
      <c r="R2241">
        <v>1.5724949835463978E-3</v>
      </c>
      <c r="S2241">
        <v>0.26302462221225159</v>
      </c>
      <c r="T2241">
        <v>1.3619017875291581</v>
      </c>
      <c r="U2241">
        <v>0.21460286248224078</v>
      </c>
      <c r="V2241">
        <v>0.23927999134001735</v>
      </c>
      <c r="W2241">
        <v>0.10197351710328641</v>
      </c>
      <c r="X2241">
        <v>1.7612297848348682E-2</v>
      </c>
      <c r="Y2241">
        <v>4.279812972381284E-3</v>
      </c>
    </row>
    <row r="2242" spans="1:25">
      <c r="A2242" s="1010"/>
      <c r="B2242" s="1351">
        <v>1992</v>
      </c>
      <c r="C2242" s="1014">
        <v>0.97153396313686857</v>
      </c>
      <c r="D2242" s="1014">
        <v>0.97496327389306814</v>
      </c>
      <c r="E2242" s="1014">
        <v>0.98721062096528744</v>
      </c>
      <c r="F2242" s="1014">
        <v>0.99382297528666708</v>
      </c>
      <c r="G2242" s="1014">
        <v>1.038981969498477</v>
      </c>
      <c r="H2242" s="1014">
        <v>0.99509335076201022</v>
      </c>
      <c r="I2242" s="1014">
        <v>1.0238314118498513</v>
      </c>
      <c r="K2242">
        <v>2.4400130549871557</v>
      </c>
      <c r="L2242">
        <v>0</v>
      </c>
      <c r="M2242">
        <v>1.7364644137196883E-3</v>
      </c>
      <c r="N2242">
        <v>0.15203058851799525</v>
      </c>
      <c r="O2242">
        <v>2.171252735458961E-2</v>
      </c>
      <c r="P2242">
        <v>2.8525874589894373E-2</v>
      </c>
      <c r="Q2242">
        <v>5.6088987537218395E-3</v>
      </c>
      <c r="R2242">
        <v>1.7134304710465828E-3</v>
      </c>
      <c r="S2242">
        <v>0.27548236256586744</v>
      </c>
      <c r="T2242">
        <v>1.362891408038972</v>
      </c>
      <c r="U2242">
        <v>0.21813927270990638</v>
      </c>
      <c r="V2242">
        <v>0.2540644083145755</v>
      </c>
      <c r="W2242">
        <v>0.10063970386564175</v>
      </c>
      <c r="X2242">
        <v>1.6277651308673931E-2</v>
      </c>
      <c r="Y2242">
        <v>4.6633929099858182E-3</v>
      </c>
    </row>
    <row r="2243" spans="1:25">
      <c r="A2243" s="1010"/>
      <c r="B2243" s="1351">
        <v>1993</v>
      </c>
      <c r="C2243" s="1014">
        <v>1.0146911157623852</v>
      </c>
      <c r="D2243" s="1014">
        <v>0.98400072564815788</v>
      </c>
      <c r="E2243" s="1014">
        <v>0.9699736627365052</v>
      </c>
      <c r="F2243" s="1014">
        <v>0.99692205728625871</v>
      </c>
      <c r="G2243" s="1014">
        <v>1.0153762165967182</v>
      </c>
      <c r="H2243" s="1014">
        <v>1.0260047550072013</v>
      </c>
      <c r="I2243" s="1014">
        <v>1.0436819540638047</v>
      </c>
      <c r="K2243">
        <v>2.4130585528820259</v>
      </c>
      <c r="L2243">
        <v>0</v>
      </c>
      <c r="M2243">
        <v>1.7728407920278581E-3</v>
      </c>
      <c r="N2243">
        <v>0.14738676942388643</v>
      </c>
      <c r="O2243">
        <v>2.0735611360408968E-2</v>
      </c>
      <c r="P2243">
        <v>2.7922042129050278E-2</v>
      </c>
      <c r="Q2243">
        <v>5.2634365308391181E-3</v>
      </c>
      <c r="R2243">
        <v>1.7500328247666097E-3</v>
      </c>
      <c r="S2243">
        <v>0.27019841187255933</v>
      </c>
      <c r="T2243">
        <v>1.3667713595928617</v>
      </c>
      <c r="U2243">
        <v>0.20880344003943804</v>
      </c>
      <c r="V2243">
        <v>0.24736550925124492</v>
      </c>
      <c r="W2243">
        <v>9.8587563968877981E-2</v>
      </c>
      <c r="X2243">
        <v>1.5284204229269164E-2</v>
      </c>
      <c r="Y2243">
        <v>4.7630124508490721E-3</v>
      </c>
    </row>
    <row r="2244" spans="1:25">
      <c r="A2244" s="1010"/>
      <c r="B2244" s="1351">
        <v>1994</v>
      </c>
      <c r="C2244" s="1014">
        <v>1.0416535477184605</v>
      </c>
      <c r="D2244" s="1014">
        <v>1.0254403282471634</v>
      </c>
      <c r="E2244" s="1014">
        <v>0.97411338759642752</v>
      </c>
      <c r="F2244" s="1014">
        <v>1.0273587255202008</v>
      </c>
      <c r="G2244" s="1014">
        <v>1.0154318243615643</v>
      </c>
      <c r="H2244" s="1014">
        <v>1.0142554841404166</v>
      </c>
      <c r="I2244" s="1014">
        <v>1.0000758245598342</v>
      </c>
      <c r="K2244">
        <v>2.4123667089791652</v>
      </c>
      <c r="L2244">
        <v>0</v>
      </c>
      <c r="M2244">
        <v>1.6773517766273754E-3</v>
      </c>
      <c r="N2244">
        <v>0.14118554742697267</v>
      </c>
      <c r="O2244">
        <v>2.0019017566818877E-2</v>
      </c>
      <c r="P2244">
        <v>2.8154919590914235E-2</v>
      </c>
      <c r="Q2244">
        <v>5.1030610553222276E-3</v>
      </c>
      <c r="R2244">
        <v>1.6555223159148385E-3</v>
      </c>
      <c r="S2244">
        <v>0.24615959770678661</v>
      </c>
      <c r="T2244">
        <v>1.4085912131570903</v>
      </c>
      <c r="U2244">
        <v>0.20341224041143441</v>
      </c>
      <c r="V2244">
        <v>0.2457684055981238</v>
      </c>
      <c r="W2244">
        <v>9.4202280030220312E-2</v>
      </c>
      <c r="X2244">
        <v>1.52864698950593E-2</v>
      </c>
      <c r="Y2244">
        <v>4.5057860011354211E-3</v>
      </c>
    </row>
    <row r="2245" spans="1:25">
      <c r="A2245" s="1010"/>
      <c r="B2245" s="1351">
        <v>1995</v>
      </c>
      <c r="C2245" s="1014">
        <v>0.96447368933610134</v>
      </c>
      <c r="D2245" s="1014">
        <v>1.0039057095873585</v>
      </c>
      <c r="E2245" s="1014">
        <v>0.99147244717609406</v>
      </c>
      <c r="F2245" s="1014">
        <v>0.99959297283150117</v>
      </c>
      <c r="G2245" s="1014">
        <v>1.0201738635598254</v>
      </c>
      <c r="H2245" s="1014">
        <v>0.98103740133401307</v>
      </c>
      <c r="I2245" s="1014">
        <v>1.0203524409881262</v>
      </c>
      <c r="K2245">
        <v>2.4402849312662003</v>
      </c>
      <c r="L2245">
        <v>0</v>
      </c>
      <c r="M2245">
        <v>1.6983503713920664E-3</v>
      </c>
      <c r="N2245">
        <v>0.15059308630944127</v>
      </c>
      <c r="O2245">
        <v>2.1734087450495477E-2</v>
      </c>
      <c r="P2245">
        <v>2.8653693284039015E-2</v>
      </c>
      <c r="Q2245">
        <v>5.6387148129364772E-3</v>
      </c>
      <c r="R2245">
        <v>1.6754992275504574E-3</v>
      </c>
      <c r="S2245">
        <v>0.27129247577496213</v>
      </c>
      <c r="T2245">
        <v>1.370896103533134</v>
      </c>
      <c r="U2245">
        <v>0.21975120496237996</v>
      </c>
      <c r="V2245">
        <v>0.25130570189935725</v>
      </c>
      <c r="W2245">
        <v>9.9433799519092453E-2</v>
      </c>
      <c r="X2245">
        <v>1.6448758294984583E-2</v>
      </c>
      <c r="Y2245">
        <v>4.5601565692204226E-3</v>
      </c>
    </row>
    <row r="2246" spans="1:25">
      <c r="A2246" s="1010"/>
      <c r="B2246" s="1351">
        <v>1996</v>
      </c>
      <c r="C2246" s="1014">
        <v>1.0165675641621683</v>
      </c>
      <c r="D2246" s="1014">
        <v>0.9664673320080035</v>
      </c>
      <c r="E2246" s="1014">
        <v>1.0161455008234188</v>
      </c>
      <c r="F2246" s="1014">
        <v>0.98490653871403111</v>
      </c>
      <c r="G2246" s="1014">
        <v>1.0337157913293442</v>
      </c>
      <c r="H2246" s="1014">
        <v>1.0217160764405941</v>
      </c>
      <c r="I2246" s="1014">
        <v>0.98951619753545639</v>
      </c>
      <c r="K2246">
        <v>2.3979058579404007</v>
      </c>
      <c r="L2246">
        <v>0</v>
      </c>
      <c r="M2246">
        <v>1.6077458382241301E-3</v>
      </c>
      <c r="N2246">
        <v>0.15367219475981347</v>
      </c>
      <c r="O2246">
        <v>2.080970127370654E-2</v>
      </c>
      <c r="P2246">
        <v>2.856020939560738E-2</v>
      </c>
      <c r="Q2246">
        <v>5.5341749911423229E-3</v>
      </c>
      <c r="R2246">
        <v>1.5869750304986778E-3</v>
      </c>
      <c r="S2246">
        <v>0.2580378755326469</v>
      </c>
      <c r="T2246">
        <v>1.351280306495912</v>
      </c>
      <c r="U2246">
        <v>0.20857309476288252</v>
      </c>
      <c r="V2246">
        <v>0.25021170991074626</v>
      </c>
      <c r="W2246">
        <v>9.9994164150761455E-2</v>
      </c>
      <c r="X2246">
        <v>1.6933974588067838E-2</v>
      </c>
      <c r="Y2246">
        <v>4.3192228868391969E-3</v>
      </c>
    </row>
    <row r="2247" spans="1:25">
      <c r="A2247" s="1010"/>
      <c r="B2247" s="1351">
        <v>1997</v>
      </c>
      <c r="C2247" s="1014">
        <v>0.96979107668505871</v>
      </c>
      <c r="D2247" s="1014">
        <v>0.96210074817674074</v>
      </c>
      <c r="E2247" s="1014">
        <v>1.0234276596504166</v>
      </c>
      <c r="F2247" s="1014">
        <v>0.97650427720936617</v>
      </c>
      <c r="G2247" s="1014">
        <v>1.0284707259898556</v>
      </c>
      <c r="H2247" s="1014">
        <v>1.00276621551981</v>
      </c>
      <c r="I2247" s="1014">
        <v>0.96845220270312193</v>
      </c>
      <c r="K2247">
        <v>2.4155211638472185</v>
      </c>
      <c r="L2247">
        <v>0</v>
      </c>
      <c r="M2247">
        <v>1.6307879373864604E-3</v>
      </c>
      <c r="N2247">
        <v>0.15929751242727569</v>
      </c>
      <c r="O2247">
        <v>2.1840210837590957E-2</v>
      </c>
      <c r="P2247">
        <v>2.8802930682334138E-2</v>
      </c>
      <c r="Q2247">
        <v>5.8504371986997311E-3</v>
      </c>
      <c r="R2247">
        <v>1.6093213002501443E-3</v>
      </c>
      <c r="S2247">
        <v>0.26376688155053774</v>
      </c>
      <c r="T2247">
        <v>1.339906900244233</v>
      </c>
      <c r="U2247">
        <v>0.21865906516065328</v>
      </c>
      <c r="V2247">
        <v>0.25225129989725015</v>
      </c>
      <c r="W2247">
        <v>0.10321379607178814</v>
      </c>
      <c r="X2247">
        <v>1.7573554347332515E-2</v>
      </c>
      <c r="Y2247">
        <v>4.3800420666568439E-3</v>
      </c>
    </row>
    <row r="2248" spans="1:25">
      <c r="A2248" s="1010"/>
      <c r="B2248" s="1351">
        <v>1998</v>
      </c>
      <c r="C2248" s="1014">
        <v>0.99397795645076581</v>
      </c>
      <c r="D2248" s="1014">
        <v>1.0316157399596799</v>
      </c>
      <c r="E2248" s="1014">
        <v>1.0002470391689882</v>
      </c>
      <c r="F2248" s="1014">
        <v>1.0008531324250078</v>
      </c>
      <c r="G2248" s="1014">
        <v>0.99661751891358574</v>
      </c>
      <c r="H2248" s="1014">
        <v>1.0071527907392994</v>
      </c>
      <c r="I2248" s="1014">
        <v>0.97475402576833747</v>
      </c>
      <c r="K2248">
        <v>2.4066327553882823</v>
      </c>
      <c r="L2248">
        <v>0</v>
      </c>
      <c r="M2248">
        <v>1.6513899224677618E-3</v>
      </c>
      <c r="N2248">
        <v>0.15041721776901995</v>
      </c>
      <c r="O2248">
        <v>2.0968819819053942E-2</v>
      </c>
      <c r="P2248">
        <v>2.8411951082041448E-2</v>
      </c>
      <c r="Q2248">
        <v>5.488478906396102E-3</v>
      </c>
      <c r="R2248">
        <v>1.6297467715426306E-3</v>
      </c>
      <c r="S2248">
        <v>0.25030580597955837</v>
      </c>
      <c r="T2248">
        <v>1.3728141366300703</v>
      </c>
      <c r="U2248">
        <v>0.21325848125791583</v>
      </c>
      <c r="V2248">
        <v>0.2453306220163185</v>
      </c>
      <c r="W2248">
        <v>9.8799380822434668E-2</v>
      </c>
      <c r="X2248">
        <v>1.642387079013654E-2</v>
      </c>
      <c r="Y2248">
        <v>4.4356334662601898E-3</v>
      </c>
    </row>
    <row r="2249" spans="1:25">
      <c r="A2249" s="1010"/>
      <c r="B2249" s="1351">
        <v>1999</v>
      </c>
      <c r="C2249" s="1014">
        <v>0.9882782061917913</v>
      </c>
      <c r="D2249" s="1014">
        <v>0.98813670602952541</v>
      </c>
      <c r="E2249" s="1014">
        <v>1.0090568199512413</v>
      </c>
      <c r="F2249" s="1014">
        <v>0.99713446301428454</v>
      </c>
      <c r="G2249" s="1014">
        <v>0.95978936643120161</v>
      </c>
      <c r="H2249" s="1014">
        <v>1.0105404851499857</v>
      </c>
      <c r="I2249" s="1014">
        <v>0.98966994988202661</v>
      </c>
      <c r="K2249">
        <v>2.4156409249767643</v>
      </c>
      <c r="L2249">
        <v>0</v>
      </c>
      <c r="M2249">
        <v>1.6518767492356757E-3</v>
      </c>
      <c r="N2249">
        <v>0.15452552810728123</v>
      </c>
      <c r="O2249">
        <v>2.1296429492576981E-2</v>
      </c>
      <c r="P2249">
        <v>2.8620406259542337E-2</v>
      </c>
      <c r="Q2249">
        <v>5.6236824051413359E-3</v>
      </c>
      <c r="R2249">
        <v>1.6302997949480746E-3</v>
      </c>
      <c r="S2249">
        <v>0.26151462209367671</v>
      </c>
      <c r="T2249">
        <v>1.367903617450672</v>
      </c>
      <c r="U2249">
        <v>0.21451891151763638</v>
      </c>
      <c r="V2249">
        <v>0.23937389099486073</v>
      </c>
      <c r="W2249">
        <v>0.10096974198606451</v>
      </c>
      <c r="X2249">
        <v>1.6878533009934776E-2</v>
      </c>
      <c r="Y2249">
        <v>4.4371386136656905E-3</v>
      </c>
    </row>
    <row r="2250" spans="1:25">
      <c r="A2250" s="1010"/>
      <c r="B2250" s="1351">
        <v>2000</v>
      </c>
      <c r="C2250" s="1014">
        <v>1.0182443864326127</v>
      </c>
      <c r="D2250" s="1014">
        <v>1.0290144398745549</v>
      </c>
      <c r="E2250" s="1014">
        <v>0.97736381076187107</v>
      </c>
      <c r="F2250" s="1014">
        <v>1.0033862383891876</v>
      </c>
      <c r="G2250" s="1014">
        <v>1.0290302987115396</v>
      </c>
      <c r="H2250" s="1014">
        <v>0.99470558829939026</v>
      </c>
      <c r="I2250" s="1014">
        <v>1.0016555574939414</v>
      </c>
      <c r="K2250">
        <v>2.3935395988081698</v>
      </c>
      <c r="L2250">
        <v>0</v>
      </c>
      <c r="M2250">
        <v>1.6702950883057193E-3</v>
      </c>
      <c r="N2250">
        <v>0.14194471070493866</v>
      </c>
      <c r="O2250">
        <v>2.0465676250328965E-2</v>
      </c>
      <c r="P2250">
        <v>2.7951061882290709E-2</v>
      </c>
      <c r="Q2250">
        <v>5.234223954143382E-3</v>
      </c>
      <c r="R2250">
        <v>1.6481302348342437E-3</v>
      </c>
      <c r="S2250">
        <v>0.25018289156618428</v>
      </c>
      <c r="T2250">
        <v>1.3757931950370894</v>
      </c>
      <c r="U2250">
        <v>0.20809950130526642</v>
      </c>
      <c r="V2250">
        <v>0.24945635792921239</v>
      </c>
      <c r="W2250">
        <v>9.4522482469039812E-2</v>
      </c>
      <c r="X2250">
        <v>1.5425995369912892E-2</v>
      </c>
      <c r="Y2250">
        <v>4.4856671932329137E-3</v>
      </c>
    </row>
  </sheetData>
  <mergeCells count="3">
    <mergeCell ref="P12:Q12"/>
    <mergeCell ref="R12:U12"/>
    <mergeCell ref="B11:C11"/>
  </mergeCells>
  <dataValidations disablePrompts="1"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G59" zoomScale="85" zoomScaleNormal="85" workbookViewId="0">
      <selection activeCell="Q65" sqref="Q65:Q113"/>
    </sheetView>
  </sheetViews>
  <sheetFormatPr defaultColWidth="11" defaultRowHeight="12.75"/>
  <cols>
    <col min="1" max="1" width="27.28515625" style="48" customWidth="1"/>
    <col min="2" max="2" width="28.7109375" style="48" customWidth="1"/>
    <col min="3" max="3" width="25.28515625" style="48" customWidth="1"/>
    <col min="4" max="4" width="18.7109375" style="48" customWidth="1"/>
    <col min="5" max="5" width="49.7109375" style="48" customWidth="1"/>
    <col min="6" max="6" width="24.85546875" style="48" customWidth="1"/>
    <col min="7" max="7" width="25.7109375" style="48" customWidth="1"/>
    <col min="8" max="8" width="21.140625" style="48" customWidth="1"/>
    <col min="9" max="9" width="29.7109375" style="48" customWidth="1"/>
    <col min="10" max="10" width="27.28515625" style="48" customWidth="1"/>
    <col min="11" max="11" width="25" style="48" customWidth="1"/>
    <col min="12" max="12" width="25.85546875" style="48" customWidth="1"/>
    <col min="13" max="13" width="21" style="48" customWidth="1"/>
    <col min="14" max="14" width="22.7109375" style="48" customWidth="1"/>
    <col min="15" max="15" width="28.28515625" style="48" customWidth="1"/>
    <col min="16" max="16" width="28.85546875" style="48" customWidth="1"/>
    <col min="17" max="17" width="26.85546875" style="48" customWidth="1"/>
    <col min="18" max="18" width="23.5703125" style="48" customWidth="1"/>
    <col min="19" max="19" width="22.140625" style="48" customWidth="1"/>
    <col min="20" max="20" width="20.85546875" style="48" customWidth="1"/>
    <col min="21" max="21" width="21.42578125" style="48" customWidth="1"/>
    <col min="22" max="22" width="18.85546875" style="48" customWidth="1"/>
    <col min="23" max="23" width="20.42578125" style="48" customWidth="1"/>
    <col min="24" max="24" width="19.28515625" style="48" customWidth="1"/>
    <col min="25" max="25" width="14.7109375" style="48" customWidth="1"/>
    <col min="26" max="26" width="15.7109375" style="48" customWidth="1"/>
    <col min="27" max="27" width="15.5703125" style="48" customWidth="1"/>
    <col min="28" max="28" width="15.7109375" style="48" customWidth="1"/>
    <col min="29" max="29" width="16.7109375" style="48" customWidth="1"/>
    <col min="30" max="30" width="14.85546875" style="48" customWidth="1"/>
    <col min="31" max="31" width="15.42578125" style="48" customWidth="1"/>
    <col min="32" max="32" width="11" style="48"/>
    <col min="33" max="33" width="14.85546875" style="48" customWidth="1"/>
    <col min="34" max="16384" width="11" style="48"/>
  </cols>
  <sheetData>
    <row r="1" spans="1:20" ht="15" customHeight="1" thickBot="1">
      <c r="D1" s="37"/>
    </row>
    <row r="2" spans="1:20" ht="15" customHeight="1" thickTop="1">
      <c r="A2" s="562" t="s">
        <v>492</v>
      </c>
      <c r="B2" s="556"/>
      <c r="C2" s="557"/>
      <c r="D2" s="37"/>
    </row>
    <row r="3" spans="1:20" ht="15" customHeight="1">
      <c r="A3" s="563" t="s">
        <v>493</v>
      </c>
      <c r="B3" s="558"/>
      <c r="C3" s="559"/>
      <c r="F3" s="36"/>
      <c r="G3" s="37"/>
    </row>
    <row r="4" spans="1:20" ht="30.75" customHeight="1">
      <c r="A4" s="563" t="s">
        <v>494</v>
      </c>
      <c r="B4" s="558"/>
      <c r="C4" s="559"/>
      <c r="T4" s="141"/>
    </row>
    <row r="5" spans="1:20" ht="26.25" customHeight="1">
      <c r="A5" s="563" t="s">
        <v>79</v>
      </c>
      <c r="B5" s="558"/>
      <c r="C5" s="559"/>
      <c r="T5" s="141"/>
    </row>
    <row r="6" spans="1:20" ht="15" customHeight="1" thickBot="1">
      <c r="A6" s="564" t="s">
        <v>495</v>
      </c>
      <c r="B6" s="560"/>
      <c r="C6" s="561"/>
      <c r="T6" s="141"/>
    </row>
    <row r="7" spans="1:20" ht="15" customHeight="1" thickTop="1">
      <c r="T7" s="141"/>
    </row>
    <row r="8" spans="1:20" ht="15" customHeight="1">
      <c r="T8" s="141"/>
    </row>
    <row r="9" spans="1:20" ht="15" customHeight="1">
      <c r="T9" s="141"/>
    </row>
    <row r="10" spans="1:20" ht="15" customHeight="1">
      <c r="T10" s="141"/>
    </row>
    <row r="11" spans="1:20" ht="15" customHeight="1">
      <c r="T11" s="141"/>
    </row>
    <row r="12" spans="1:20" ht="29.25" customHeight="1">
      <c r="T12" s="141"/>
    </row>
    <row r="13" spans="1:20" ht="15" customHeight="1">
      <c r="A13" s="129"/>
      <c r="G13" s="36"/>
      <c r="H13" s="37"/>
    </row>
    <row r="14" spans="1:20" ht="15" customHeight="1" thickBot="1">
      <c r="A14" s="126"/>
    </row>
    <row r="15" spans="1:20" ht="29.25" customHeight="1" thickTop="1" thickBot="1">
      <c r="A15" s="145" t="s">
        <v>89</v>
      </c>
      <c r="B15" s="140"/>
      <c r="D15" s="1525" t="s">
        <v>65</v>
      </c>
      <c r="E15" s="1526"/>
    </row>
    <row r="16" spans="1:20" ht="39" thickTop="1">
      <c r="A16" s="146" t="s">
        <v>90</v>
      </c>
      <c r="B16" s="147"/>
      <c r="D16" s="298" t="str">
        <f>"Hydrogen Cost (Year "&amp;TEXT(ref_year,"0")&amp;" Real $/kg)"</f>
        <v>Hydrogen Cost (Year 2016 Real $/kg)</v>
      </c>
      <c r="E16" s="1125">
        <f ca="1">H2_price_nominal/INFLATION_FACTOR</f>
        <v>4.8303421688568413</v>
      </c>
    </row>
    <row r="17" spans="1:10" ht="38.25">
      <c r="A17" s="148" t="s">
        <v>91</v>
      </c>
      <c r="B17" s="149">
        <f ca="1">output_kgyear</f>
        <v>20003824.999999996</v>
      </c>
      <c r="D17" s="130" t="s">
        <v>931</v>
      </c>
      <c r="E17" s="999">
        <f ca="1">+SUM(X57:AB57)/AC57*(1+inflation_rate)^construct</f>
        <v>4.74027690761221</v>
      </c>
    </row>
    <row r="18" spans="1:10" ht="25.5">
      <c r="A18" s="148" t="s">
        <v>92</v>
      </c>
      <c r="B18" s="149">
        <f ca="1">B17*H2_LHV_MJ_p_kg/1000/mmBTU_to_GJ</f>
        <v>2279329.4553741207</v>
      </c>
      <c r="D18" s="131" t="s">
        <v>979</v>
      </c>
      <c r="E18" s="132">
        <f ca="1">((E20+1)/(1+B30))-1</f>
        <v>8.0000000000001403E-2</v>
      </c>
    </row>
    <row r="19" spans="1:10" ht="28.5" customHeight="1">
      <c r="A19" s="148" t="s">
        <v>93</v>
      </c>
      <c r="B19" s="149">
        <f ca="1">B17*H2_LHV_MJ_p_kg</f>
        <v>2404692575.4196973</v>
      </c>
      <c r="C19" s="128"/>
      <c r="D19" s="131" t="s">
        <v>987</v>
      </c>
      <c r="E19" s="132">
        <f ca="1">((E21+1)/(1+B30))-1</f>
        <v>9.8362254248284042E-2</v>
      </c>
    </row>
    <row r="20" spans="1:10" ht="15" customHeight="1">
      <c r="A20" s="150" t="s">
        <v>94</v>
      </c>
      <c r="B20" s="149">
        <f ca="1">design_cap</f>
        <v>56499.999999999993</v>
      </c>
      <c r="D20" s="133" t="s">
        <v>978</v>
      </c>
      <c r="E20" s="134">
        <f ca="1">IRR(AA65:AA113)</f>
        <v>0.10052000000000127</v>
      </c>
    </row>
    <row r="21" spans="1:10" ht="15" customHeight="1">
      <c r="A21" s="150" t="s">
        <v>95</v>
      </c>
      <c r="B21" s="149">
        <f ca="1">B20*365</f>
        <v>20622499.999999996</v>
      </c>
      <c r="D21" s="133" t="s">
        <v>986</v>
      </c>
      <c r="E21" s="134">
        <f ca="1">IRR(AC65:AC113)</f>
        <v>0.11923113707900135</v>
      </c>
    </row>
    <row r="22" spans="1:10" ht="15" customHeight="1">
      <c r="A22" s="151" t="s">
        <v>96</v>
      </c>
      <c r="B22" s="152">
        <f>cap_factor</f>
        <v>0.97</v>
      </c>
      <c r="D22" s="136" t="s">
        <v>66</v>
      </c>
      <c r="E22" s="137">
        <f ca="1">(real_irr*(1+real_irr)^anal_period)/(((1+real_irr)^anal_period)-1)</f>
        <v>8.3860161500585326E-2</v>
      </c>
    </row>
    <row r="23" spans="1:10" ht="15" customHeight="1">
      <c r="A23" s="150"/>
      <c r="B23" s="147"/>
      <c r="D23" s="136" t="s">
        <v>76</v>
      </c>
      <c r="E23" s="137">
        <f ca="1">(nominal_irr*(1+nominal_irr)^anal_period)/(((1+nominal_irr)^anal_period)-1)</f>
        <v>0.10274768859314053</v>
      </c>
    </row>
    <row r="24" spans="1:10" ht="24.75" customHeight="1">
      <c r="A24" s="146" t="s">
        <v>97</v>
      </c>
      <c r="B24" s="147"/>
      <c r="D24" s="133" t="s">
        <v>77</v>
      </c>
      <c r="E24" s="137">
        <f ca="1">(E22*(1-total_tax_rate*INDEX(Depreciation!B12:H37,MATCH("NPV - Real IRR",Depreciation!B12:B37,0),MATCH(depr_length,recovery_period,0))))/(1-total_tax_rate)</f>
        <v>9.8212531813322054E-2</v>
      </c>
    </row>
    <row r="25" spans="1:10" ht="15" customHeight="1">
      <c r="A25" s="131" t="s">
        <v>98</v>
      </c>
      <c r="B25" s="153">
        <f>startup_year</f>
        <v>2015</v>
      </c>
      <c r="D25" s="136" t="s">
        <v>78</v>
      </c>
      <c r="E25" s="137">
        <f ca="1">(E23*(1-total_tax_rate*INDEX(Depreciation!B12:H37,MATCH("NPV - Nominal IRR",Depreciation!B12:B37,0),MATCH(depr_length,recovery_period,0))))/(1-total_tax_rate)</f>
        <v>0.12265813940348715</v>
      </c>
    </row>
    <row r="26" spans="1:10" ht="15" customHeight="1" thickBot="1">
      <c r="A26" s="150" t="s">
        <v>99</v>
      </c>
      <c r="B26" s="144">
        <f ca="1">real_irr</f>
        <v>0.08</v>
      </c>
      <c r="C26" s="154"/>
      <c r="D26" s="138" t="s">
        <v>248</v>
      </c>
      <c r="E26" s="998">
        <f ca="1">NPV(nominal_irr,AA65:AA113)</f>
        <v>3.6608541872257175E-7</v>
      </c>
    </row>
    <row r="27" spans="1:10" ht="15" customHeight="1" thickTop="1">
      <c r="A27" s="131" t="s">
        <v>984</v>
      </c>
      <c r="B27" s="144">
        <f ca="1">((1+B26)*(1+B30))-1</f>
        <v>0.10051999999999994</v>
      </c>
      <c r="C27" s="154"/>
      <c r="D27"/>
    </row>
    <row r="28" spans="1:10" ht="15" customHeight="1">
      <c r="A28" s="150" t="s">
        <v>100</v>
      </c>
      <c r="B28" s="153">
        <f>anal_period</f>
        <v>40</v>
      </c>
      <c r="C28" s="154"/>
      <c r="D28"/>
      <c r="F28"/>
    </row>
    <row r="29" spans="1:10" ht="15" customHeight="1">
      <c r="A29" s="150" t="s">
        <v>101</v>
      </c>
      <c r="B29" s="153">
        <f>plant_life</f>
        <v>40</v>
      </c>
      <c r="C29" s="154"/>
      <c r="D29"/>
    </row>
    <row r="30" spans="1:10" ht="15" customHeight="1">
      <c r="A30" s="150" t="s">
        <v>102</v>
      </c>
      <c r="B30" s="144">
        <f>inflation_rate</f>
        <v>1.9E-2</v>
      </c>
      <c r="F30" s="28"/>
      <c r="G30" s="997"/>
      <c r="H30" s="997"/>
      <c r="I30" s="997"/>
      <c r="J30" s="997"/>
    </row>
    <row r="31" spans="1:10" ht="15" customHeight="1">
      <c r="A31" s="150" t="s">
        <v>103</v>
      </c>
      <c r="B31" s="155">
        <f>100%-equity</f>
        <v>0.6</v>
      </c>
    </row>
    <row r="32" spans="1:10" ht="15" customHeight="1">
      <c r="A32" s="131" t="s">
        <v>104</v>
      </c>
      <c r="B32" s="156">
        <f>equity</f>
        <v>0.4</v>
      </c>
    </row>
    <row r="33" spans="1:12" ht="15" customHeight="1">
      <c r="A33" s="131" t="s">
        <v>105</v>
      </c>
      <c r="B33" s="144">
        <f>total_tax_rate</f>
        <v>0.25739999999999996</v>
      </c>
    </row>
    <row r="34" spans="1:12" ht="15" customHeight="1">
      <c r="A34" s="131"/>
      <c r="B34" s="157"/>
    </row>
    <row r="35" spans="1:12" ht="28.5" customHeight="1">
      <c r="A35" s="158" t="s">
        <v>106</v>
      </c>
      <c r="B35" s="159"/>
    </row>
    <row r="36" spans="1:12" ht="15" customHeight="1">
      <c r="A36" s="150" t="s">
        <v>107</v>
      </c>
      <c r="B36" s="153">
        <f>debt_period</f>
        <v>0</v>
      </c>
    </row>
    <row r="37" spans="1:12" ht="15" customHeight="1">
      <c r="A37" s="150" t="s">
        <v>108</v>
      </c>
      <c r="B37" s="160">
        <f>debt_interest</f>
        <v>3.6999999999999998E-2</v>
      </c>
      <c r="K37" s="997"/>
    </row>
    <row r="38" spans="1:12" ht="15" customHeight="1">
      <c r="A38" s="131"/>
      <c r="B38" s="147"/>
      <c r="K38" s="997"/>
    </row>
    <row r="39" spans="1:12" ht="28.5" customHeight="1">
      <c r="A39" s="158" t="s">
        <v>109</v>
      </c>
      <c r="B39" s="147"/>
      <c r="F39" s="997"/>
      <c r="G39" s="997"/>
      <c r="H39" s="997"/>
      <c r="I39" s="997"/>
      <c r="J39" s="997"/>
      <c r="K39" s="997"/>
      <c r="L39" s="997"/>
    </row>
    <row r="40" spans="1:12" ht="15" customHeight="1">
      <c r="A40" s="131" t="s">
        <v>110</v>
      </c>
      <c r="B40" s="153">
        <f>construct</f>
        <v>1</v>
      </c>
      <c r="G40" s="997"/>
      <c r="H40" s="997"/>
    </row>
    <row r="41" spans="1:12" ht="15" customHeight="1">
      <c r="A41" s="131" t="s">
        <v>111</v>
      </c>
      <c r="B41" s="152">
        <f>start_time</f>
        <v>1</v>
      </c>
    </row>
    <row r="42" spans="1:12" ht="15" customHeight="1">
      <c r="A42" s="148" t="s">
        <v>112</v>
      </c>
      <c r="B42" s="155">
        <f>percnt_revs</f>
        <v>0.5</v>
      </c>
    </row>
    <row r="43" spans="1:12" ht="15" customHeight="1">
      <c r="A43" s="148" t="s">
        <v>113</v>
      </c>
      <c r="B43" s="155">
        <f>percnt_var</f>
        <v>0.75</v>
      </c>
    </row>
    <row r="44" spans="1:12" ht="15" customHeight="1">
      <c r="A44" s="148" t="s">
        <v>114</v>
      </c>
      <c r="B44" s="155">
        <f>percnt_fixed</f>
        <v>0.75</v>
      </c>
    </row>
    <row r="45" spans="1:12" ht="15" customHeight="1">
      <c r="A45" s="131"/>
      <c r="B45" s="147"/>
    </row>
    <row r="46" spans="1:12" ht="28.5" customHeight="1">
      <c r="A46" s="158" t="s">
        <v>115</v>
      </c>
      <c r="B46" s="147"/>
      <c r="F46" s="161"/>
    </row>
    <row r="47" spans="1:12" ht="15" customHeight="1">
      <c r="A47" s="131" t="s">
        <v>388</v>
      </c>
      <c r="B47" s="162" t="str">
        <f>depr_type</f>
        <v>MACRS</v>
      </c>
      <c r="F47" s="161"/>
    </row>
    <row r="48" spans="1:12" ht="15" customHeight="1">
      <c r="A48" s="131" t="s">
        <v>53</v>
      </c>
      <c r="B48" s="153">
        <f>depr_length</f>
        <v>20</v>
      </c>
      <c r="F48" s="161"/>
    </row>
    <row r="49" spans="1:32" ht="15" customHeight="1">
      <c r="A49" s="131"/>
      <c r="B49" s="147"/>
      <c r="F49" s="161"/>
    </row>
    <row r="50" spans="1:32" ht="28.5" customHeight="1">
      <c r="A50" s="158" t="s">
        <v>116</v>
      </c>
      <c r="B50" s="147"/>
    </row>
    <row r="51" spans="1:32" ht="30.75" customHeight="1">
      <c r="A51" s="130" t="s">
        <v>975</v>
      </c>
      <c r="B51" s="163">
        <f ca="1">(total_cap-non_dep_cap)*INFLATION_FACTOR</f>
        <v>84553762.041216895</v>
      </c>
      <c r="F51" s="161"/>
    </row>
    <row r="52" spans="1:32" ht="30" customHeight="1" thickBot="1">
      <c r="A52" s="130" t="s">
        <v>977</v>
      </c>
      <c r="B52" s="163">
        <f ca="1">non_dep_cap*INFLATION_FACTOR</f>
        <v>245338.56722276745</v>
      </c>
      <c r="F52" s="161"/>
    </row>
    <row r="53" spans="1:32" ht="15" customHeight="1" thickBot="1">
      <c r="A53" s="130" t="s">
        <v>117</v>
      </c>
      <c r="B53" s="163">
        <f ca="1">SUM(B51:B52)</f>
        <v>84799100.608439669</v>
      </c>
      <c r="F53" s="161"/>
      <c r="W53" s="1527" t="s">
        <v>1169</v>
      </c>
      <c r="X53" s="1528"/>
      <c r="Y53" s="1044"/>
      <c r="Z53" s="1044"/>
      <c r="AA53" s="1044"/>
      <c r="AB53" s="1044"/>
      <c r="AC53" s="1045"/>
    </row>
    <row r="54" spans="1:32" ht="15" customHeight="1" thickTop="1">
      <c r="A54" s="130" t="s">
        <v>980</v>
      </c>
      <c r="B54" s="163">
        <f ca="1">decom_percent*depr_cap_infl</f>
        <v>8455376.2041216902</v>
      </c>
      <c r="F54" s="161"/>
      <c r="W54" s="1046"/>
      <c r="X54" s="1039" t="s">
        <v>83</v>
      </c>
      <c r="Y54" s="1040" t="s">
        <v>1119</v>
      </c>
      <c r="Z54" s="1040" t="s">
        <v>1120</v>
      </c>
      <c r="AA54" s="1039" t="s">
        <v>1121</v>
      </c>
      <c r="AB54" s="1040" t="s">
        <v>1126</v>
      </c>
      <c r="AC54" s="1047" t="s">
        <v>1122</v>
      </c>
    </row>
    <row r="55" spans="1:32" ht="15" customHeight="1">
      <c r="A55" s="130" t="s">
        <v>989</v>
      </c>
      <c r="B55" s="163">
        <f ca="1">salvage_perct*B53</f>
        <v>8479910.0608439669</v>
      </c>
      <c r="F55" s="161"/>
      <c r="W55" s="1048" t="s">
        <v>1117</v>
      </c>
      <c r="X55" s="1041">
        <f ca="1">-SUM(H116:K116)</f>
        <v>62306081.877604902</v>
      </c>
      <c r="Y55" s="1041">
        <f ca="1">-U116</f>
        <v>44380415.637970537</v>
      </c>
      <c r="Z55" s="1041">
        <f ca="1">-Z116</f>
        <v>1079424.8750019858</v>
      </c>
      <c r="AA55" s="1041">
        <f ca="1">-SUM(L116:S116)</f>
        <v>996597850.84181678</v>
      </c>
      <c r="AB55" s="1041">
        <f ca="1">+AF116</f>
        <v>0</v>
      </c>
      <c r="AC55" s="1049">
        <f ca="1">+AE116</f>
        <v>229276848.22833523</v>
      </c>
    </row>
    <row r="56" spans="1:32" ht="15" customHeight="1">
      <c r="A56" s="150" t="s">
        <v>981</v>
      </c>
      <c r="B56" s="55">
        <f ca="1">fixed*INFLATION_FACTOR</f>
        <v>4707059.2251226706</v>
      </c>
      <c r="F56" s="161"/>
      <c r="W56" s="1048" t="s">
        <v>1127</v>
      </c>
      <c r="X56" s="1042">
        <v>1</v>
      </c>
      <c r="Y56" s="1042">
        <f>-total_tax_rate</f>
        <v>-0.25739999999999996</v>
      </c>
      <c r="Z56" s="1042">
        <v>1</v>
      </c>
      <c r="AA56" s="1042">
        <f>1-total_tax_rate</f>
        <v>0.74260000000000004</v>
      </c>
      <c r="AB56" s="1042">
        <v>-1</v>
      </c>
      <c r="AC56" s="1050">
        <f>1-total_tax_rate</f>
        <v>0.74260000000000004</v>
      </c>
    </row>
    <row r="57" spans="1:32" ht="15" customHeight="1">
      <c r="A57" s="150" t="s">
        <v>982</v>
      </c>
      <c r="B57" s="55">
        <f ca="1">total_other_raw*INFLATION_FACTOR</f>
        <v>0</v>
      </c>
      <c r="F57" s="161"/>
      <c r="W57" s="1048" t="s">
        <v>1118</v>
      </c>
      <c r="X57" s="1043">
        <f t="shared" ref="X57:Z57" ca="1" si="0">+X55*X56</f>
        <v>62306081.877604902</v>
      </c>
      <c r="Y57" s="1043">
        <f t="shared" ca="1" si="0"/>
        <v>-11423518.985213615</v>
      </c>
      <c r="Z57" s="1043">
        <f t="shared" ca="1" si="0"/>
        <v>1079424.8750019858</v>
      </c>
      <c r="AA57" s="1043">
        <f ca="1">+AA55*AA56</f>
        <v>740073564.03513312</v>
      </c>
      <c r="AB57" s="1043">
        <f ca="1">+AB55*AB56</f>
        <v>0</v>
      </c>
      <c r="AC57" s="1051">
        <f ca="1">+AC55*AC56</f>
        <v>170260987.49436176</v>
      </c>
    </row>
    <row r="58" spans="1:32" ht="45.75" customHeight="1" thickBot="1">
      <c r="A58" s="164" t="s">
        <v>983</v>
      </c>
      <c r="B58" s="57">
        <f ca="1">(var_misc+royalties+operator_profit+CO2_OandMcost+waste_treat+solidwaste_treat)*INFLATION_FACTOR</f>
        <v>0</v>
      </c>
      <c r="F58" s="161"/>
      <c r="W58" s="1052"/>
      <c r="X58" s="1053"/>
      <c r="Y58" s="1053"/>
      <c r="Z58" s="1053"/>
      <c r="AA58" s="1053"/>
      <c r="AB58" s="1053"/>
      <c r="AC58" s="1054"/>
    </row>
    <row r="59" spans="1:32" ht="15" customHeight="1" thickTop="1">
      <c r="F59" s="161"/>
      <c r="W59" s="1055" t="s">
        <v>1116</v>
      </c>
      <c r="X59" s="999">
        <f ca="1">+(1+real_irr)*(1+inflation_rate)-1</f>
        <v>0.10051999999999994</v>
      </c>
      <c r="Y59" s="1053"/>
      <c r="Z59" s="1053"/>
      <c r="AA59" s="1053"/>
      <c r="AB59" s="1053"/>
      <c r="AC59" s="1054"/>
    </row>
    <row r="60" spans="1:32" ht="15" customHeight="1" thickBot="1">
      <c r="F60" s="161"/>
      <c r="W60" s="1056" t="str">
        <f>+D16</f>
        <v>Hydrogen Cost (Year 2016 Real $/kg)</v>
      </c>
      <c r="X60" s="1057">
        <f ca="1">+SUM(X57:AB57)/AC57*(1+inflation_rate)^construct/INFLATION_FACTOR</f>
        <v>4.8303421688568413</v>
      </c>
      <c r="Y60" s="1058"/>
      <c r="Z60" s="1058"/>
      <c r="AA60" s="1058"/>
      <c r="AB60" s="1058"/>
      <c r="AC60" s="1059"/>
    </row>
    <row r="61" spans="1:32" ht="39.75" customHeight="1">
      <c r="F61" s="161"/>
    </row>
    <row r="62" spans="1:32" ht="17.25" customHeight="1" thickBot="1">
      <c r="F62" s="161"/>
    </row>
    <row r="63" spans="1:32" ht="29.25" customHeight="1" thickTop="1" thickBot="1">
      <c r="A63" s="44" t="s">
        <v>118</v>
      </c>
      <c r="B63" s="165"/>
      <c r="C63" s="165"/>
      <c r="D63" s="165"/>
      <c r="E63" s="165"/>
      <c r="F63" s="165"/>
      <c r="G63" s="165"/>
      <c r="H63" s="1083"/>
      <c r="I63" s="1083"/>
      <c r="J63" s="1083"/>
      <c r="K63" s="1083"/>
      <c r="L63" s="1083"/>
      <c r="M63" s="1083"/>
      <c r="N63" s="1083"/>
      <c r="O63" s="1083"/>
      <c r="P63" s="1083"/>
      <c r="Q63" s="1083"/>
      <c r="R63" s="1083"/>
      <c r="S63" s="1083"/>
      <c r="T63" s="1083"/>
      <c r="U63" s="1083"/>
      <c r="V63" s="1083"/>
      <c r="W63" s="1083"/>
      <c r="X63" s="1083"/>
      <c r="Y63" s="1083"/>
      <c r="Z63" s="1083"/>
      <c r="AA63" s="1083"/>
      <c r="AB63" s="1083"/>
      <c r="AC63" s="1084"/>
    </row>
    <row r="64" spans="1:32" ht="78" thickTop="1" thickBot="1">
      <c r="A64" s="1060" t="s">
        <v>1124</v>
      </c>
      <c r="B64" s="1061" t="s">
        <v>40</v>
      </c>
      <c r="C64" s="1061" t="s">
        <v>56</v>
      </c>
      <c r="D64" s="1061" t="s">
        <v>119</v>
      </c>
      <c r="E64" s="1062" t="s">
        <v>120</v>
      </c>
      <c r="F64" s="1062" t="s">
        <v>1129</v>
      </c>
      <c r="G64" s="1063" t="s">
        <v>121</v>
      </c>
      <c r="H64" s="1085" t="s">
        <v>122</v>
      </c>
      <c r="I64" s="1086" t="s">
        <v>123</v>
      </c>
      <c r="J64" s="1086" t="s">
        <v>1123</v>
      </c>
      <c r="K64" s="1086" t="s">
        <v>135</v>
      </c>
      <c r="L64" s="1086" t="s">
        <v>989</v>
      </c>
      <c r="M64" s="1086" t="s">
        <v>84</v>
      </c>
      <c r="N64" s="1086" t="s">
        <v>136</v>
      </c>
      <c r="O64" s="1086" t="s">
        <v>1128</v>
      </c>
      <c r="P64" s="1086" t="s">
        <v>137</v>
      </c>
      <c r="Q64" s="1086" t="s">
        <v>1130</v>
      </c>
      <c r="R64" s="1086" t="s">
        <v>138</v>
      </c>
      <c r="S64" s="1086" t="s">
        <v>139</v>
      </c>
      <c r="T64" s="1086" t="s">
        <v>140</v>
      </c>
      <c r="U64" s="1086" t="s">
        <v>60</v>
      </c>
      <c r="V64" s="1086" t="s">
        <v>141</v>
      </c>
      <c r="W64" s="1086" t="s">
        <v>142</v>
      </c>
      <c r="X64" s="1086" t="s">
        <v>144</v>
      </c>
      <c r="Y64" s="1086" t="s">
        <v>145</v>
      </c>
      <c r="Z64" s="1086" t="s">
        <v>45</v>
      </c>
      <c r="AA64" s="1087" t="s">
        <v>146</v>
      </c>
      <c r="AB64" s="1087" t="s">
        <v>147</v>
      </c>
      <c r="AC64" s="1065" t="s">
        <v>148</v>
      </c>
      <c r="AD64" s="166"/>
      <c r="AE64" s="1064" t="s">
        <v>1115</v>
      </c>
      <c r="AF64" s="1065" t="s">
        <v>1125</v>
      </c>
    </row>
    <row r="65" spans="1:32" ht="13.5" thickTop="1">
      <c r="A65" s="167">
        <f>startup_year-construct</f>
        <v>2014</v>
      </c>
      <c r="B65" s="168">
        <v>1</v>
      </c>
      <c r="C65" s="168">
        <f>IF(construct=0,1,-construct)</f>
        <v>-1</v>
      </c>
      <c r="D65" s="168">
        <f t="shared" ref="D65:D96" si="1">IF(C65="","",IF(C65&lt;=plant_life,C65,IF(D64=plant_life,1,D64+1)))</f>
        <v>-1</v>
      </c>
      <c r="E65" s="169">
        <f t="shared" ref="E65:E96" si="2">IF(C65="","",(1+inflation_rate)^(A65-$B$25))</f>
        <v>0.9813542688910698</v>
      </c>
      <c r="F65" s="170">
        <f t="shared" ref="F65:F96" si="3">IF(C65="","",IF(C65&lt;0,0,IF(AND(C65=1,start_time&lt;1),E65*(H2_price_nominal*output_kgyear*start_time*percnt_revs+H2_price_nominal*output_kgyear*(1-start_time)),IF(C65&lt;=start_time,H2_price_nominal*E65*output_kgyear*percnt_revs,H2_price_nominal*output_kgyear*E65))))</f>
        <v>0</v>
      </c>
      <c r="G65" s="1079">
        <f ca="1">-$B$31*depr_cap_infl*E65</f>
        <v>-49786317.197968736</v>
      </c>
      <c r="H65" s="1088">
        <f ca="1">IF(C65&lt;0,-E65*equity*depr_cap_infl*percent_cap1,IF(C65=1,-E65*equity*depr_cap_infl,0))</f>
        <v>-33190878.13197916</v>
      </c>
      <c r="I65" s="171" t="str">
        <f>IF(OR(C65&lt;0,C65=""),"",-E65*INDEX('Replacement Costs'!$A$16:$H$57,MATCH(C65,'Replacement Costs'!$C$16:$C$57,0),MATCH("Total Yearly Replacement Costs",'Replacement Costs'!$A$16:$H$16,0)))</f>
        <v/>
      </c>
      <c r="J65" s="171">
        <f>IF(AND(C65&gt;=1,C65&lt;anal_period),WorkingCap*SUM(N65:R65)-WorkingCap*SUM(N64:R64),0)</f>
        <v>0</v>
      </c>
      <c r="K65" s="171">
        <f t="shared" ref="K65:K96" ca="1" si="4">IF(C65=-construct,-E65*non_dep_infl,"")</f>
        <v>-240764.05026768154</v>
      </c>
      <c r="L65" s="171" t="str">
        <f t="shared" ref="L65:L96" si="5">IF(C65=anal_period,salvage*E65,"")</f>
        <v/>
      </c>
      <c r="M65" s="171" t="str">
        <f t="shared" ref="M65:M96" si="6">IF(D65=plant_life,-E65*decom,"")</f>
        <v/>
      </c>
      <c r="N65" s="171">
        <f t="shared" ref="N65:N96" si="7">IF(C65="","",IF(C65&lt;0,0,IF(AND(C65=1,start_time&lt;1),-(inflated_fixed*percnt_fixed*start_time+(inflated_fixed*(1-start_time))),IF(C65&lt;=start_time,-inflated_fixed*percnt_fixed*E65,-inflated_fixed*E65))))</f>
        <v>0</v>
      </c>
      <c r="O65" s="171">
        <f t="shared" ref="O65:O96" si="8">IF(C65="","",IF(C65&lt;0,0,IF(AND(C65=1,start_time&lt;1),-(SUM(B139:E139)*output_kgyear*E65*percnt_var*start_time+SUM(B139:E139)*output_kgyear*E65*(1-start_time)),IF(C65&lt;=start_time,-SUM(B139:E139)*output_kgyear*E65*percnt_var,-SUM(B139:E139)*output_kgyear*E65))))</f>
        <v>0</v>
      </c>
      <c r="P65" s="171">
        <f t="shared" ref="P65:P96" si="9">IF(C65="","",IF(C65&lt;0,0,IF(AND(C65=1,start_time&lt;1),-(inflated_otherraw*E65*percnt_var*start_time+inflated_otherraw*E65*(1-start_time)),IF(C65&lt;=start_time,-inflated_otherraw*E65*percnt_var,-(inflated_otherraw*E65)))))</f>
        <v>0</v>
      </c>
      <c r="Q65" s="171">
        <f t="shared" ref="Q65:Q109" si="10">IF(C65="","",IF(C65&lt;0,0,IF(AND(C65=1,start_time&lt;1),SUM(K139:N139,T139:V139)*output_kgyear*E65*percnt_revs*start_time+SUM(K139:N139,T139:V139)*output_kgyear*E65*(1-start_time),IF(C65&lt;=start_time,SUM(K139:N139,T139:V139)*output_kgyear*E65*percnt_revs,SUM(K139:N139,T139:V139)*output_kgyear*E65))))</f>
        <v>0</v>
      </c>
      <c r="R65" s="171">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71">
        <f ca="1">IF(B65="","",IF($B$31=0,"",-'Debt Financing Calculations'!E14))</f>
        <v>-1842093.7363248433</v>
      </c>
      <c r="T65" s="171">
        <f t="shared" ref="T65:T96" ca="1" si="12">IF(C65="","",F65+SUM(L65:S65))</f>
        <v>-1842093.7363248433</v>
      </c>
      <c r="U65" s="171">
        <f>IF(C65="","",IF(C65&lt;-1,0,IF(C65=anal_period,-LOOKUP(C65,depr_yr,depr_cost)-Depreciation!$C$141-Depreciation!$B$166,-LOOKUP(C65,depr_yr,depr_cost))))</f>
        <v>0</v>
      </c>
      <c r="V65" s="171">
        <f t="shared" ref="V65:V96" ca="1" si="13">IF(C65="","",SUM(T65:U65))</f>
        <v>-1842093.7363248433</v>
      </c>
      <c r="W65" s="172">
        <f t="shared" ref="W65:W96" si="14">IF(C65="","",$B$33)</f>
        <v>0.25739999999999996</v>
      </c>
      <c r="X65" s="171">
        <f t="shared" ref="X65:X96" ca="1" si="15">IF(C65="","",tax_credit-(V65*W65 +Upstream_CO2_taxpYear + Proc_CO2_taxpYear))</f>
        <v>474154.92773001461</v>
      </c>
      <c r="Y65" s="171">
        <f t="shared" ref="Y65:Y96" ca="1" si="16">IF(C65="","",SUM(T65,X65))</f>
        <v>-1367938.8085948287</v>
      </c>
      <c r="Z65" s="171">
        <f>IF(C65="","",IF($B$31=0,"",-'Debt Financing Calculations'!F14))</f>
        <v>0</v>
      </c>
      <c r="AA65" s="171">
        <f t="shared" ref="AA65:AA96" ca="1" si="17">IF(C65="","",SUM(H65,I65,J65,K65,T65,X65,Z65))</f>
        <v>-34799580.990841672</v>
      </c>
      <c r="AB65" s="171">
        <f ca="1">AA65</f>
        <v>-34799580.990841672</v>
      </c>
      <c r="AC65" s="1066">
        <f t="shared" ref="AC65:AC96" ca="1" si="18">IF(C65="","",SUM(H65,I65,J65,K65,T65,Z65))</f>
        <v>-35273735.918571688</v>
      </c>
      <c r="AE65" s="1070">
        <f t="shared" ref="AE65:AE96" si="19">IF(C65="","",IF(C65&lt;0,0,IF(AND(C65=1,start_time&lt;1),(output_kgyear*start_time*percnt_revs+output_kgyear*(1-start_time)),IF(C65&lt;=start_time,output_kgyear*percnt_revs,output_kgyear))))</f>
        <v>0</v>
      </c>
      <c r="AF65" s="1066">
        <f t="shared" ref="AF65:AF96" si="20">IF(C65="","",tax_credit)</f>
        <v>0</v>
      </c>
    </row>
    <row r="66" spans="1:32">
      <c r="A66" s="53">
        <f t="shared" ref="A66:A113" si="21">IF(B66&lt;&gt;"",A65+1,"")</f>
        <v>2015</v>
      </c>
      <c r="B66" s="173">
        <f>IF(MAX($B$65:B65)&lt;(construct+anal_period),B65+1,"")</f>
        <v>2</v>
      </c>
      <c r="C66" s="173">
        <f t="shared" ref="C66:C113" si="22">IF(B66="","",IF(C65=-1,1,C65+1))</f>
        <v>1</v>
      </c>
      <c r="D66" s="173">
        <f t="shared" si="1"/>
        <v>1</v>
      </c>
      <c r="E66" s="174">
        <f t="shared" si="2"/>
        <v>1</v>
      </c>
      <c r="F66" s="54">
        <f t="shared" ca="1" si="3"/>
        <v>47411834.855707899</v>
      </c>
      <c r="G66" s="1080"/>
      <c r="H66" s="1089">
        <f>IF(C66&lt;0,-E66*equity*depr_cap_infl*percent_cap2,0)</f>
        <v>0</v>
      </c>
      <c r="I66" s="175">
        <f ca="1">IF(OR(C66&lt;0,C66=""),"",-E66*INDEX('Replacement Costs'!$A$16:$H$57,MATCH(C66,'Replacement Costs'!$C$16:$C$57,0),MATCH("Total Yearly Replacement Costs",'Replacement Costs'!$A$16:$H$16,0)))</f>
        <v>-422768.81020608451</v>
      </c>
      <c r="J66" s="175">
        <f ca="1">IF(AND(C66&gt;=1,C66&lt;anal_period),WorkingCap*SUM(N66:R66)-WorkingCap*SUM(N65:R65),IF(C66&lt;0,0,IF(B66="","",-SUM(J$65:J65))))</f>
        <v>-9126897.4050852749</v>
      </c>
      <c r="K66" s="175" t="str">
        <f t="shared" si="4"/>
        <v/>
      </c>
      <c r="L66" s="175" t="str">
        <f t="shared" si="5"/>
        <v/>
      </c>
      <c r="M66" s="175" t="str">
        <f t="shared" si="6"/>
        <v/>
      </c>
      <c r="N66" s="175">
        <f t="shared" ca="1" si="7"/>
        <v>-3530294.4188420027</v>
      </c>
      <c r="O66" s="175">
        <f t="shared" ca="1" si="8"/>
        <v>0</v>
      </c>
      <c r="P66" s="175">
        <f t="shared" ca="1" si="9"/>
        <v>0</v>
      </c>
      <c r="Q66" s="175">
        <f t="shared" ca="1" si="10"/>
        <v>0</v>
      </c>
      <c r="R66" s="175">
        <f t="shared" ca="1" si="11"/>
        <v>-57315688.281726502</v>
      </c>
      <c r="S66" s="175">
        <f ca="1">IF(B66="","",IF($B$31=0,"",-'Debt Financing Calculations'!E15))</f>
        <v>-1842093.7363248433</v>
      </c>
      <c r="T66" s="175">
        <f t="shared" ca="1" si="12"/>
        <v>-15276241.581185453</v>
      </c>
      <c r="U66" s="175">
        <f ca="1">IF(C66="","",IF(C66&lt;-1,0,IF(C66=anal_period,-LOOKUP(C66,depr_yr,depr_cost)-Depreciation!$C$141-Depreciation!$B$166,-LOOKUP(C66,depr_yr,depr_cost))))</f>
        <v>-3127498.655255774</v>
      </c>
      <c r="V66" s="175">
        <f t="shared" ca="1" si="13"/>
        <v>-18403740.236441225</v>
      </c>
      <c r="W66" s="176">
        <f t="shared" si="14"/>
        <v>0.25739999999999996</v>
      </c>
      <c r="X66" s="175">
        <f t="shared" ca="1" si="15"/>
        <v>4737122.7368599707</v>
      </c>
      <c r="Y66" s="175">
        <f t="shared" ca="1" si="16"/>
        <v>-10539118.844325483</v>
      </c>
      <c r="Z66" s="175">
        <f>IF(C66="","",IF($B$31=0,"",-'Debt Financing Calculations'!F15))</f>
        <v>0</v>
      </c>
      <c r="AA66" s="175">
        <f t="shared" ca="1" si="17"/>
        <v>-20088785.059616841</v>
      </c>
      <c r="AB66" s="175">
        <f t="shared" ref="AB66:AB113" ca="1" si="23">IF(C66="","",AB65+AA66)</f>
        <v>-54888366.050458513</v>
      </c>
      <c r="AC66" s="1067">
        <f t="shared" ca="1" si="18"/>
        <v>-24825907.796476811</v>
      </c>
      <c r="AE66" s="1071">
        <f t="shared" ca="1" si="19"/>
        <v>10001912.499999998</v>
      </c>
      <c r="AF66" s="1067">
        <f t="shared" si="20"/>
        <v>0</v>
      </c>
    </row>
    <row r="67" spans="1:32">
      <c r="A67" s="53">
        <f t="shared" si="21"/>
        <v>2016</v>
      </c>
      <c r="B67" s="173">
        <f>IF(MAX($B$65:B66)&lt;(construct+anal_period),B66+1,"")</f>
        <v>3</v>
      </c>
      <c r="C67" s="173">
        <f t="shared" si="22"/>
        <v>2</v>
      </c>
      <c r="D67" s="173">
        <f t="shared" si="1"/>
        <v>2</v>
      </c>
      <c r="E67" s="174">
        <f t="shared" si="2"/>
        <v>1.0189999999999999</v>
      </c>
      <c r="F67" s="54">
        <f t="shared" ca="1" si="3"/>
        <v>96625319.435932696</v>
      </c>
      <c r="G67" s="1080"/>
      <c r="H67" s="1089">
        <f>IF(C67&lt;0,-E67*equity*depr_cap_infl*percent_cap3,0)</f>
        <v>0</v>
      </c>
      <c r="I67" s="175">
        <f ca="1">IF(OR(C67&lt;0,C67=""),"",-E67*INDEX('Replacement Costs'!$A$16:$H$57,MATCH(C67,'Replacement Costs'!$C$16:$C$57,0),MATCH("Total Yearly Replacement Costs",'Replacement Costs'!$A$16:$H$16,0)))</f>
        <v>-430801.4176000001</v>
      </c>
      <c r="J67" s="175">
        <f ca="1">IF(AND(C67&gt;=1,C67&lt;anal_period),WorkingCap*SUM(N67:R67)-WorkingCap*SUM(N66:R66),IF(C67&lt;0,0,IF(B67="","",-SUM(J$65:J66))))</f>
        <v>-2877063.1367561892</v>
      </c>
      <c r="K67" s="175" t="str">
        <f t="shared" si="4"/>
        <v/>
      </c>
      <c r="L67" s="175" t="str">
        <f t="shared" si="5"/>
        <v/>
      </c>
      <c r="M67" s="175" t="str">
        <f t="shared" si="6"/>
        <v/>
      </c>
      <c r="N67" s="175">
        <f t="shared" ca="1" si="7"/>
        <v>-4796493.3504000008</v>
      </c>
      <c r="O67" s="175">
        <f t="shared" ca="1" si="8"/>
        <v>0</v>
      </c>
      <c r="P67" s="175">
        <f t="shared" ca="1" si="9"/>
        <v>0</v>
      </c>
      <c r="Q67" s="175">
        <f t="shared" ca="1" si="10"/>
        <v>0</v>
      </c>
      <c r="R67" s="175">
        <f t="shared" ca="1" si="11"/>
        <v>-75229910.261876434</v>
      </c>
      <c r="S67" s="175">
        <f ca="1">IF(B67="","",IF($B$31=0,"",-'Debt Financing Calculations'!E16))</f>
        <v>-1842093.7363248433</v>
      </c>
      <c r="T67" s="175">
        <f t="shared" ca="1" si="12"/>
        <v>14756822.087331414</v>
      </c>
      <c r="U67" s="175">
        <f ca="1">IF(C67="","",IF(C67&lt;-1,0,IF(C67=anal_period,-LOOKUP(C67,depr_yr,depr_cost)-Depreciation!$C$141-Depreciation!$B$166,-LOOKUP(C67,depr_yr,depr_cost))))</f>
        <v>-6036798.4644377157</v>
      </c>
      <c r="V67" s="175">
        <f t="shared" ca="1" si="13"/>
        <v>8720023.6228936985</v>
      </c>
      <c r="W67" s="176">
        <f t="shared" si="14"/>
        <v>0.25739999999999996</v>
      </c>
      <c r="X67" s="175">
        <f t="shared" ca="1" si="15"/>
        <v>-2244534.0805328377</v>
      </c>
      <c r="Y67" s="175">
        <f t="shared" ca="1" si="16"/>
        <v>12512288.006798577</v>
      </c>
      <c r="Z67" s="175">
        <f>IF(C67="","",IF($B$31=0,"",-'Debt Financing Calculations'!F16))</f>
        <v>0</v>
      </c>
      <c r="AA67" s="175">
        <f t="shared" ca="1" si="17"/>
        <v>9204423.4524423871</v>
      </c>
      <c r="AB67" s="175">
        <f t="shared" ca="1" si="23"/>
        <v>-45683942.598016128</v>
      </c>
      <c r="AC67" s="1067">
        <f t="shared" ca="1" si="18"/>
        <v>11448957.532975225</v>
      </c>
      <c r="AE67" s="1071">
        <f t="shared" ca="1" si="19"/>
        <v>20003824.999999996</v>
      </c>
      <c r="AF67" s="1067">
        <f t="shared" si="20"/>
        <v>0</v>
      </c>
    </row>
    <row r="68" spans="1:32">
      <c r="A68" s="1004">
        <f t="shared" si="21"/>
        <v>2017</v>
      </c>
      <c r="B68" s="1005">
        <f>IF(MAX($B$65:B67)&lt;(construct+anal_period),B67+1,"")</f>
        <v>4</v>
      </c>
      <c r="C68" s="1005">
        <f t="shared" si="22"/>
        <v>3</v>
      </c>
      <c r="D68" s="1005">
        <f t="shared" si="1"/>
        <v>3</v>
      </c>
      <c r="E68" s="1006">
        <f t="shared" si="2"/>
        <v>1.0383609999999999</v>
      </c>
      <c r="F68" s="1007">
        <f t="shared" ca="1" si="3"/>
        <v>98461200.505215406</v>
      </c>
      <c r="G68" s="1081"/>
      <c r="H68" s="1090">
        <f>IF(C68&lt;0,-E68*equity*depr_cap_infl*percent_cap4,0)</f>
        <v>0</v>
      </c>
      <c r="I68" s="1008">
        <f ca="1">IF(OR(C68&lt;0,C68=""),"",-E68*INDEX('Replacement Costs'!$A$16:$H$57,MATCH(C68,'Replacement Costs'!$C$16:$C$57,0),MATCH("Total Yearly Replacement Costs",'Replacement Costs'!$A$16:$H$16,0)))</f>
        <v>-438986.64453440008</v>
      </c>
      <c r="J68" s="1008">
        <f ca="1">IF(AND(C68&gt;=1,C68&lt;anal_period),WorkingCap*SUM(N68:R68)-WorkingCap*SUM(N67:R67),IF(C68&lt;0,0,IF(B68="","",-SUM(J$65:J67))))</f>
        <v>-692193.05889967456</v>
      </c>
      <c r="K68" s="1008" t="str">
        <f t="shared" si="4"/>
        <v/>
      </c>
      <c r="L68" s="1008" t="str">
        <f t="shared" si="5"/>
        <v/>
      </c>
      <c r="M68" s="1008" t="str">
        <f t="shared" si="6"/>
        <v/>
      </c>
      <c r="N68" s="1008">
        <f t="shared" ca="1" si="7"/>
        <v>-4887626.7240576008</v>
      </c>
      <c r="O68" s="1008">
        <f t="shared" ca="1" si="8"/>
        <v>0</v>
      </c>
      <c r="P68" s="1008">
        <f t="shared" ca="1" si="9"/>
        <v>0</v>
      </c>
      <c r="Q68" s="1008">
        <f t="shared" ca="1" si="10"/>
        <v>0</v>
      </c>
      <c r="R68" s="1008">
        <f t="shared" ca="1" si="11"/>
        <v>-79753397.280883327</v>
      </c>
      <c r="S68" s="1008">
        <f ca="1">IF(B68="","",IF($B$31=0,"",-'Debt Financing Calculations'!E17))</f>
        <v>-1842093.7363248433</v>
      </c>
      <c r="T68" s="1008">
        <f t="shared" ca="1" si="12"/>
        <v>11978082.763949633</v>
      </c>
      <c r="U68" s="1008">
        <f ca="1">IF(C68="","",IF(C68&lt;-1,0,IF(C68=anal_period,-LOOKUP(C68,depr_yr,depr_cost)-Depreciation!$C$141-Depreciation!$B$166,-LOOKUP(C68,depr_yr,depr_cost))))</f>
        <v>-5616177.1591446642</v>
      </c>
      <c r="V68" s="1008">
        <f t="shared" ca="1" si="13"/>
        <v>6361905.6048049685</v>
      </c>
      <c r="W68" s="1009">
        <f t="shared" si="14"/>
        <v>0.25739999999999996</v>
      </c>
      <c r="X68" s="1008">
        <f t="shared" ca="1" si="15"/>
        <v>-1637554.5026767987</v>
      </c>
      <c r="Y68" s="1008">
        <f ca="1">IF(C68="","",SUM(T68,X68))</f>
        <v>10340528.261272835</v>
      </c>
      <c r="Z68" s="1008">
        <f>IF(C68="","",IF($B$31=0,"",-'Debt Financing Calculations'!F17))</f>
        <v>0</v>
      </c>
      <c r="AA68" s="1008">
        <f t="shared" ca="1" si="17"/>
        <v>9209348.5578387603</v>
      </c>
      <c r="AB68" s="1008">
        <f t="shared" ca="1" si="23"/>
        <v>-36474594.040177368</v>
      </c>
      <c r="AC68" s="1068">
        <f t="shared" ca="1" si="18"/>
        <v>10846903.060515558</v>
      </c>
      <c r="AD68" s="1000"/>
      <c r="AE68" s="1072">
        <f t="shared" ca="1" si="19"/>
        <v>20003824.999999996</v>
      </c>
      <c r="AF68" s="1068">
        <f t="shared" si="20"/>
        <v>0</v>
      </c>
    </row>
    <row r="69" spans="1:32">
      <c r="A69" s="53">
        <f t="shared" si="21"/>
        <v>2018</v>
      </c>
      <c r="B69" s="173">
        <f>IF(MAX($B$65:B68)&lt;(construct+anal_period),B68+1,"")</f>
        <v>5</v>
      </c>
      <c r="C69" s="173">
        <f t="shared" si="22"/>
        <v>4</v>
      </c>
      <c r="D69" s="173">
        <f t="shared" si="1"/>
        <v>4</v>
      </c>
      <c r="E69" s="174">
        <f t="shared" si="2"/>
        <v>1.0580898589999999</v>
      </c>
      <c r="F69" s="54">
        <f t="shared" ca="1" si="3"/>
        <v>100331963.31481449</v>
      </c>
      <c r="G69" s="1080"/>
      <c r="H69" s="1089">
        <f t="shared" ref="H69:H113" si="24">IF(C69="","",0)</f>
        <v>0</v>
      </c>
      <c r="I69" s="175">
        <f ca="1">IF(OR(C69&lt;0,C69=""),"",-E69*INDEX('Replacement Costs'!$A$16:$H$57,MATCH(C69,'Replacement Costs'!$C$16:$C$57,0),MATCH("Total Yearly Replacement Costs",'Replacement Costs'!$A$16:$H$16,0)))</f>
        <v>-447327.39078055369</v>
      </c>
      <c r="J69" s="175">
        <f ca="1">IF(AND(C69&gt;=1,C69&lt;anal_period),WorkingCap*SUM(N69:R69)-WorkingCap*SUM(N68:R68),IF(C69&lt;0,0,IF(B69="","",-SUM(J$65:J68))))</f>
        <v>34424.738061107695</v>
      </c>
      <c r="K69" s="175" t="str">
        <f t="shared" si="4"/>
        <v/>
      </c>
      <c r="L69" s="175" t="str">
        <f t="shared" si="5"/>
        <v/>
      </c>
      <c r="M69" s="175" t="str">
        <f t="shared" si="6"/>
        <v/>
      </c>
      <c r="N69" s="175">
        <f t="shared" ca="1" si="7"/>
        <v>-4980491.631814695</v>
      </c>
      <c r="O69" s="175">
        <f t="shared" ca="1" si="8"/>
        <v>0</v>
      </c>
      <c r="P69" s="175">
        <f t="shared" ca="1" si="9"/>
        <v>0</v>
      </c>
      <c r="Q69" s="175">
        <f t="shared" ca="1" si="10"/>
        <v>0</v>
      </c>
      <c r="R69" s="175">
        <f t="shared" ca="1" si="11"/>
        <v>-79431034.119385526</v>
      </c>
      <c r="S69" s="175">
        <f ca="1">IF(B69="","",IF($B$31=0,"",-'Debt Financing Calculations'!E18))</f>
        <v>-1842093.7363248433</v>
      </c>
      <c r="T69" s="175">
        <f t="shared" ca="1" si="12"/>
        <v>14078343.827289432</v>
      </c>
      <c r="U69" s="175">
        <f ca="1">IF(C69="","",IF(C69&lt;-1,0,IF(C69=anal_period,-LOOKUP(C69,depr_yr,depr_cost)-Depreciation!$C$141-Depreciation!$B$166,-LOOKUP(C69,depr_yr,depr_cost))))</f>
        <v>-5228845.6186136715</v>
      </c>
      <c r="V69" s="175">
        <f t="shared" ca="1" si="13"/>
        <v>8849498.2086757608</v>
      </c>
      <c r="W69" s="176">
        <f t="shared" si="14"/>
        <v>0.25739999999999996</v>
      </c>
      <c r="X69" s="175">
        <f t="shared" ca="1" si="15"/>
        <v>-2277860.8389131404</v>
      </c>
      <c r="Y69" s="175">
        <f t="shared" ca="1" si="16"/>
        <v>11800482.988376291</v>
      </c>
      <c r="Z69" s="175">
        <f>IF(C69="","",IF($B$31=0,"",-'Debt Financing Calculations'!F18))</f>
        <v>0</v>
      </c>
      <c r="AA69" s="175">
        <f t="shared" ca="1" si="17"/>
        <v>11387580.335656846</v>
      </c>
      <c r="AB69" s="175">
        <f t="shared" ca="1" si="23"/>
        <v>-25087013.704520524</v>
      </c>
      <c r="AC69" s="1067">
        <f t="shared" ca="1" si="18"/>
        <v>13665441.174569987</v>
      </c>
      <c r="AE69" s="1071">
        <f t="shared" ca="1" si="19"/>
        <v>20003824.999999996</v>
      </c>
      <c r="AF69" s="1067">
        <f t="shared" si="20"/>
        <v>0</v>
      </c>
    </row>
    <row r="70" spans="1:32">
      <c r="A70" s="53">
        <f t="shared" si="21"/>
        <v>2019</v>
      </c>
      <c r="B70" s="173">
        <f>IF(MAX($B$65:B69)&lt;(construct+anal_period),B69+1,"")</f>
        <v>6</v>
      </c>
      <c r="C70" s="173">
        <f t="shared" si="22"/>
        <v>5</v>
      </c>
      <c r="D70" s="173">
        <f t="shared" si="1"/>
        <v>5</v>
      </c>
      <c r="E70" s="174">
        <f t="shared" si="2"/>
        <v>1.0781935663209998</v>
      </c>
      <c r="F70" s="54">
        <f t="shared" ca="1" si="3"/>
        <v>102238270.61779597</v>
      </c>
      <c r="G70" s="1080"/>
      <c r="H70" s="1089">
        <f t="shared" si="24"/>
        <v>0</v>
      </c>
      <c r="I70" s="175">
        <f ca="1">IF(OR(C70&lt;0,C70=""),"",-E70*INDEX('Replacement Costs'!$A$16:$H$57,MATCH(C70,'Replacement Costs'!$C$16:$C$57,0),MATCH("Total Yearly Replacement Costs",'Replacement Costs'!$A$16:$H$16,0)))</f>
        <v>-455826.61120538419</v>
      </c>
      <c r="J70" s="175">
        <f ca="1">IF(AND(C70&gt;=1,C70&lt;anal_period),WorkingCap*SUM(N70:R70)-WorkingCap*SUM(N69:R69),IF(C70&lt;0,0,IF(B70="","",-SUM(J$65:J69))))</f>
        <v>-396742.16080508381</v>
      </c>
      <c r="K70" s="175" t="str">
        <f t="shared" si="4"/>
        <v/>
      </c>
      <c r="L70" s="175" t="str">
        <f t="shared" si="5"/>
        <v/>
      </c>
      <c r="M70" s="175" t="str">
        <f t="shared" si="6"/>
        <v/>
      </c>
      <c r="N70" s="175">
        <f t="shared" ca="1" si="7"/>
        <v>-5075120.9728191746</v>
      </c>
      <c r="O70" s="175">
        <f t="shared" ca="1" si="8"/>
        <v>0</v>
      </c>
      <c r="P70" s="175">
        <f t="shared" ca="1" si="9"/>
        <v>0</v>
      </c>
      <c r="Q70" s="175">
        <f t="shared" ca="1" si="10"/>
        <v>0</v>
      </c>
      <c r="R70" s="175">
        <f t="shared" ca="1" si="11"/>
        <v>-81981352.517081589</v>
      </c>
      <c r="S70" s="175">
        <f ca="1">IF(B70="","",IF($B$31=0,"",-'Debt Financing Calculations'!E19))</f>
        <v>-1842093.7363248433</v>
      </c>
      <c r="T70" s="175">
        <f t="shared" ca="1" si="12"/>
        <v>13339703.391570359</v>
      </c>
      <c r="U70" s="175">
        <f ca="1">IF(C70="","",IF(C70&lt;-1,0,IF(C70=anal_period,-LOOKUP(C70,depr_yr,depr_cost)-Depreciation!$C$141-Depreciation!$B$166,-LOOKUP(C70,depr_yr,depr_cost))))</f>
        <v>-4869947.7554083606</v>
      </c>
      <c r="V70" s="175">
        <f t="shared" ca="1" si="13"/>
        <v>8469755.6361619979</v>
      </c>
      <c r="W70" s="176">
        <f t="shared" si="14"/>
        <v>0.25739999999999996</v>
      </c>
      <c r="X70" s="175">
        <f t="shared" ca="1" si="15"/>
        <v>-2180115.100748098</v>
      </c>
      <c r="Y70" s="175">
        <f t="shared" ca="1" si="16"/>
        <v>11159588.290822262</v>
      </c>
      <c r="Z70" s="175">
        <f>IF(C70="","",IF($B$31=0,"",-'Debt Financing Calculations'!F19))</f>
        <v>0</v>
      </c>
      <c r="AA70" s="175">
        <f t="shared" ca="1" si="17"/>
        <v>10307019.518811794</v>
      </c>
      <c r="AB70" s="175">
        <f t="shared" ca="1" si="23"/>
        <v>-14779994.18570873</v>
      </c>
      <c r="AC70" s="1067">
        <f t="shared" ca="1" si="18"/>
        <v>12487134.619559892</v>
      </c>
      <c r="AE70" s="1071">
        <f t="shared" ca="1" si="19"/>
        <v>20003824.999999996</v>
      </c>
      <c r="AF70" s="1067">
        <f t="shared" si="20"/>
        <v>0</v>
      </c>
    </row>
    <row r="71" spans="1:32">
      <c r="A71" s="53">
        <f t="shared" si="21"/>
        <v>2020</v>
      </c>
      <c r="B71" s="173">
        <f>IF(MAX($B$65:B70)&lt;(construct+anal_period),B70+1,"")</f>
        <v>7</v>
      </c>
      <c r="C71" s="173">
        <f t="shared" si="22"/>
        <v>6</v>
      </c>
      <c r="D71" s="173">
        <f t="shared" si="1"/>
        <v>6</v>
      </c>
      <c r="E71" s="174">
        <f t="shared" si="2"/>
        <v>1.0986792440810986</v>
      </c>
      <c r="F71" s="54">
        <f t="shared" ca="1" si="3"/>
        <v>104180797.75953408</v>
      </c>
      <c r="G71" s="1080"/>
      <c r="H71" s="1089">
        <f t="shared" si="24"/>
        <v>0</v>
      </c>
      <c r="I71" s="175">
        <f ca="1">IF(OR(C71&lt;0,C71=""),"",-E71*INDEX('Replacement Costs'!$A$16:$H$57,MATCH(C71,'Replacement Costs'!$C$16:$C$57,0),MATCH("Total Yearly Replacement Costs",'Replacement Costs'!$A$16:$H$16,0)))</f>
        <v>-464487.31681828637</v>
      </c>
      <c r="J71" s="175">
        <f ca="1">IF(AND(C71&gt;=1,C71&lt;anal_period),WorkingCap*SUM(N71:R71)-WorkingCap*SUM(N70:R70),IF(C71&lt;0,0,IF(B71="","",-SUM(J$65:J70))))</f>
        <v>-480713.01631143503</v>
      </c>
      <c r="K71" s="175" t="str">
        <f t="shared" si="4"/>
        <v/>
      </c>
      <c r="L71" s="175" t="str">
        <f t="shared" si="5"/>
        <v/>
      </c>
      <c r="M71" s="175" t="str">
        <f t="shared" si="6"/>
        <v/>
      </c>
      <c r="N71" s="175">
        <f t="shared" ca="1" si="7"/>
        <v>-5171548.2713027373</v>
      </c>
      <c r="O71" s="175">
        <f t="shared" ca="1" si="8"/>
        <v>0</v>
      </c>
      <c r="P71" s="175">
        <f t="shared" ca="1" si="9"/>
        <v>0</v>
      </c>
      <c r="Q71" s="175">
        <f t="shared" ca="1" si="10"/>
        <v>0</v>
      </c>
      <c r="R71" s="175">
        <f t="shared" ca="1" si="11"/>
        <v>-85089678.660674259</v>
      </c>
      <c r="S71" s="175">
        <f ca="1">IF(B71="","",IF($B$31=0,"",-'Debt Financing Calculations'!E20))</f>
        <v>-1842093.7363248433</v>
      </c>
      <c r="T71" s="175">
        <f t="shared" ca="1" si="12"/>
        <v>12077477.091232225</v>
      </c>
      <c r="U71" s="175">
        <f ca="1">IF(C71="","",IF(C71&lt;-1,0,IF(C71=anal_period,-LOOKUP(C71,depr_yr,depr_cost)-Depreciation!$C$141-Depreciation!$B$166,-LOOKUP(C71,depr_yr,depr_cost))))</f>
        <v>-4539608.4421535358</v>
      </c>
      <c r="V71" s="175">
        <f t="shared" ca="1" si="13"/>
        <v>7537868.6490786895</v>
      </c>
      <c r="W71" s="176">
        <f t="shared" si="14"/>
        <v>0.25739999999999996</v>
      </c>
      <c r="X71" s="175">
        <f t="shared" ca="1" si="15"/>
        <v>-1940247.3902728544</v>
      </c>
      <c r="Y71" s="175">
        <f t="shared" ca="1" si="16"/>
        <v>10137229.700959371</v>
      </c>
      <c r="Z71" s="175">
        <f>IF(C71="","",IF($B$31=0,"",-'Debt Financing Calculations'!F20))</f>
        <v>0</v>
      </c>
      <c r="AA71" s="175">
        <f t="shared" ca="1" si="17"/>
        <v>9192029.3678296506</v>
      </c>
      <c r="AB71" s="175">
        <f t="shared" ca="1" si="23"/>
        <v>-5587964.8178790789</v>
      </c>
      <c r="AC71" s="1067">
        <f t="shared" ca="1" si="18"/>
        <v>11132276.758102505</v>
      </c>
      <c r="AE71" s="1071">
        <f t="shared" ca="1" si="19"/>
        <v>20003824.999999996</v>
      </c>
      <c r="AF71" s="1067">
        <f t="shared" si="20"/>
        <v>0</v>
      </c>
    </row>
    <row r="72" spans="1:32">
      <c r="A72" s="53">
        <f t="shared" si="21"/>
        <v>2021</v>
      </c>
      <c r="B72" s="173">
        <f>IF(MAX($B$65:B71)&lt;(construct+anal_period),B71+1,"")</f>
        <v>8</v>
      </c>
      <c r="C72" s="173">
        <f t="shared" si="22"/>
        <v>7</v>
      </c>
      <c r="D72" s="173">
        <f t="shared" si="1"/>
        <v>7</v>
      </c>
      <c r="E72" s="174">
        <f t="shared" si="2"/>
        <v>1.1195541497186396</v>
      </c>
      <c r="F72" s="54">
        <f t="shared" ca="1" si="3"/>
        <v>106160232.91696523</v>
      </c>
      <c r="G72" s="1080"/>
      <c r="H72" s="1089">
        <f t="shared" si="24"/>
        <v>0</v>
      </c>
      <c r="I72" s="175">
        <f ca="1">IF(OR(C72&lt;0,C72=""),"",-E72*INDEX('Replacement Costs'!$A$16:$H$57,MATCH(C72,'Replacement Costs'!$C$16:$C$57,0),MATCH("Total Yearly Replacement Costs",'Replacement Costs'!$A$16:$H$16,0)))</f>
        <v>-473312.57583783387</v>
      </c>
      <c r="J72" s="175">
        <f ca="1">IF(AND(C72&gt;=1,C72&lt;anal_period),WorkingCap*SUM(N72:R72)-WorkingCap*SUM(N71:R71),IF(C72&lt;0,0,IF(B72="","",-SUM(J$65:J71))))</f>
        <v>-328714.04303437471</v>
      </c>
      <c r="K72" s="175" t="str">
        <f t="shared" si="4"/>
        <v/>
      </c>
      <c r="L72" s="175" t="str">
        <f t="shared" si="5"/>
        <v/>
      </c>
      <c r="M72" s="175" t="str">
        <f t="shared" si="6"/>
        <v/>
      </c>
      <c r="N72" s="175">
        <f t="shared" ca="1" si="7"/>
        <v>-5269807.6884574899</v>
      </c>
      <c r="O72" s="175">
        <f t="shared" ca="1" si="8"/>
        <v>0</v>
      </c>
      <c r="P72" s="175">
        <f t="shared" ca="1" si="9"/>
        <v>0</v>
      </c>
      <c r="Q72" s="175">
        <f t="shared" ca="1" si="10"/>
        <v>0</v>
      </c>
      <c r="R72" s="175">
        <f t="shared" ca="1" si="11"/>
        <v>-87182846.197082013</v>
      </c>
      <c r="S72" s="175">
        <f ca="1">IF(B72="","",IF($B$31=0,"",-'Debt Financing Calculations'!E21))</f>
        <v>-1842093.7363248433</v>
      </c>
      <c r="T72" s="175">
        <f t="shared" ca="1" si="12"/>
        <v>11865485.295100883</v>
      </c>
      <c r="U72" s="175">
        <f ca="1">IF(C72="","",IF(C72&lt;-1,0,IF(C72=anal_period,-LOOKUP(C72,depr_yr,depr_cost)-Depreciation!$C$141-Depreciation!$B$166,-LOOKUP(C72,depr_yr,depr_cost))))</f>
        <v>-4233784.9258468663</v>
      </c>
      <c r="V72" s="175">
        <f t="shared" ca="1" si="13"/>
        <v>7631700.3692540163</v>
      </c>
      <c r="W72" s="176">
        <f t="shared" si="14"/>
        <v>0.25739999999999996</v>
      </c>
      <c r="X72" s="175">
        <f t="shared" ca="1" si="15"/>
        <v>-1964399.6750459834</v>
      </c>
      <c r="Y72" s="175">
        <f t="shared" ca="1" si="16"/>
        <v>9901085.6200548988</v>
      </c>
      <c r="Z72" s="175">
        <f>IF(C72="","",IF($B$31=0,"",-'Debt Financing Calculations'!F21))</f>
        <v>0</v>
      </c>
      <c r="AA72" s="175">
        <f t="shared" ca="1" si="17"/>
        <v>9099059.0011826903</v>
      </c>
      <c r="AB72" s="175">
        <f t="shared" ca="1" si="23"/>
        <v>3511094.1833036114</v>
      </c>
      <c r="AC72" s="1067">
        <f t="shared" ca="1" si="18"/>
        <v>11063458.676228674</v>
      </c>
      <c r="AE72" s="1071">
        <f t="shared" ca="1" si="19"/>
        <v>20003824.999999996</v>
      </c>
      <c r="AF72" s="1067">
        <f t="shared" si="20"/>
        <v>0</v>
      </c>
    </row>
    <row r="73" spans="1:32">
      <c r="A73" s="53">
        <f t="shared" si="21"/>
        <v>2022</v>
      </c>
      <c r="B73" s="173">
        <f>IF(MAX($B$65:B72)&lt;(construct+anal_period),B72+1,"")</f>
        <v>9</v>
      </c>
      <c r="C73" s="173">
        <f t="shared" si="22"/>
        <v>8</v>
      </c>
      <c r="D73" s="173">
        <f t="shared" si="1"/>
        <v>8</v>
      </c>
      <c r="E73" s="174">
        <f t="shared" si="2"/>
        <v>1.1408256785632938</v>
      </c>
      <c r="F73" s="54">
        <f t="shared" ca="1" si="3"/>
        <v>108177277.34238757</v>
      </c>
      <c r="G73" s="1080"/>
      <c r="H73" s="1089">
        <f t="shared" si="24"/>
        <v>0</v>
      </c>
      <c r="I73" s="175">
        <f ca="1">IF(OR(C73&lt;0,C73=""),"",-E73*INDEX('Replacement Costs'!$A$16:$H$57,MATCH(C73,'Replacement Costs'!$C$16:$C$57,0),MATCH("Total Yearly Replacement Costs",'Replacement Costs'!$A$16:$H$16,0)))</f>
        <v>-10671858.643907331</v>
      </c>
      <c r="J73" s="175">
        <f ca="1">IF(AND(C73&gt;=1,C73&lt;anal_period),WorkingCap*SUM(N73:R73)-WorkingCap*SUM(N72:R72),IF(C73&lt;0,0,IF(B73="","",-SUM(J$65:J72))))</f>
        <v>-692645.95115404576</v>
      </c>
      <c r="K73" s="175" t="str">
        <f t="shared" si="4"/>
        <v/>
      </c>
      <c r="L73" s="175" t="str">
        <f t="shared" si="5"/>
        <v/>
      </c>
      <c r="M73" s="175" t="str">
        <f t="shared" si="6"/>
        <v/>
      </c>
      <c r="N73" s="175">
        <f t="shared" ca="1" si="7"/>
        <v>-5369934.0345381824</v>
      </c>
      <c r="O73" s="175">
        <f t="shared" ca="1" si="8"/>
        <v>0</v>
      </c>
      <c r="P73" s="175">
        <f t="shared" ca="1" si="9"/>
        <v>0</v>
      </c>
      <c r="Q73" s="175">
        <f t="shared" ca="1" si="10"/>
        <v>0</v>
      </c>
      <c r="R73" s="175">
        <f t="shared" ca="1" si="11"/>
        <v>-91700359.525361627</v>
      </c>
      <c r="S73" s="175">
        <f ca="1">IF(B73="","",IF($B$31=0,"",-'Debt Financing Calculations'!E22))</f>
        <v>-1842093.7363248433</v>
      </c>
      <c r="T73" s="175">
        <f t="shared" ca="1" si="12"/>
        <v>9264890.0461629182</v>
      </c>
      <c r="U73" s="175">
        <f ca="1">IF(C73="","",IF(C73&lt;-1,0,IF(C73=anal_period,-LOOKUP(C73,depr_yr,depr_cost)-Depreciation!$C$141-Depreciation!$B$166,-LOOKUP(C73,depr_yr,depr_cost))))</f>
        <v>-4334693.5716233579</v>
      </c>
      <c r="V73" s="175">
        <f t="shared" ca="1" si="13"/>
        <v>4930196.4745395603</v>
      </c>
      <c r="W73" s="176">
        <f t="shared" si="14"/>
        <v>0.25739999999999996</v>
      </c>
      <c r="X73" s="175">
        <f t="shared" ca="1" si="15"/>
        <v>-1269032.5725464826</v>
      </c>
      <c r="Y73" s="175">
        <f t="shared" ca="1" si="16"/>
        <v>7995857.4736164361</v>
      </c>
      <c r="Z73" s="175">
        <f>IF(C73="","",IF($B$31=0,"",-'Debt Financing Calculations'!F22))</f>
        <v>0</v>
      </c>
      <c r="AA73" s="175">
        <f t="shared" ca="1" si="17"/>
        <v>-3368647.121444941</v>
      </c>
      <c r="AB73" s="175">
        <f t="shared" ca="1" si="23"/>
        <v>142447.06185867032</v>
      </c>
      <c r="AC73" s="1067">
        <f t="shared" ca="1" si="18"/>
        <v>-2099614.5488984585</v>
      </c>
      <c r="AE73" s="1071">
        <f t="shared" ca="1" si="19"/>
        <v>20003824.999999996</v>
      </c>
      <c r="AF73" s="1067">
        <f t="shared" si="20"/>
        <v>0</v>
      </c>
    </row>
    <row r="74" spans="1:32">
      <c r="A74" s="53">
        <f t="shared" si="21"/>
        <v>2023</v>
      </c>
      <c r="B74" s="173">
        <f>IF(MAX($B$65:B73)&lt;(construct+anal_period),B73+1,"")</f>
        <v>10</v>
      </c>
      <c r="C74" s="173">
        <f t="shared" si="22"/>
        <v>9</v>
      </c>
      <c r="D74" s="173">
        <f t="shared" si="1"/>
        <v>9</v>
      </c>
      <c r="E74" s="174">
        <f t="shared" si="2"/>
        <v>1.1625013664559962</v>
      </c>
      <c r="F74" s="54">
        <f t="shared" ca="1" si="3"/>
        <v>110232645.61189292</v>
      </c>
      <c r="G74" s="1080"/>
      <c r="H74" s="1089">
        <f t="shared" si="24"/>
        <v>0</v>
      </c>
      <c r="I74" s="175">
        <f ca="1">IF(OR(C74&lt;0,C74=""),"",-E74*INDEX('Replacement Costs'!$A$16:$H$57,MATCH(C74,'Replacement Costs'!$C$16:$C$57,0),MATCH("Total Yearly Replacement Costs",'Replacement Costs'!$A$16:$H$16,0)))</f>
        <v>-491469.31955954898</v>
      </c>
      <c r="J74" s="175">
        <f ca="1">IF(AND(C74&gt;=1,C74&lt;anal_period),WorkingCap*SUM(N74:R74)-WorkingCap*SUM(N73:R73),IF(C74&lt;0,0,IF(B74="","",-SUM(J$65:J73))))</f>
        <v>-320976.48134100437</v>
      </c>
      <c r="K74" s="175" t="str">
        <f t="shared" si="4"/>
        <v/>
      </c>
      <c r="L74" s="175" t="str">
        <f t="shared" si="5"/>
        <v/>
      </c>
      <c r="M74" s="175" t="str">
        <f t="shared" si="6"/>
        <v/>
      </c>
      <c r="N74" s="175">
        <f t="shared" ca="1" si="7"/>
        <v>-5471962.7811944075</v>
      </c>
      <c r="O74" s="175">
        <f t="shared" ca="1" si="8"/>
        <v>0</v>
      </c>
      <c r="P74" s="175">
        <f t="shared" ca="1" si="9"/>
        <v>0</v>
      </c>
      <c r="Q74" s="175">
        <f t="shared" ca="1" si="10"/>
        <v>0</v>
      </c>
      <c r="R74" s="175">
        <f t="shared" ca="1" si="11"/>
        <v>-93738173.987645432</v>
      </c>
      <c r="S74" s="175">
        <f ca="1">IF(B74="","",IF($B$31=0,"",-'Debt Financing Calculations'!E23))</f>
        <v>-1842093.7363248433</v>
      </c>
      <c r="T74" s="175">
        <f t="shared" ca="1" si="12"/>
        <v>9180415.1067282408</v>
      </c>
      <c r="U74" s="175">
        <f ca="1">IF(C74="","",IF(C74&lt;-1,0,IF(C74=anal_period,-LOOKUP(C74,depr_yr,depr_cost)-Depreciation!$C$141-Depreciation!$B$166,-LOOKUP(C74,depr_yr,depr_cost))))</f>
        <v>-4661053.5713590113</v>
      </c>
      <c r="V74" s="175">
        <f t="shared" ca="1" si="13"/>
        <v>4519361.5353692295</v>
      </c>
      <c r="W74" s="176">
        <f t="shared" si="14"/>
        <v>0.25739999999999996</v>
      </c>
      <c r="X74" s="175">
        <f t="shared" ca="1" si="15"/>
        <v>-1163283.6592040395</v>
      </c>
      <c r="Y74" s="175">
        <f t="shared" ca="1" si="16"/>
        <v>8017131.4475242011</v>
      </c>
      <c r="Z74" s="175">
        <f>IF(C74="","",IF($B$31=0,"",-'Debt Financing Calculations'!F23))</f>
        <v>0</v>
      </c>
      <c r="AA74" s="175">
        <f t="shared" ca="1" si="17"/>
        <v>7204685.6466236478</v>
      </c>
      <c r="AB74" s="175">
        <f t="shared" ca="1" si="23"/>
        <v>7347132.7084823176</v>
      </c>
      <c r="AC74" s="1067">
        <f t="shared" ca="1" si="18"/>
        <v>8367969.3058276875</v>
      </c>
      <c r="AE74" s="1071">
        <f t="shared" ca="1" si="19"/>
        <v>20003824.999999996</v>
      </c>
      <c r="AF74" s="1067">
        <f t="shared" si="20"/>
        <v>0</v>
      </c>
    </row>
    <row r="75" spans="1:32">
      <c r="A75" s="53">
        <f t="shared" si="21"/>
        <v>2024</v>
      </c>
      <c r="B75" s="173">
        <f>IF(MAX($B$65:B74)&lt;(construct+anal_period),B74+1,"")</f>
        <v>11</v>
      </c>
      <c r="C75" s="173">
        <f t="shared" si="22"/>
        <v>10</v>
      </c>
      <c r="D75" s="173">
        <f t="shared" si="1"/>
        <v>10</v>
      </c>
      <c r="E75" s="174">
        <f t="shared" si="2"/>
        <v>1.1845888924186601</v>
      </c>
      <c r="F75" s="54">
        <f t="shared" ca="1" si="3"/>
        <v>112327065.87851888</v>
      </c>
      <c r="G75" s="1080"/>
      <c r="H75" s="1089">
        <f t="shared" si="24"/>
        <v>0</v>
      </c>
      <c r="I75" s="175">
        <f ca="1">IF(OR(C75&lt;0,C75=""),"",-E75*INDEX('Replacement Costs'!$A$16:$H$57,MATCH(C75,'Replacement Costs'!$C$16:$C$57,0),MATCH("Total Yearly Replacement Costs",'Replacement Costs'!$A$16:$H$16,0)))</f>
        <v>-500807.23663118033</v>
      </c>
      <c r="J75" s="175">
        <f ca="1">IF(AND(C75&gt;=1,C75&lt;anal_period),WorkingCap*SUM(N75:R75)-WorkingCap*SUM(N74:R74),IF(C75&lt;0,0,IF(B75="","",-SUM(J$65:J74))))</f>
        <v>-245060.82414471172</v>
      </c>
      <c r="K75" s="175" t="str">
        <f t="shared" si="4"/>
        <v/>
      </c>
      <c r="L75" s="175" t="str">
        <f t="shared" si="5"/>
        <v/>
      </c>
      <c r="M75" s="175" t="str">
        <f t="shared" si="6"/>
        <v/>
      </c>
      <c r="N75" s="175">
        <f t="shared" ca="1" si="7"/>
        <v>-5575930.0740371011</v>
      </c>
      <c r="O75" s="175">
        <f t="shared" ca="1" si="8"/>
        <v>0</v>
      </c>
      <c r="P75" s="175">
        <f t="shared" ca="1" si="9"/>
        <v>0</v>
      </c>
      <c r="Q75" s="175">
        <f t="shared" ca="1" si="10"/>
        <v>0</v>
      </c>
      <c r="R75" s="175">
        <f t="shared" ca="1" si="11"/>
        <v>-95267945.522434145</v>
      </c>
      <c r="S75" s="175">
        <f ca="1">IF(B75="","",IF($B$31=0,"",-'Debt Financing Calculations'!E24))</f>
        <v>-1842093.7363248433</v>
      </c>
      <c r="T75" s="175">
        <f t="shared" ca="1" si="12"/>
        <v>9641096.5457227826</v>
      </c>
      <c r="U75" s="175">
        <f ca="1">IF(C75="","",IF(C75&lt;-1,0,IF(C75=anal_period,-LOOKUP(C75,depr_yr,depr_cost)-Depreciation!$C$141-Depreciation!$B$166,-LOOKUP(C75,depr_yr,depr_cost))))</f>
        <v>-4628093.6563006816</v>
      </c>
      <c r="V75" s="175">
        <f t="shared" ca="1" si="13"/>
        <v>5013002.889422101</v>
      </c>
      <c r="W75" s="176">
        <f t="shared" si="14"/>
        <v>0.25739999999999996</v>
      </c>
      <c r="X75" s="175">
        <f t="shared" ca="1" si="15"/>
        <v>-1290346.9437372487</v>
      </c>
      <c r="Y75" s="175">
        <f t="shared" ca="1" si="16"/>
        <v>8350749.6019855337</v>
      </c>
      <c r="Z75" s="175">
        <f>IF(C75="","",IF($B$31=0,"",-'Debt Financing Calculations'!F24))</f>
        <v>0</v>
      </c>
      <c r="AA75" s="175">
        <f t="shared" ca="1" si="17"/>
        <v>7604881.5412096409</v>
      </c>
      <c r="AB75" s="175">
        <f t="shared" ca="1" si="23"/>
        <v>14952014.249691959</v>
      </c>
      <c r="AC75" s="1067">
        <f t="shared" ca="1" si="18"/>
        <v>8895228.4849468898</v>
      </c>
      <c r="AE75" s="1071">
        <f t="shared" ca="1" si="19"/>
        <v>20003824.999999996</v>
      </c>
      <c r="AF75" s="1067">
        <f t="shared" si="20"/>
        <v>0</v>
      </c>
    </row>
    <row r="76" spans="1:32">
      <c r="A76" s="53">
        <f t="shared" si="21"/>
        <v>2025</v>
      </c>
      <c r="B76" s="173">
        <f>IF(MAX($B$65:B75)&lt;(construct+anal_period),B75+1,"")</f>
        <v>12</v>
      </c>
      <c r="C76" s="173">
        <f t="shared" si="22"/>
        <v>11</v>
      </c>
      <c r="D76" s="173">
        <f t="shared" si="1"/>
        <v>11</v>
      </c>
      <c r="E76" s="174">
        <f t="shared" si="2"/>
        <v>1.2070960813746145</v>
      </c>
      <c r="F76" s="54">
        <f t="shared" ca="1" si="3"/>
        <v>114461280.13021074</v>
      </c>
      <c r="G76" s="1080"/>
      <c r="H76" s="1089">
        <f t="shared" si="24"/>
        <v>0</v>
      </c>
      <c r="I76" s="175">
        <f ca="1">IF(OR(C76&lt;0,C76=""),"",-E76*INDEX('Replacement Costs'!$A$16:$H$57,MATCH(C76,'Replacement Costs'!$C$16:$C$57,0),MATCH("Total Yearly Replacement Costs",'Replacement Costs'!$A$16:$H$16,0)))</f>
        <v>-510322.57412717276</v>
      </c>
      <c r="J76" s="175">
        <f ca="1">IF(AND(C76&gt;=1,C76&lt;anal_period),WorkingCap*SUM(N76:R76)-WorkingCap*SUM(N75:R75),IF(C76&lt;0,0,IF(B76="","",-SUM(J$65:J75))))</f>
        <v>-636288.07594293542</v>
      </c>
      <c r="K76" s="175" t="str">
        <f t="shared" si="4"/>
        <v/>
      </c>
      <c r="L76" s="175" t="str">
        <f t="shared" si="5"/>
        <v/>
      </c>
      <c r="M76" s="175" t="str">
        <f t="shared" si="6"/>
        <v/>
      </c>
      <c r="N76" s="175">
        <f t="shared" ca="1" si="7"/>
        <v>-5681872.7454438051</v>
      </c>
      <c r="O76" s="175">
        <f t="shared" ca="1" si="8"/>
        <v>0</v>
      </c>
      <c r="P76" s="175">
        <f t="shared" ca="1" si="9"/>
        <v>0</v>
      </c>
      <c r="Q76" s="175">
        <f t="shared" ca="1" si="10"/>
        <v>0</v>
      </c>
      <c r="R76" s="175">
        <f t="shared" ca="1" si="11"/>
        <v>-99403923.357313678</v>
      </c>
      <c r="S76" s="175">
        <f ca="1">IF(B76="","",IF($B$31=0,"",-'Debt Financing Calculations'!E25))</f>
        <v>-1842093.7363248433</v>
      </c>
      <c r="T76" s="175">
        <f t="shared" ca="1" si="12"/>
        <v>7533390.2911284119</v>
      </c>
      <c r="U76" s="175">
        <f ca="1">IF(C76="","",IF(C76&lt;-1,0,IF(C76=anal_period,-LOOKUP(C76,depr_yr,depr_cost)-Depreciation!$C$141-Depreciation!$B$166,-LOOKUP(C76,depr_yr,depr_cost))))</f>
        <v>-4601515.9726135293</v>
      </c>
      <c r="V76" s="175">
        <f t="shared" ca="1" si="13"/>
        <v>2931874.3185148826</v>
      </c>
      <c r="W76" s="176">
        <f t="shared" si="14"/>
        <v>0.25739999999999996</v>
      </c>
      <c r="X76" s="175">
        <f t="shared" ca="1" si="15"/>
        <v>-754664.44958573068</v>
      </c>
      <c r="Y76" s="175">
        <f t="shared" ca="1" si="16"/>
        <v>6778725.8415426817</v>
      </c>
      <c r="Z76" s="175">
        <f>IF(C76="","",IF($B$31=0,"",-'Debt Financing Calculations'!F25))</f>
        <v>0</v>
      </c>
      <c r="AA76" s="175">
        <f t="shared" ca="1" si="17"/>
        <v>5632115.1914725732</v>
      </c>
      <c r="AB76" s="175">
        <f t="shared" ca="1" si="23"/>
        <v>20584129.441164531</v>
      </c>
      <c r="AC76" s="1067">
        <f t="shared" ca="1" si="18"/>
        <v>6386779.6410583034</v>
      </c>
      <c r="AE76" s="1071">
        <f t="shared" ca="1" si="19"/>
        <v>20003824.999999996</v>
      </c>
      <c r="AF76" s="1067">
        <f t="shared" si="20"/>
        <v>0</v>
      </c>
    </row>
    <row r="77" spans="1:32">
      <c r="A77" s="53">
        <f t="shared" si="21"/>
        <v>2026</v>
      </c>
      <c r="B77" s="173">
        <f>IF(MAX($B$65:B76)&lt;(construct+anal_period),B76+1,"")</f>
        <v>13</v>
      </c>
      <c r="C77" s="173">
        <f t="shared" si="22"/>
        <v>12</v>
      </c>
      <c r="D77" s="173">
        <f t="shared" si="1"/>
        <v>12</v>
      </c>
      <c r="E77" s="174">
        <f t="shared" si="2"/>
        <v>1.2300309069207322</v>
      </c>
      <c r="F77" s="54">
        <f t="shared" ca="1" si="3"/>
        <v>116636044.45268475</v>
      </c>
      <c r="G77" s="1080"/>
      <c r="H77" s="1089">
        <f t="shared" si="24"/>
        <v>0</v>
      </c>
      <c r="I77" s="175">
        <f ca="1">IF(OR(C77&lt;0,C77=""),"",-E77*INDEX('Replacement Costs'!$A$16:$H$57,MATCH(C77,'Replacement Costs'!$C$16:$C$57,0),MATCH("Total Yearly Replacement Costs",'Replacement Costs'!$A$16:$H$16,0)))</f>
        <v>-520018.70303558907</v>
      </c>
      <c r="J77" s="175">
        <f ca="1">IF(AND(C77&gt;=1,C77&lt;anal_period),WorkingCap*SUM(N77:R77)-WorkingCap*SUM(N76:R76),IF(C77&lt;0,0,IF(B77="","",-SUM(J$65:J76))))</f>
        <v>-453464.49162885547</v>
      </c>
      <c r="K77" s="175" t="str">
        <f t="shared" si="4"/>
        <v/>
      </c>
      <c r="L77" s="175" t="str">
        <f t="shared" si="5"/>
        <v/>
      </c>
      <c r="M77" s="175" t="str">
        <f t="shared" si="6"/>
        <v/>
      </c>
      <c r="N77" s="175">
        <f t="shared" ca="1" si="7"/>
        <v>-5789828.3276072377</v>
      </c>
      <c r="O77" s="175">
        <f t="shared" ca="1" si="8"/>
        <v>0</v>
      </c>
      <c r="P77" s="175">
        <f t="shared" ca="1" si="9"/>
        <v>0</v>
      </c>
      <c r="Q77" s="175">
        <f t="shared" ca="1" si="10"/>
        <v>0</v>
      </c>
      <c r="R77" s="175">
        <f t="shared" ca="1" si="11"/>
        <v>-102319064.38600928</v>
      </c>
      <c r="S77" s="175">
        <f ca="1">IF(B77="","",IF($B$31=0,"",-'Debt Financing Calculations'!E26))</f>
        <v>-1842093.7363248433</v>
      </c>
      <c r="T77" s="175">
        <f t="shared" ca="1" si="12"/>
        <v>6685058.0027433783</v>
      </c>
      <c r="U77" s="175">
        <f ca="1">IF(C77="","",IF(C77&lt;-1,0,IF(C77=anal_period,-LOOKUP(C77,depr_yr,depr_cost)-Depreciation!$C$141-Depreciation!$B$166,-LOOKUP(C77,depr_yr,depr_cost))))</f>
        <v>-4577390.0223482624</v>
      </c>
      <c r="V77" s="175">
        <f t="shared" ca="1" si="13"/>
        <v>2107667.9803951159</v>
      </c>
      <c r="W77" s="176">
        <f t="shared" si="14"/>
        <v>0.25739999999999996</v>
      </c>
      <c r="X77" s="175">
        <f t="shared" ca="1" si="15"/>
        <v>-542513.73815370281</v>
      </c>
      <c r="Y77" s="175">
        <f t="shared" ca="1" si="16"/>
        <v>6142544.2645896757</v>
      </c>
      <c r="Z77" s="175">
        <f>IF(C77="","",IF($B$31=0,"",-'Debt Financing Calculations'!F26))</f>
        <v>0</v>
      </c>
      <c r="AA77" s="175">
        <f t="shared" ca="1" si="17"/>
        <v>5169061.0699252309</v>
      </c>
      <c r="AB77" s="175">
        <f t="shared" ca="1" si="23"/>
        <v>25753190.511089761</v>
      </c>
      <c r="AC77" s="1067">
        <f t="shared" ca="1" si="18"/>
        <v>5711574.8080789335</v>
      </c>
      <c r="AE77" s="1071">
        <f t="shared" ca="1" si="19"/>
        <v>20003824.999999996</v>
      </c>
      <c r="AF77" s="1067">
        <f t="shared" si="20"/>
        <v>0</v>
      </c>
    </row>
    <row r="78" spans="1:32">
      <c r="A78" s="53">
        <f t="shared" si="21"/>
        <v>2027</v>
      </c>
      <c r="B78" s="173">
        <f>IF(MAX($B$65:B77)&lt;(construct+anal_period),B77+1,"")</f>
        <v>14</v>
      </c>
      <c r="C78" s="173">
        <f t="shared" si="22"/>
        <v>13</v>
      </c>
      <c r="D78" s="173">
        <f t="shared" si="1"/>
        <v>13</v>
      </c>
      <c r="E78" s="174">
        <f t="shared" si="2"/>
        <v>1.253401494152226</v>
      </c>
      <c r="F78" s="54">
        <f t="shared" ca="1" si="3"/>
        <v>118852129.29728574</v>
      </c>
      <c r="G78" s="1080"/>
      <c r="H78" s="1089">
        <f t="shared" si="24"/>
        <v>0</v>
      </c>
      <c r="I78" s="175">
        <f ca="1">IF(OR(C78&lt;0,C78=""),"",-E78*INDEX('Replacement Costs'!$A$16:$H$57,MATCH(C78,'Replacement Costs'!$C$16:$C$57,0),MATCH("Total Yearly Replacement Costs",'Replacement Costs'!$A$16:$H$16,0)))</f>
        <v>-529899.05839326524</v>
      </c>
      <c r="J78" s="175">
        <f ca="1">IF(AND(C78&gt;=1,C78&lt;anal_period),WorkingCap*SUM(N78:R78)-WorkingCap*SUM(N77:R77),IF(C78&lt;0,0,IF(B78="","",-SUM(J$65:J77))))</f>
        <v>-398029.75829475746</v>
      </c>
      <c r="K78" s="175" t="str">
        <f t="shared" si="4"/>
        <v/>
      </c>
      <c r="L78" s="175" t="str">
        <f t="shared" si="5"/>
        <v/>
      </c>
      <c r="M78" s="175" t="str">
        <f t="shared" si="6"/>
        <v/>
      </c>
      <c r="N78" s="175">
        <f t="shared" ca="1" si="7"/>
        <v>-5899835.0658317748</v>
      </c>
      <c r="O78" s="175">
        <f t="shared" ca="1" si="8"/>
        <v>0</v>
      </c>
      <c r="P78" s="175">
        <f t="shared" ca="1" si="9"/>
        <v>0</v>
      </c>
      <c r="Q78" s="175">
        <f t="shared" ca="1" si="10"/>
        <v>0</v>
      </c>
      <c r="R78" s="175">
        <f t="shared" ca="1" si="11"/>
        <v>-104862589.36974978</v>
      </c>
      <c r="S78" s="175">
        <f ca="1">IF(B78="","",IF($B$31=0,"",-'Debt Financing Calculations'!E27))</f>
        <v>-1842093.7363248433</v>
      </c>
      <c r="T78" s="175">
        <f t="shared" ca="1" si="12"/>
        <v>6247611.125379324</v>
      </c>
      <c r="U78" s="175">
        <f ca="1">IF(C78="","",IF(C78&lt;-1,0,IF(C78=anal_period,-LOOKUP(C78,depr_yr,depr_cost)-Depreciation!$C$141-Depreciation!$B$166,-LOOKUP(C78,depr_yr,depr_cost))))</f>
        <v>-4559051.7664201176</v>
      </c>
      <c r="V78" s="175">
        <f t="shared" ca="1" si="13"/>
        <v>1688559.3589592064</v>
      </c>
      <c r="W78" s="176">
        <f t="shared" si="14"/>
        <v>0.25739999999999996</v>
      </c>
      <c r="X78" s="175">
        <f t="shared" ca="1" si="15"/>
        <v>-434635.17899609968</v>
      </c>
      <c r="Y78" s="175">
        <f t="shared" ca="1" si="16"/>
        <v>5812975.9463832239</v>
      </c>
      <c r="Z78" s="175">
        <f>IF(C78="","",IF($B$31=0,"",-'Debt Financing Calculations'!F27))</f>
        <v>0</v>
      </c>
      <c r="AA78" s="175">
        <f t="shared" ca="1" si="17"/>
        <v>4885047.1296952013</v>
      </c>
      <c r="AB78" s="175">
        <f t="shared" ca="1" si="23"/>
        <v>30638237.640784964</v>
      </c>
      <c r="AC78" s="1067">
        <f t="shared" ca="1" si="18"/>
        <v>5319682.3086913014</v>
      </c>
      <c r="AE78" s="1071">
        <f t="shared" ca="1" si="19"/>
        <v>20003824.999999996</v>
      </c>
      <c r="AF78" s="1067">
        <f t="shared" si="20"/>
        <v>0</v>
      </c>
    </row>
    <row r="79" spans="1:32">
      <c r="A79" s="53">
        <f t="shared" si="21"/>
        <v>2028</v>
      </c>
      <c r="B79" s="173">
        <f>IF(MAX($B$65:B78)&lt;(construct+anal_period),B78+1,"")</f>
        <v>15</v>
      </c>
      <c r="C79" s="173">
        <f t="shared" si="22"/>
        <v>14</v>
      </c>
      <c r="D79" s="173">
        <f t="shared" si="1"/>
        <v>14</v>
      </c>
      <c r="E79" s="174">
        <f t="shared" si="2"/>
        <v>1.277216122541118</v>
      </c>
      <c r="F79" s="54">
        <f t="shared" ca="1" si="3"/>
        <v>121110319.75393414</v>
      </c>
      <c r="G79" s="1080"/>
      <c r="H79" s="1089">
        <f t="shared" si="24"/>
        <v>0</v>
      </c>
      <c r="I79" s="175">
        <f ca="1">IF(OR(C79&lt;0,C79=""),"",-E79*INDEX('Replacement Costs'!$A$16:$H$57,MATCH(C79,'Replacement Costs'!$C$16:$C$57,0),MATCH("Total Yearly Replacement Costs",'Replacement Costs'!$A$16:$H$16,0)))</f>
        <v>-539967.14050273714</v>
      </c>
      <c r="J79" s="175">
        <f ca="1">IF(AND(C79&gt;=1,C79&lt;anal_period),WorkingCap*SUM(N79:R79)-WorkingCap*SUM(N78:R78),IF(C79&lt;0,0,IF(B79="","",-SUM(J$65:J78))))</f>
        <v>-419597.27995595708</v>
      </c>
      <c r="K79" s="175" t="str">
        <f t="shared" si="4"/>
        <v/>
      </c>
      <c r="L79" s="175" t="str">
        <f t="shared" si="5"/>
        <v/>
      </c>
      <c r="M79" s="175" t="str">
        <f t="shared" si="6"/>
        <v/>
      </c>
      <c r="N79" s="175">
        <f t="shared" ca="1" si="7"/>
        <v>-6011931.9320825767</v>
      </c>
      <c r="O79" s="175">
        <f t="shared" ca="1" si="8"/>
        <v>0</v>
      </c>
      <c r="P79" s="175">
        <f t="shared" ca="1" si="9"/>
        <v>0</v>
      </c>
      <c r="Q79" s="175">
        <f t="shared" ca="1" si="10"/>
        <v>0</v>
      </c>
      <c r="R79" s="175">
        <f t="shared" ca="1" si="11"/>
        <v>-107547807.70320536</v>
      </c>
      <c r="S79" s="175">
        <f ca="1">IF(B79="","",IF($B$31=0,"",-'Debt Financing Calculations'!E28))</f>
        <v>-1842093.7363248433</v>
      </c>
      <c r="T79" s="175">
        <f t="shared" ca="1" si="12"/>
        <v>5708486.3823213577</v>
      </c>
      <c r="U79" s="175">
        <f ca="1">IF(C79="","",IF(C79&lt;-1,0,IF(C79=anal_period,-LOOKUP(C79,depr_yr,depr_cost)-Depreciation!$C$141-Depreciation!$B$166,-LOOKUP(C79,depr_yr,depr_cost))))</f>
        <v>-4542672.922298016</v>
      </c>
      <c r="V79" s="175">
        <f t="shared" ca="1" si="13"/>
        <v>1165813.4600233417</v>
      </c>
      <c r="W79" s="176">
        <f t="shared" si="14"/>
        <v>0.25739999999999996</v>
      </c>
      <c r="X79" s="175">
        <f t="shared" ca="1" si="15"/>
        <v>-300080.3846100081</v>
      </c>
      <c r="Y79" s="175">
        <f t="shared" ca="1" si="16"/>
        <v>5408405.9977113493</v>
      </c>
      <c r="Z79" s="175">
        <f>IF(C79="","",IF($B$31=0,"",-'Debt Financing Calculations'!F28))</f>
        <v>0</v>
      </c>
      <c r="AA79" s="175">
        <f t="shared" ca="1" si="17"/>
        <v>4448841.5772526553</v>
      </c>
      <c r="AB79" s="175">
        <f t="shared" ca="1" si="23"/>
        <v>35087079.21803762</v>
      </c>
      <c r="AC79" s="1067">
        <f t="shared" ca="1" si="18"/>
        <v>4748921.9618626637</v>
      </c>
      <c r="AE79" s="1071">
        <f t="shared" ca="1" si="19"/>
        <v>20003824.999999996</v>
      </c>
      <c r="AF79" s="1067">
        <f t="shared" si="20"/>
        <v>0</v>
      </c>
    </row>
    <row r="80" spans="1:32">
      <c r="A80" s="53">
        <f t="shared" si="21"/>
        <v>2029</v>
      </c>
      <c r="B80" s="173">
        <f>IF(MAX($B$65:B79)&lt;(construct+anal_period),B79+1,"")</f>
        <v>16</v>
      </c>
      <c r="C80" s="173">
        <f t="shared" si="22"/>
        <v>15</v>
      </c>
      <c r="D80" s="173">
        <f t="shared" si="1"/>
        <v>15</v>
      </c>
      <c r="E80" s="174">
        <f t="shared" si="2"/>
        <v>1.3014832288693996</v>
      </c>
      <c r="F80" s="54">
        <f t="shared" ca="1" si="3"/>
        <v>123411415.82925892</v>
      </c>
      <c r="G80" s="1080"/>
      <c r="H80" s="1089">
        <f t="shared" si="24"/>
        <v>0</v>
      </c>
      <c r="I80" s="175">
        <f ca="1">IF(OR(C80&lt;0,C80=""),"",-E80*INDEX('Replacement Costs'!$A$16:$H$57,MATCH(C80,'Replacement Costs'!$C$16:$C$57,0),MATCH("Total Yearly Replacement Costs",'Replacement Costs'!$A$16:$H$16,0)))</f>
        <v>-12174730.378967132</v>
      </c>
      <c r="J80" s="175">
        <f ca="1">IF(AND(C80&gt;=1,C80&lt;anal_period),WorkingCap*SUM(N80:R80)-WorkingCap*SUM(N79:R79),IF(C80&lt;0,0,IF(B80="","",-SUM(J$65:J79))))</f>
        <v>-406846.27510905638</v>
      </c>
      <c r="K80" s="175" t="str">
        <f t="shared" si="4"/>
        <v/>
      </c>
      <c r="L80" s="175" t="str">
        <f t="shared" si="5"/>
        <v/>
      </c>
      <c r="M80" s="175" t="str">
        <f t="shared" si="6"/>
        <v/>
      </c>
      <c r="N80" s="175">
        <f t="shared" ca="1" si="7"/>
        <v>-6126158.6387921479</v>
      </c>
      <c r="O80" s="175">
        <f t="shared" ca="1" si="8"/>
        <v>0</v>
      </c>
      <c r="P80" s="175">
        <f t="shared" ca="1" si="9"/>
        <v>0</v>
      </c>
      <c r="Q80" s="175">
        <f t="shared" ca="1" si="10"/>
        <v>0</v>
      </c>
      <c r="R80" s="175">
        <f t="shared" ca="1" si="11"/>
        <v>-110145889.49722284</v>
      </c>
      <c r="S80" s="175">
        <f ca="1">IF(B80="","",IF($B$31=0,"",-'Debt Financing Calculations'!E29))</f>
        <v>-1842093.7363248433</v>
      </c>
      <c r="T80" s="175">
        <f t="shared" ca="1" si="12"/>
        <v>5297273.956919089</v>
      </c>
      <c r="U80" s="175">
        <f ca="1">IF(C80="","",IF(C80&lt;-1,0,IF(C80=anal_period,-LOOKUP(C80,depr_yr,depr_cost)-Depreciation!$C$141-Depreciation!$B$166,-LOOKUP(C80,depr_yr,depr_cost))))</f>
        <v>-4967508.6717167739</v>
      </c>
      <c r="V80" s="175">
        <f t="shared" ca="1" si="13"/>
        <v>329765.28520231508</v>
      </c>
      <c r="W80" s="176">
        <f t="shared" si="14"/>
        <v>0.25739999999999996</v>
      </c>
      <c r="X80" s="175">
        <f t="shared" ca="1" si="15"/>
        <v>-84881.584411075892</v>
      </c>
      <c r="Y80" s="175">
        <f t="shared" ca="1" si="16"/>
        <v>5212392.3725080127</v>
      </c>
      <c r="Z80" s="175">
        <f>IF(C80="","",IF($B$31=0,"",-'Debt Financing Calculations'!F29))</f>
        <v>0</v>
      </c>
      <c r="AA80" s="175">
        <f t="shared" ca="1" si="17"/>
        <v>-7369184.2815681761</v>
      </c>
      <c r="AB80" s="175">
        <f t="shared" ca="1" si="23"/>
        <v>27717894.936469443</v>
      </c>
      <c r="AC80" s="1067">
        <f t="shared" ca="1" si="18"/>
        <v>-7284302.6971570998</v>
      </c>
      <c r="AE80" s="1071">
        <f t="shared" ca="1" si="19"/>
        <v>20003824.999999996</v>
      </c>
      <c r="AF80" s="1067">
        <f t="shared" si="20"/>
        <v>0</v>
      </c>
    </row>
    <row r="81" spans="1:32">
      <c r="A81" s="53">
        <f t="shared" si="21"/>
        <v>2030</v>
      </c>
      <c r="B81" s="173">
        <f>IF(MAX($B$65:B80)&lt;(construct+anal_period),B80+1,"")</f>
        <v>17</v>
      </c>
      <c r="C81" s="173">
        <f t="shared" si="22"/>
        <v>16</v>
      </c>
      <c r="D81" s="173">
        <f t="shared" si="1"/>
        <v>16</v>
      </c>
      <c r="E81" s="174">
        <f t="shared" si="2"/>
        <v>1.3262114102179181</v>
      </c>
      <c r="F81" s="54">
        <f t="shared" ca="1" si="3"/>
        <v>125756232.73001483</v>
      </c>
      <c r="G81" s="1080"/>
      <c r="H81" s="1089">
        <f t="shared" si="24"/>
        <v>0</v>
      </c>
      <c r="I81" s="175">
        <f ca="1">IF(OR(C81&lt;0,C81=""),"",-E81*INDEX('Replacement Costs'!$A$16:$H$57,MATCH(C81,'Replacement Costs'!$C$16:$C$57,0),MATCH("Total Yearly Replacement Costs",'Replacement Costs'!$A$16:$H$16,0)))</f>
        <v>-560680.81997956266</v>
      </c>
      <c r="J81" s="175">
        <f ca="1">IF(AND(C81&gt;=1,C81&lt;anal_period),WorkingCap*SUM(N81:R81)-WorkingCap*SUM(N80:R80),IF(C81&lt;0,0,IF(B81="","",-SUM(J$65:J80))))</f>
        <v>-390276.161203444</v>
      </c>
      <c r="K81" s="175" t="str">
        <f t="shared" si="4"/>
        <v/>
      </c>
      <c r="L81" s="175" t="str">
        <f t="shared" si="5"/>
        <v/>
      </c>
      <c r="M81" s="175" t="str">
        <f t="shared" si="6"/>
        <v/>
      </c>
      <c r="N81" s="175">
        <f t="shared" ca="1" si="7"/>
        <v>-6242555.652929198</v>
      </c>
      <c r="O81" s="175">
        <f t="shared" ca="1" si="8"/>
        <v>0</v>
      </c>
      <c r="P81" s="175">
        <f t="shared" ca="1" si="9"/>
        <v>0</v>
      </c>
      <c r="Q81" s="175">
        <f t="shared" ca="1" si="10"/>
        <v>0</v>
      </c>
      <c r="R81" s="175">
        <f t="shared" ca="1" si="11"/>
        <v>-112631333.55777542</v>
      </c>
      <c r="S81" s="175">
        <f ca="1">IF(B81="","",IF($B$31=0,"",-'Debt Financing Calculations'!E30))</f>
        <v>-1842093.7363248433</v>
      </c>
      <c r="T81" s="175">
        <f t="shared" ca="1" si="12"/>
        <v>5040249.7829853594</v>
      </c>
      <c r="U81" s="175">
        <f ca="1">IF(C81="","",IF(C81&lt;-1,0,IF(C81=anal_period,-LOOKUP(C81,depr_yr,depr_cost)-Depreciation!$C$141-Depreciation!$B$166,-LOOKUP(C81,depr_yr,depr_cost))))</f>
        <v>-5389678.062355713</v>
      </c>
      <c r="V81" s="175">
        <f t="shared" ca="1" si="13"/>
        <v>-349428.27937035356</v>
      </c>
      <c r="W81" s="176">
        <f t="shared" si="14"/>
        <v>0.25739999999999996</v>
      </c>
      <c r="X81" s="175">
        <f t="shared" ca="1" si="15"/>
        <v>89942.839109928987</v>
      </c>
      <c r="Y81" s="175">
        <f t="shared" ca="1" si="16"/>
        <v>5130192.6220952887</v>
      </c>
      <c r="Z81" s="175">
        <f>IF(C81="","",IF($B$31=0,"",-'Debt Financing Calculations'!F30))</f>
        <v>0</v>
      </c>
      <c r="AA81" s="175">
        <f t="shared" ca="1" si="17"/>
        <v>4179235.6409122818</v>
      </c>
      <c r="AB81" s="175">
        <f t="shared" ca="1" si="23"/>
        <v>31897130.577381726</v>
      </c>
      <c r="AC81" s="1067">
        <f t="shared" ca="1" si="18"/>
        <v>4089292.801802353</v>
      </c>
      <c r="AE81" s="1071">
        <f t="shared" ca="1" si="19"/>
        <v>20003824.999999996</v>
      </c>
      <c r="AF81" s="1067">
        <f t="shared" si="20"/>
        <v>0</v>
      </c>
    </row>
    <row r="82" spans="1:32">
      <c r="A82" s="53">
        <f t="shared" si="21"/>
        <v>2031</v>
      </c>
      <c r="B82" s="173">
        <f>IF(MAX($B$65:B81)&lt;(construct+anal_period),B81+1,"")</f>
        <v>18</v>
      </c>
      <c r="C82" s="173">
        <f t="shared" si="22"/>
        <v>17</v>
      </c>
      <c r="D82" s="173">
        <f t="shared" si="1"/>
        <v>17</v>
      </c>
      <c r="E82" s="174">
        <f t="shared" si="2"/>
        <v>1.3514094270120585</v>
      </c>
      <c r="F82" s="54">
        <f t="shared" ca="1" si="3"/>
        <v>128145601.15188511</v>
      </c>
      <c r="G82" s="1080"/>
      <c r="H82" s="1089">
        <f t="shared" si="24"/>
        <v>0</v>
      </c>
      <c r="I82" s="175">
        <f ca="1">IF(OR(C82&lt;0,C82=""),"",-E82*INDEX('Replacement Costs'!$A$16:$H$57,MATCH(C82,'Replacement Costs'!$C$16:$C$57,0),MATCH("Total Yearly Replacement Costs",'Replacement Costs'!$A$16:$H$16,0)))</f>
        <v>-571333.75555917434</v>
      </c>
      <c r="J82" s="175">
        <f ca="1">IF(AND(C82&gt;=1,C82&lt;anal_period),WorkingCap*SUM(N82:R82)-WorkingCap*SUM(N81:R81),IF(C82&lt;0,0,IF(B82="","",-SUM(J$65:J81))))</f>
        <v>-360555.11281690001</v>
      </c>
      <c r="K82" s="175" t="str">
        <f t="shared" si="4"/>
        <v/>
      </c>
      <c r="L82" s="175" t="str">
        <f t="shared" si="5"/>
        <v/>
      </c>
      <c r="M82" s="175" t="str">
        <f t="shared" si="6"/>
        <v/>
      </c>
      <c r="N82" s="175">
        <f t="shared" ca="1" si="7"/>
        <v>-6361164.2103348523</v>
      </c>
      <c r="O82" s="175">
        <f t="shared" ca="1" si="8"/>
        <v>0</v>
      </c>
      <c r="P82" s="175">
        <f t="shared" ca="1" si="9"/>
        <v>0</v>
      </c>
      <c r="Q82" s="175">
        <f t="shared" ca="1" si="10"/>
        <v>0</v>
      </c>
      <c r="R82" s="175">
        <f t="shared" ca="1" si="11"/>
        <v>-114916425.75248244</v>
      </c>
      <c r="S82" s="175">
        <f ca="1">IF(B82="","",IF($B$31=0,"",-'Debt Financing Calculations'!E31))</f>
        <v>-1842093.7363248433</v>
      </c>
      <c r="T82" s="175">
        <f t="shared" ca="1" si="12"/>
        <v>5025917.452742964</v>
      </c>
      <c r="U82" s="175">
        <f ca="1">IF(C82="","",IF(C82&lt;-1,0,IF(C82=anal_period,-LOOKUP(C82,depr_yr,depr_cost)-Depreciation!$C$141-Depreciation!$B$166,-LOOKUP(C82,depr_yr,depr_cost))))</f>
        <v>-5353755.5292527564</v>
      </c>
      <c r="V82" s="175">
        <f t="shared" ca="1" si="13"/>
        <v>-327838.07650979236</v>
      </c>
      <c r="W82" s="176">
        <f t="shared" si="14"/>
        <v>0.25739999999999996</v>
      </c>
      <c r="X82" s="175">
        <f t="shared" ca="1" si="15"/>
        <v>84385.520893620545</v>
      </c>
      <c r="Y82" s="175">
        <f t="shared" ca="1" si="16"/>
        <v>5110302.9736365844</v>
      </c>
      <c r="Z82" s="175">
        <f>IF(C82="","",IF($B$31=0,"",-'Debt Financing Calculations'!F31))</f>
        <v>0</v>
      </c>
      <c r="AA82" s="175">
        <f t="shared" ca="1" si="17"/>
        <v>4178414.10526051</v>
      </c>
      <c r="AB82" s="175">
        <f t="shared" ca="1" si="23"/>
        <v>36075544.682642236</v>
      </c>
      <c r="AC82" s="1067">
        <f t="shared" ca="1" si="18"/>
        <v>4094028.5843668897</v>
      </c>
      <c r="AE82" s="1071">
        <f t="shared" ca="1" si="19"/>
        <v>20003824.999999996</v>
      </c>
      <c r="AF82" s="1067">
        <f t="shared" si="20"/>
        <v>0</v>
      </c>
    </row>
    <row r="83" spans="1:32">
      <c r="A83" s="53">
        <f t="shared" si="21"/>
        <v>2032</v>
      </c>
      <c r="B83" s="173">
        <f>IF(MAX($B$65:B82)&lt;(construct+anal_period),B82+1,"")</f>
        <v>19</v>
      </c>
      <c r="C83" s="173">
        <f t="shared" si="22"/>
        <v>18</v>
      </c>
      <c r="D83" s="173">
        <f t="shared" si="1"/>
        <v>18</v>
      </c>
      <c r="E83" s="174">
        <f t="shared" si="2"/>
        <v>1.3770862061252875</v>
      </c>
      <c r="F83" s="54">
        <f t="shared" ca="1" si="3"/>
        <v>130580367.57377093</v>
      </c>
      <c r="G83" s="1080"/>
      <c r="H83" s="1089">
        <f t="shared" si="24"/>
        <v>0</v>
      </c>
      <c r="I83" s="175">
        <f ca="1">IF(OR(C83&lt;0,C83=""),"",-E83*INDEX('Replacement Costs'!$A$16:$H$57,MATCH(C83,'Replacement Costs'!$C$16:$C$57,0),MATCH("Total Yearly Replacement Costs",'Replacement Costs'!$A$16:$H$16,0)))</f>
        <v>-582189.09691479872</v>
      </c>
      <c r="J83" s="175">
        <f ca="1">IF(AND(C83&gt;=1,C83&lt;anal_period),WorkingCap*SUM(N83:R83)-WorkingCap*SUM(N82:R82),IF(C83&lt;0,0,IF(B83="","",-SUM(J$65:J82))))</f>
        <v>-305649.83164902776</v>
      </c>
      <c r="K83" s="175" t="str">
        <f t="shared" si="4"/>
        <v/>
      </c>
      <c r="L83" s="175" t="str">
        <f t="shared" si="5"/>
        <v/>
      </c>
      <c r="M83" s="175" t="str">
        <f t="shared" si="6"/>
        <v/>
      </c>
      <c r="N83" s="175">
        <f t="shared" ca="1" si="7"/>
        <v>-6482026.3303312147</v>
      </c>
      <c r="O83" s="175">
        <f t="shared" ca="1" si="8"/>
        <v>0</v>
      </c>
      <c r="P83" s="175">
        <f t="shared" ca="1" si="9"/>
        <v>0</v>
      </c>
      <c r="Q83" s="175">
        <f t="shared" ca="1" si="10"/>
        <v>0</v>
      </c>
      <c r="R83" s="175">
        <f t="shared" ca="1" si="11"/>
        <v>-116833229.17681292</v>
      </c>
      <c r="S83" s="175">
        <f ca="1">IF(B83="","",IF($B$31=0,"",-'Debt Financing Calculations'!E32))</f>
        <v>-1842093.7363248433</v>
      </c>
      <c r="T83" s="175">
        <f t="shared" ca="1" si="12"/>
        <v>5423018.3303019404</v>
      </c>
      <c r="U83" s="175">
        <f ca="1">IF(C83="","",IF(C83&lt;-1,0,IF(C83=anal_period,-LOOKUP(C83,depr_yr,depr_cost)-Depreciation!$C$141-Depreciation!$B$166,-LOOKUP(C83,depr_yr,depr_cost))))</f>
        <v>-5321756.0408668723</v>
      </c>
      <c r="V83" s="175">
        <f t="shared" ca="1" si="13"/>
        <v>101262.28943506815</v>
      </c>
      <c r="W83" s="176">
        <f t="shared" si="14"/>
        <v>0.25739999999999996</v>
      </c>
      <c r="X83" s="175">
        <f t="shared" ca="1" si="15"/>
        <v>-26064.913300586537</v>
      </c>
      <c r="Y83" s="175">
        <f t="shared" ca="1" si="16"/>
        <v>5396953.4170013536</v>
      </c>
      <c r="Z83" s="175">
        <f>IF(C83="","",IF($B$31=0,"",-'Debt Financing Calculations'!F32))</f>
        <v>0</v>
      </c>
      <c r="AA83" s="175">
        <f t="shared" ca="1" si="17"/>
        <v>4509114.4884375269</v>
      </c>
      <c r="AB83" s="175">
        <f t="shared" ca="1" si="23"/>
        <v>40584659.171079762</v>
      </c>
      <c r="AC83" s="1067">
        <f t="shared" ca="1" si="18"/>
        <v>4535179.4017381137</v>
      </c>
      <c r="AE83" s="1071">
        <f t="shared" ca="1" si="19"/>
        <v>20003824.999999996</v>
      </c>
      <c r="AF83" s="1067">
        <f t="shared" si="20"/>
        <v>0</v>
      </c>
    </row>
    <row r="84" spans="1:32">
      <c r="A84" s="53">
        <f t="shared" si="21"/>
        <v>2033</v>
      </c>
      <c r="B84" s="173">
        <f>IF(MAX($B$65:B83)&lt;(construct+anal_period),B83+1,"")</f>
        <v>20</v>
      </c>
      <c r="C84" s="173">
        <f t="shared" si="22"/>
        <v>19</v>
      </c>
      <c r="D84" s="173">
        <f t="shared" si="1"/>
        <v>19</v>
      </c>
      <c r="E84" s="174">
        <f t="shared" si="2"/>
        <v>1.4032508440416678</v>
      </c>
      <c r="F84" s="54">
        <f t="shared" ca="1" si="3"/>
        <v>133061394.55767255</v>
      </c>
      <c r="G84" s="1080"/>
      <c r="H84" s="1089">
        <f t="shared" si="24"/>
        <v>0</v>
      </c>
      <c r="I84" s="175">
        <f ca="1">IF(OR(C84&lt;0,C84=""),"",-E84*INDEX('Replacement Costs'!$A$16:$H$57,MATCH(C84,'Replacement Costs'!$C$16:$C$57,0),MATCH("Total Yearly Replacement Costs",'Replacement Costs'!$A$16:$H$16,0)))</f>
        <v>-593250.68975617969</v>
      </c>
      <c r="J84" s="175">
        <f ca="1">IF(AND(C84&gt;=1,C84&lt;anal_period),WorkingCap*SUM(N84:R84)-WorkingCap*SUM(N83:R83),IF(C84&lt;0,0,IF(B84="","",-SUM(J$65:J83))))</f>
        <v>-287749.69275877252</v>
      </c>
      <c r="K84" s="175" t="str">
        <f t="shared" si="4"/>
        <v/>
      </c>
      <c r="L84" s="175" t="str">
        <f t="shared" si="5"/>
        <v/>
      </c>
      <c r="M84" s="175" t="str">
        <f t="shared" si="6"/>
        <v/>
      </c>
      <c r="N84" s="175">
        <f t="shared" ca="1" si="7"/>
        <v>-6605184.8306075064</v>
      </c>
      <c r="O84" s="175">
        <f t="shared" ca="1" si="8"/>
        <v>0</v>
      </c>
      <c r="P84" s="175">
        <f t="shared" ca="1" si="9"/>
        <v>0</v>
      </c>
      <c r="Q84" s="175">
        <f t="shared" ca="1" si="10"/>
        <v>0</v>
      </c>
      <c r="R84" s="175">
        <f t="shared" ca="1" si="11"/>
        <v>-118628401.96159512</v>
      </c>
      <c r="S84" s="175">
        <f ca="1">IF(B84="","",IF($B$31=0,"",-'Debt Financing Calculations'!E33))</f>
        <v>-1842093.7363248433</v>
      </c>
      <c r="T84" s="175">
        <f t="shared" ca="1" si="12"/>
        <v>5985714.0291450769</v>
      </c>
      <c r="U84" s="175">
        <f ca="1">IF(C84="","",IF(C84&lt;-1,0,IF(C84=anal_period,-LOOKUP(C84,depr_yr,depr_cost)-Depreciation!$C$141-Depreciation!$B$166,-LOOKUP(C84,depr_yr,depr_cost))))</f>
        <v>-5295911.5216433629</v>
      </c>
      <c r="V84" s="175">
        <f t="shared" ca="1" si="13"/>
        <v>689802.50750171393</v>
      </c>
      <c r="W84" s="176">
        <f t="shared" si="14"/>
        <v>0.25739999999999996</v>
      </c>
      <c r="X84" s="175">
        <f t="shared" ca="1" si="15"/>
        <v>-177555.16543094115</v>
      </c>
      <c r="Y84" s="175">
        <f t="shared" ca="1" si="16"/>
        <v>5808158.8637141362</v>
      </c>
      <c r="Z84" s="175">
        <f>IF(C84="","",IF($B$31=0,"",-'Debt Financing Calculations'!F33))</f>
        <v>0</v>
      </c>
      <c r="AA84" s="175">
        <f t="shared" ca="1" si="17"/>
        <v>4927158.4811991844</v>
      </c>
      <c r="AB84" s="175">
        <f t="shared" ca="1" si="23"/>
        <v>45511817.652278945</v>
      </c>
      <c r="AC84" s="1067">
        <f t="shared" ca="1" si="18"/>
        <v>5104713.6466301251</v>
      </c>
      <c r="AE84" s="1071">
        <f t="shared" ca="1" si="19"/>
        <v>20003824.999999996</v>
      </c>
      <c r="AF84" s="1067">
        <f t="shared" si="20"/>
        <v>0</v>
      </c>
    </row>
    <row r="85" spans="1:32">
      <c r="A85" s="53">
        <f t="shared" si="21"/>
        <v>2034</v>
      </c>
      <c r="B85" s="173">
        <f>IF(MAX($B$65:B84)&lt;(construct+anal_period),B84+1,"")</f>
        <v>21</v>
      </c>
      <c r="C85" s="173">
        <f t="shared" si="22"/>
        <v>20</v>
      </c>
      <c r="D85" s="173">
        <f t="shared" si="1"/>
        <v>20</v>
      </c>
      <c r="E85" s="174">
        <f t="shared" si="2"/>
        <v>1.4299126100784596</v>
      </c>
      <c r="F85" s="54">
        <f t="shared" ca="1" si="3"/>
        <v>135589561.05426833</v>
      </c>
      <c r="G85" s="1080"/>
      <c r="H85" s="1089">
        <f t="shared" si="24"/>
        <v>0</v>
      </c>
      <c r="I85" s="175">
        <f ca="1">IF(OR(C85&lt;0,C85=""),"",-E85*INDEX('Replacement Costs'!$A$16:$H$57,MATCH(C85,'Replacement Costs'!$C$16:$C$57,0),MATCH("Total Yearly Replacement Costs",'Replacement Costs'!$A$16:$H$16,0)))</f>
        <v>-604522.45286154724</v>
      </c>
      <c r="J85" s="175">
        <f ca="1">IF(AND(C85&gt;=1,C85&lt;anal_period),WorkingCap*SUM(N85:R85)-WorkingCap*SUM(N84:R84),IF(C85&lt;0,0,IF(B85="","",-SUM(J$65:J84))))</f>
        <v>-304327.61267326027</v>
      </c>
      <c r="K85" s="175" t="str">
        <f t="shared" si="4"/>
        <v/>
      </c>
      <c r="L85" s="175" t="str">
        <f t="shared" si="5"/>
        <v/>
      </c>
      <c r="M85" s="175" t="str">
        <f t="shared" si="6"/>
        <v/>
      </c>
      <c r="N85" s="175">
        <f t="shared" ca="1" si="7"/>
        <v>-6730683.3423890499</v>
      </c>
      <c r="O85" s="175">
        <f t="shared" ca="1" si="8"/>
        <v>0</v>
      </c>
      <c r="P85" s="175">
        <f t="shared" ca="1" si="9"/>
        <v>0</v>
      </c>
      <c r="Q85" s="175">
        <f t="shared" ca="1" si="10"/>
        <v>0</v>
      </c>
      <c r="R85" s="175">
        <f t="shared" ca="1" si="11"/>
        <v>-120531754.20096864</v>
      </c>
      <c r="S85" s="175">
        <f ca="1">IF(B85="","",IF($B$31=0,"",-'Debt Financing Calculations'!E34))</f>
        <v>-1842093.7363248433</v>
      </c>
      <c r="T85" s="175">
        <f t="shared" ca="1" si="12"/>
        <v>6485029.7745857984</v>
      </c>
      <c r="U85" s="175">
        <f ca="1">IF(C85="","",IF(C85&lt;-1,0,IF(C85=anal_period,-LOOKUP(C85,depr_yr,depr_cost)-Depreciation!$C$141-Depreciation!$B$166,-LOOKUP(C85,depr_yr,depr_cost))))</f>
        <v>-5273311.7840216206</v>
      </c>
      <c r="V85" s="175">
        <f t="shared" ca="1" si="13"/>
        <v>1211717.9905641777</v>
      </c>
      <c r="W85" s="176">
        <f t="shared" si="14"/>
        <v>0.25739999999999996</v>
      </c>
      <c r="X85" s="175">
        <f t="shared" ca="1" si="15"/>
        <v>-311896.21077121928</v>
      </c>
      <c r="Y85" s="175">
        <f t="shared" ca="1" si="16"/>
        <v>6173133.5638145795</v>
      </c>
      <c r="Z85" s="175">
        <f>IF(C85="","",IF($B$31=0,"",-'Debt Financing Calculations'!F34))</f>
        <v>0</v>
      </c>
      <c r="AA85" s="175">
        <f t="shared" ca="1" si="17"/>
        <v>5264283.4982797718</v>
      </c>
      <c r="AB85" s="175">
        <f t="shared" ca="1" si="23"/>
        <v>50776101.150558718</v>
      </c>
      <c r="AC85" s="1067">
        <f t="shared" ca="1" si="18"/>
        <v>5576179.7090509906</v>
      </c>
      <c r="AE85" s="1071">
        <f t="shared" ca="1" si="19"/>
        <v>20003824.999999996</v>
      </c>
      <c r="AF85" s="1067">
        <f t="shared" si="20"/>
        <v>0</v>
      </c>
    </row>
    <row r="86" spans="1:32">
      <c r="A86" s="53">
        <f t="shared" si="21"/>
        <v>2035</v>
      </c>
      <c r="B86" s="173">
        <f>IF(MAX($B$65:B85)&lt;(construct+anal_period),B85+1,"")</f>
        <v>22</v>
      </c>
      <c r="C86" s="173">
        <f t="shared" si="22"/>
        <v>21</v>
      </c>
      <c r="D86" s="173">
        <f t="shared" si="1"/>
        <v>21</v>
      </c>
      <c r="E86" s="174">
        <f t="shared" si="2"/>
        <v>1.4570809496699502</v>
      </c>
      <c r="F86" s="54">
        <f t="shared" ca="1" si="3"/>
        <v>138165762.71429941</v>
      </c>
      <c r="G86" s="1080"/>
      <c r="H86" s="1089">
        <f t="shared" si="24"/>
        <v>0</v>
      </c>
      <c r="I86" s="175">
        <f ca="1">IF(OR(C86&lt;0,C86=""),"",-E86*INDEX('Replacement Costs'!$A$16:$H$57,MATCH(C86,'Replacement Costs'!$C$16:$C$57,0),MATCH("Total Yearly Replacement Costs",'Replacement Costs'!$A$16:$H$16,0)))</f>
        <v>-616008.37946591654</v>
      </c>
      <c r="J86" s="175">
        <f ca="1">IF(AND(C86&gt;=1,C86&lt;anal_period),WorkingCap*SUM(N86:R86)-WorkingCap*SUM(N85:R85),IF(C86&lt;0,0,IF(B86="","",-SUM(J$65:J85))))</f>
        <v>-427706.81688934192</v>
      </c>
      <c r="K86" s="175" t="str">
        <f t="shared" si="4"/>
        <v/>
      </c>
      <c r="L86" s="175" t="str">
        <f t="shared" si="5"/>
        <v/>
      </c>
      <c r="M86" s="175" t="str">
        <f t="shared" si="6"/>
        <v/>
      </c>
      <c r="N86" s="175">
        <f t="shared" ca="1" si="7"/>
        <v>-6858566.3258944405</v>
      </c>
      <c r="O86" s="175">
        <f t="shared" ca="1" si="8"/>
        <v>0</v>
      </c>
      <c r="P86" s="175">
        <f t="shared" ca="1" si="9"/>
        <v>0</v>
      </c>
      <c r="Q86" s="175">
        <f t="shared" ca="1" si="10"/>
        <v>0</v>
      </c>
      <c r="R86" s="175">
        <f t="shared" ca="1" si="11"/>
        <v>-123255249.99672551</v>
      </c>
      <c r="S86" s="175">
        <f ca="1">IF(B86="","",IF($B$31=0,"",-'Debt Financing Calculations'!E35))</f>
        <v>-1842093.7363248433</v>
      </c>
      <c r="T86" s="175">
        <f t="shared" ca="1" si="12"/>
        <v>6209852.6553546041</v>
      </c>
      <c r="U86" s="175">
        <f ca="1">IF(C86="","",IF(C86&lt;-1,0,IF(C86=anal_period,-LOOKUP(C86,depr_yr,depr_cost)-Depreciation!$C$141-Depreciation!$B$166,-LOOKUP(C86,depr_yr,depr_cost))))</f>
        <v>-3395652.1624539546</v>
      </c>
      <c r="V86" s="175">
        <f t="shared" ca="1" si="13"/>
        <v>2814200.4929006496</v>
      </c>
      <c r="W86" s="176">
        <f t="shared" si="14"/>
        <v>0.25739999999999996</v>
      </c>
      <c r="X86" s="175">
        <f t="shared" ca="1" si="15"/>
        <v>-724375.20687262714</v>
      </c>
      <c r="Y86" s="175">
        <f t="shared" ca="1" si="16"/>
        <v>5485477.448481977</v>
      </c>
      <c r="Z86" s="175">
        <f>IF(C86="","",IF($B$31=0,"",-'Debt Financing Calculations'!F35))</f>
        <v>0</v>
      </c>
      <c r="AA86" s="175">
        <f t="shared" ca="1" si="17"/>
        <v>4441762.2521267189</v>
      </c>
      <c r="AB86" s="175">
        <f t="shared" ca="1" si="23"/>
        <v>55217863.402685434</v>
      </c>
      <c r="AC86" s="1067">
        <f t="shared" ca="1" si="18"/>
        <v>5166137.458999346</v>
      </c>
      <c r="AE86" s="1071">
        <f t="shared" ca="1" si="19"/>
        <v>20003824.999999996</v>
      </c>
      <c r="AF86" s="1067">
        <f t="shared" si="20"/>
        <v>0</v>
      </c>
    </row>
    <row r="87" spans="1:32">
      <c r="A87" s="53">
        <f t="shared" si="21"/>
        <v>2036</v>
      </c>
      <c r="B87" s="173">
        <f>IF(MAX($B$65:B86)&lt;(construct+anal_period),B86+1,"")</f>
        <v>23</v>
      </c>
      <c r="C87" s="173">
        <f t="shared" si="22"/>
        <v>22</v>
      </c>
      <c r="D87" s="173">
        <f t="shared" si="1"/>
        <v>22</v>
      </c>
      <c r="E87" s="174">
        <f t="shared" si="2"/>
        <v>1.4847654877136791</v>
      </c>
      <c r="F87" s="54">
        <f t="shared" ca="1" si="3"/>
        <v>140790912.20587111</v>
      </c>
      <c r="G87" s="1080"/>
      <c r="H87" s="1089">
        <f t="shared" si="24"/>
        <v>0</v>
      </c>
      <c r="I87" s="175">
        <f ca="1">IF(OR(C87&lt;0,C87=""),"",-E87*INDEX('Replacement Costs'!$A$16:$H$57,MATCH(C87,'Replacement Costs'!$C$16:$C$57,0),MATCH("Total Yearly Replacement Costs",'Replacement Costs'!$A$16:$H$16,0)))</f>
        <v>-13889245.045910323</v>
      </c>
      <c r="J87" s="175">
        <f ca="1">IF(AND(C87&gt;=1,C87&lt;anal_period),WorkingCap*SUM(N87:R87)-WorkingCap*SUM(N86:R86),IF(C87&lt;0,0,IF(B87="","",-SUM(J$65:J86))))</f>
        <v>-439180.53409982845</v>
      </c>
      <c r="K87" s="175" t="str">
        <f t="shared" si="4"/>
        <v/>
      </c>
      <c r="L87" s="175" t="str">
        <f t="shared" si="5"/>
        <v/>
      </c>
      <c r="M87" s="175" t="str">
        <f t="shared" si="6"/>
        <v/>
      </c>
      <c r="N87" s="175">
        <f t="shared" ca="1" si="7"/>
        <v>-6988879.0860864343</v>
      </c>
      <c r="O87" s="175">
        <f t="shared" ca="1" si="8"/>
        <v>0</v>
      </c>
      <c r="P87" s="175">
        <f t="shared" ca="1" si="9"/>
        <v>0</v>
      </c>
      <c r="Q87" s="175">
        <f t="shared" ca="1" si="10"/>
        <v>0</v>
      </c>
      <c r="R87" s="175">
        <f t="shared" ca="1" si="11"/>
        <v>-126052807.46386571</v>
      </c>
      <c r="S87" s="175">
        <f ca="1">IF(B87="","",IF($B$31=0,"",-'Debt Financing Calculations'!E36))</f>
        <v>-1842093.7363248433</v>
      </c>
      <c r="T87" s="175">
        <f t="shared" ca="1" si="12"/>
        <v>5907131.9195941091</v>
      </c>
      <c r="U87" s="175">
        <f ca="1">IF(C87="","",IF(C87&lt;-1,0,IF(C87=anal_period,-LOOKUP(C87,depr_yr,depr_cost)-Depreciation!$C$141-Depreciation!$B$166,-LOOKUP(C87,depr_yr,depr_cost))))</f>
        <v>-2009206.3302516162</v>
      </c>
      <c r="V87" s="175">
        <f t="shared" ca="1" si="13"/>
        <v>3897925.5893424926</v>
      </c>
      <c r="W87" s="176">
        <f t="shared" si="14"/>
        <v>0.25739999999999996</v>
      </c>
      <c r="X87" s="175">
        <f t="shared" ca="1" si="15"/>
        <v>-1003326.0466967574</v>
      </c>
      <c r="Y87" s="175">
        <f t="shared" ca="1" si="16"/>
        <v>4903805.8728973512</v>
      </c>
      <c r="Z87" s="175">
        <f>IF(C87="","",IF($B$31=0,"",-'Debt Financing Calculations'!F36))</f>
        <v>0</v>
      </c>
      <c r="AA87" s="175">
        <f t="shared" ca="1" si="17"/>
        <v>-9424619.7071128003</v>
      </c>
      <c r="AB87" s="175">
        <f t="shared" ca="1" si="23"/>
        <v>45793243.69557263</v>
      </c>
      <c r="AC87" s="1067">
        <f t="shared" ca="1" si="18"/>
        <v>-8421293.6604160424</v>
      </c>
      <c r="AE87" s="1071">
        <f t="shared" ca="1" si="19"/>
        <v>20003824.999999996</v>
      </c>
      <c r="AF87" s="1067">
        <f t="shared" si="20"/>
        <v>0</v>
      </c>
    </row>
    <row r="88" spans="1:32">
      <c r="A88" s="53">
        <f t="shared" si="21"/>
        <v>2037</v>
      </c>
      <c r="B88" s="173">
        <f>IF(MAX($B$65:B87)&lt;(construct+anal_period),B87+1,"")</f>
        <v>24</v>
      </c>
      <c r="C88" s="173">
        <f t="shared" si="22"/>
        <v>23</v>
      </c>
      <c r="D88" s="173">
        <f t="shared" si="1"/>
        <v>23</v>
      </c>
      <c r="E88" s="174">
        <f t="shared" si="2"/>
        <v>1.5129760319802392</v>
      </c>
      <c r="F88" s="54">
        <f t="shared" ca="1" si="3"/>
        <v>143465939.53778267</v>
      </c>
      <c r="G88" s="1080"/>
      <c r="H88" s="1089">
        <f t="shared" si="24"/>
        <v>0</v>
      </c>
      <c r="I88" s="175">
        <f ca="1">IF(OR(C88&lt;0,C88=""),"",-E88*INDEX('Replacement Costs'!$A$16:$H$57,MATCH(C88,'Replacement Costs'!$C$16:$C$57,0),MATCH("Total Yearly Replacement Costs",'Replacement Costs'!$A$16:$H$16,0)))</f>
        <v>-639639.07691060856</v>
      </c>
      <c r="J88" s="175">
        <f ca="1">IF(AND(C88&gt;=1,C88&lt;anal_period),WorkingCap*SUM(N88:R88)-WorkingCap*SUM(N87:R87),IF(C88&lt;0,0,IF(B88="","",-SUM(J$65:J87))))</f>
        <v>-364631.20970344171</v>
      </c>
      <c r="K88" s="175" t="str">
        <f t="shared" si="4"/>
        <v/>
      </c>
      <c r="L88" s="175" t="str">
        <f t="shared" si="5"/>
        <v/>
      </c>
      <c r="M88" s="175" t="str">
        <f t="shared" si="6"/>
        <v/>
      </c>
      <c r="N88" s="175">
        <f t="shared" ca="1" si="7"/>
        <v>-7121667.7887220774</v>
      </c>
      <c r="O88" s="175">
        <f t="shared" ca="1" si="8"/>
        <v>0</v>
      </c>
      <c r="P88" s="175">
        <f t="shared" ca="1" si="9"/>
        <v>0</v>
      </c>
      <c r="Q88" s="175">
        <f t="shared" ca="1" si="10"/>
        <v>0</v>
      </c>
      <c r="R88" s="175">
        <f t="shared" ca="1" si="11"/>
        <v>-128350893.49258636</v>
      </c>
      <c r="S88" s="175">
        <f ca="1">IF(B88="","",IF($B$31=0,"",-'Debt Financing Calculations'!E37))</f>
        <v>-1842093.7363248433</v>
      </c>
      <c r="T88" s="175">
        <f t="shared" ca="1" si="12"/>
        <v>6151284.52014938</v>
      </c>
      <c r="U88" s="175">
        <f ca="1">IF(C88="","",IF(C88&lt;-1,0,IF(C88=anal_period,-LOOKUP(C88,depr_yr,depr_cost)-Depreciation!$C$141-Depreciation!$B$166,-LOOKUP(C88,depr_yr,depr_cost))))</f>
        <v>-2472272.332861342</v>
      </c>
      <c r="V88" s="175">
        <f t="shared" ca="1" si="13"/>
        <v>3679012.187288038</v>
      </c>
      <c r="W88" s="176">
        <f t="shared" si="14"/>
        <v>0.25739999999999996</v>
      </c>
      <c r="X88" s="175">
        <f t="shared" ca="1" si="15"/>
        <v>-946977.73700794089</v>
      </c>
      <c r="Y88" s="175">
        <f t="shared" ca="1" si="16"/>
        <v>5204306.7831414388</v>
      </c>
      <c r="Z88" s="175">
        <f>IF(C88="","",IF($B$31=0,"",-'Debt Financing Calculations'!F37))</f>
        <v>0</v>
      </c>
      <c r="AA88" s="175">
        <f t="shared" ca="1" si="17"/>
        <v>4200036.4965273887</v>
      </c>
      <c r="AB88" s="175">
        <f t="shared" ca="1" si="23"/>
        <v>49993280.192100018</v>
      </c>
      <c r="AC88" s="1067">
        <f t="shared" ca="1" si="18"/>
        <v>5147014.2335353298</v>
      </c>
      <c r="AE88" s="1071">
        <f t="shared" ca="1" si="19"/>
        <v>20003824.999999996</v>
      </c>
      <c r="AF88" s="1067">
        <f t="shared" si="20"/>
        <v>0</v>
      </c>
    </row>
    <row r="89" spans="1:32">
      <c r="A89" s="53">
        <f t="shared" si="21"/>
        <v>2038</v>
      </c>
      <c r="B89" s="173">
        <f>IF(MAX($B$65:B88)&lt;(construct+anal_period),B88+1,"")</f>
        <v>25</v>
      </c>
      <c r="C89" s="173">
        <f t="shared" si="22"/>
        <v>24</v>
      </c>
      <c r="D89" s="173">
        <f t="shared" si="1"/>
        <v>24</v>
      </c>
      <c r="E89" s="174">
        <f t="shared" si="2"/>
        <v>1.5417225765878635</v>
      </c>
      <c r="F89" s="54">
        <f t="shared" ca="1" si="3"/>
        <v>146191792.38900051</v>
      </c>
      <c r="G89" s="1080"/>
      <c r="H89" s="1089">
        <f t="shared" si="24"/>
        <v>0</v>
      </c>
      <c r="I89" s="175">
        <f ca="1">IF(OR(C89&lt;0,C89=""),"",-E89*INDEX('Replacement Costs'!$A$16:$H$57,MATCH(C89,'Replacement Costs'!$C$16:$C$57,0),MATCH("Total Yearly Replacement Costs",'Replacement Costs'!$A$16:$H$16,0)))</f>
        <v>-651792.21937191009</v>
      </c>
      <c r="J89" s="175">
        <f ca="1">IF(AND(C89&gt;=1,C89&lt;anal_period),WorkingCap*SUM(N89:R89)-WorkingCap*SUM(N88:R88),IF(C89&lt;0,0,IF(B89="","",-SUM(J$65:J88))))</f>
        <v>-390445.25636270642</v>
      </c>
      <c r="K89" s="175" t="str">
        <f t="shared" si="4"/>
        <v/>
      </c>
      <c r="L89" s="175" t="str">
        <f t="shared" si="5"/>
        <v/>
      </c>
      <c r="M89" s="175" t="str">
        <f t="shared" si="6"/>
        <v/>
      </c>
      <c r="N89" s="175">
        <f t="shared" ca="1" si="7"/>
        <v>-7256979.4767077956</v>
      </c>
      <c r="O89" s="175">
        <f t="shared" ca="1" si="8"/>
        <v>0</v>
      </c>
      <c r="P89" s="175">
        <f t="shared" ca="1" si="9"/>
        <v>0</v>
      </c>
      <c r="Q89" s="175">
        <f t="shared" ca="1" si="10"/>
        <v>0</v>
      </c>
      <c r="R89" s="175">
        <f t="shared" ca="1" si="11"/>
        <v>-130818550.18035203</v>
      </c>
      <c r="S89" s="175">
        <f ca="1">IF(B89="","",IF($B$31=0,"",-'Debt Financing Calculations'!E38))</f>
        <v>-1842093.7363248433</v>
      </c>
      <c r="T89" s="175">
        <f t="shared" ca="1" si="12"/>
        <v>6274168.99561584</v>
      </c>
      <c r="U89" s="175">
        <f ca="1">IF(C89="","",IF(C89&lt;-1,0,IF(C89=anal_period,-LOOKUP(C89,depr_yr,depr_cost)-Depreciation!$C$141-Depreciation!$B$166,-LOOKUP(C89,depr_yr,depr_cost))))</f>
        <v>-2410672.4156653937</v>
      </c>
      <c r="V89" s="175">
        <f t="shared" ca="1" si="13"/>
        <v>3863496.5799504463</v>
      </c>
      <c r="W89" s="176">
        <f t="shared" si="14"/>
        <v>0.25739999999999996</v>
      </c>
      <c r="X89" s="175">
        <f t="shared" ca="1" si="15"/>
        <v>-994464.01967924472</v>
      </c>
      <c r="Y89" s="175">
        <f t="shared" ca="1" si="16"/>
        <v>5279704.9759365954</v>
      </c>
      <c r="Z89" s="175">
        <f>IF(C89="","",IF($B$31=0,"",-'Debt Financing Calculations'!F38))</f>
        <v>0</v>
      </c>
      <c r="AA89" s="175">
        <f t="shared" ca="1" si="17"/>
        <v>4237467.5002019787</v>
      </c>
      <c r="AB89" s="175">
        <f t="shared" ca="1" si="23"/>
        <v>54230747.692301996</v>
      </c>
      <c r="AC89" s="1067">
        <f t="shared" ca="1" si="18"/>
        <v>5231931.5198812233</v>
      </c>
      <c r="AE89" s="1071">
        <f t="shared" ca="1" si="19"/>
        <v>20003824.999999996</v>
      </c>
      <c r="AF89" s="1067">
        <f t="shared" si="20"/>
        <v>0</v>
      </c>
    </row>
    <row r="90" spans="1:32">
      <c r="A90" s="53">
        <f t="shared" si="21"/>
        <v>2039</v>
      </c>
      <c r="B90" s="173">
        <f>IF(MAX($B$65:B89)&lt;(construct+anal_period),B89+1,"")</f>
        <v>26</v>
      </c>
      <c r="C90" s="173">
        <f t="shared" si="22"/>
        <v>25</v>
      </c>
      <c r="D90" s="173">
        <f t="shared" si="1"/>
        <v>25</v>
      </c>
      <c r="E90" s="174">
        <f t="shared" si="2"/>
        <v>1.5710153055430329</v>
      </c>
      <c r="F90" s="54">
        <f t="shared" ca="1" si="3"/>
        <v>148969436.44439152</v>
      </c>
      <c r="G90" s="1080"/>
      <c r="H90" s="1089">
        <f t="shared" si="24"/>
        <v>0</v>
      </c>
      <c r="I90" s="175">
        <f ca="1">IF(OR(C90&lt;0,C90=""),"",-E90*INDEX('Replacement Costs'!$A$16:$H$57,MATCH(C90,'Replacement Costs'!$C$16:$C$57,0),MATCH("Total Yearly Replacement Costs",'Replacement Costs'!$A$16:$H$16,0)))</f>
        <v>-664176.27153997635</v>
      </c>
      <c r="J90" s="175">
        <f ca="1">IF(AND(C90&gt;=1,C90&lt;anal_period),WorkingCap*SUM(N90:R90)-WorkingCap*SUM(N89:R89),IF(C90&lt;0,0,IF(B90="","",-SUM(J$65:J89))))</f>
        <v>-408958.32638785243</v>
      </c>
      <c r="K90" s="175" t="str">
        <f t="shared" si="4"/>
        <v/>
      </c>
      <c r="L90" s="175" t="str">
        <f t="shared" si="5"/>
        <v/>
      </c>
      <c r="M90" s="175" t="str">
        <f t="shared" si="6"/>
        <v/>
      </c>
      <c r="N90" s="175">
        <f t="shared" ca="1" si="7"/>
        <v>-7394862.0867652446</v>
      </c>
      <c r="O90" s="175">
        <f t="shared" ca="1" si="8"/>
        <v>0</v>
      </c>
      <c r="P90" s="175">
        <f t="shared" ca="1" si="9"/>
        <v>0</v>
      </c>
      <c r="Q90" s="175">
        <f t="shared" ca="1" si="10"/>
        <v>0</v>
      </c>
      <c r="R90" s="175">
        <f t="shared" ca="1" si="11"/>
        <v>-133407056.41288026</v>
      </c>
      <c r="S90" s="175">
        <f ca="1">IF(B90="","",IF($B$31=0,"",-'Debt Financing Calculations'!E39))</f>
        <v>-1842093.7363248433</v>
      </c>
      <c r="T90" s="175">
        <f t="shared" ca="1" si="12"/>
        <v>6325424.2084211707</v>
      </c>
      <c r="U90" s="175">
        <f ca="1">IF(C90="","",IF(C90&lt;-1,0,IF(C90=anal_period,-LOOKUP(C90,depr_yr,depr_cost)-Depreciation!$C$141-Depreciation!$B$166,-LOOKUP(C90,depr_yr,depr_cost))))</f>
        <v>-2354866.587968668</v>
      </c>
      <c r="V90" s="175">
        <f t="shared" ca="1" si="13"/>
        <v>3970557.6204525027</v>
      </c>
      <c r="W90" s="176">
        <f t="shared" si="14"/>
        <v>0.25739999999999996</v>
      </c>
      <c r="X90" s="175">
        <f t="shared" ca="1" si="15"/>
        <v>-1022021.531504474</v>
      </c>
      <c r="Y90" s="175">
        <f t="shared" ca="1" si="16"/>
        <v>5303402.6769166971</v>
      </c>
      <c r="Z90" s="175">
        <f>IF(C90="","",IF($B$31=0,"",-'Debt Financing Calculations'!F39))</f>
        <v>0</v>
      </c>
      <c r="AA90" s="175">
        <f t="shared" ca="1" si="17"/>
        <v>4230268.0789888678</v>
      </c>
      <c r="AB90" s="175">
        <f t="shared" ca="1" si="23"/>
        <v>58461015.771290861</v>
      </c>
      <c r="AC90" s="1067">
        <f t="shared" ca="1" si="18"/>
        <v>5252289.6104933415</v>
      </c>
      <c r="AE90" s="1071">
        <f t="shared" ca="1" si="19"/>
        <v>20003824.999999996</v>
      </c>
      <c r="AF90" s="1067">
        <f t="shared" si="20"/>
        <v>0</v>
      </c>
    </row>
    <row r="91" spans="1:32">
      <c r="A91" s="53">
        <f t="shared" si="21"/>
        <v>2040</v>
      </c>
      <c r="B91" s="173">
        <f>IF(MAX($B$65:B90)&lt;(construct+anal_period),B90+1,"")</f>
        <v>27</v>
      </c>
      <c r="C91" s="173">
        <f t="shared" si="22"/>
        <v>26</v>
      </c>
      <c r="D91" s="173">
        <f t="shared" si="1"/>
        <v>26</v>
      </c>
      <c r="E91" s="174">
        <f t="shared" si="2"/>
        <v>1.6008645963483503</v>
      </c>
      <c r="F91" s="54">
        <f t="shared" ca="1" si="3"/>
        <v>151799855.73683494</v>
      </c>
      <c r="G91" s="1080"/>
      <c r="H91" s="1089">
        <f t="shared" si="24"/>
        <v>0</v>
      </c>
      <c r="I91" s="175">
        <f ca="1">IF(OR(C91&lt;0,C91=""),"",-E91*INDEX('Replacement Costs'!$A$16:$H$57,MATCH(C91,'Replacement Costs'!$C$16:$C$57,0),MATCH("Total Yearly Replacement Costs",'Replacement Costs'!$A$16:$H$16,0)))</f>
        <v>-676795.62069923582</v>
      </c>
      <c r="J91" s="175">
        <f ca="1">IF(AND(C91&gt;=1,C91&lt;anal_period),WorkingCap*SUM(N91:R91)-WorkingCap*SUM(N90:R90),IF(C91&lt;0,0,IF(B91="","",-SUM(J$65:J90))))</f>
        <v>-353572.53049167618</v>
      </c>
      <c r="K91" s="175" t="str">
        <f t="shared" si="4"/>
        <v/>
      </c>
      <c r="L91" s="175" t="str">
        <f t="shared" si="5"/>
        <v/>
      </c>
      <c r="M91" s="175" t="str">
        <f t="shared" si="6"/>
        <v/>
      </c>
      <c r="N91" s="175">
        <f t="shared" ca="1" si="7"/>
        <v>-7535364.4664137829</v>
      </c>
      <c r="O91" s="175">
        <f t="shared" ca="1" si="8"/>
        <v>0</v>
      </c>
      <c r="P91" s="175">
        <f t="shared" ca="1" si="9"/>
        <v>0</v>
      </c>
      <c r="Q91" s="175">
        <f t="shared" ca="1" si="10"/>
        <v>0</v>
      </c>
      <c r="R91" s="175">
        <f t="shared" ca="1" si="11"/>
        <v>-135623704.23650953</v>
      </c>
      <c r="S91" s="175">
        <f ca="1">IF(B91="","",IF($B$31=0,"",-'Debt Financing Calculations'!E40))</f>
        <v>-1842093.7363248433</v>
      </c>
      <c r="T91" s="175">
        <f t="shared" ca="1" si="12"/>
        <v>6798693.2975867689</v>
      </c>
      <c r="U91" s="175">
        <f ca="1">IF(C91="","",IF(C91&lt;-1,0,IF(C91=anal_period,-LOOKUP(C91,depr_yr,depr_cost)-Depreciation!$C$141-Depreciation!$B$166,-LOOKUP(C91,depr_yr,depr_cost))))</f>
        <v>-2304005.4751811833</v>
      </c>
      <c r="V91" s="175">
        <f t="shared" ca="1" si="13"/>
        <v>4494687.822405586</v>
      </c>
      <c r="W91" s="176">
        <f t="shared" si="14"/>
        <v>0.25739999999999996</v>
      </c>
      <c r="X91" s="175">
        <f t="shared" ca="1" si="15"/>
        <v>-1156932.6454871977</v>
      </c>
      <c r="Y91" s="175">
        <f t="shared" ca="1" si="16"/>
        <v>5641760.6520995712</v>
      </c>
      <c r="Z91" s="175">
        <f>IF(C91="","",IF($B$31=0,"",-'Debt Financing Calculations'!F40))</f>
        <v>0</v>
      </c>
      <c r="AA91" s="175">
        <f t="shared" ca="1" si="17"/>
        <v>4611392.5009086588</v>
      </c>
      <c r="AB91" s="175">
        <f t="shared" ca="1" si="23"/>
        <v>63072408.272199519</v>
      </c>
      <c r="AC91" s="1067">
        <f t="shared" ca="1" si="18"/>
        <v>5768325.1463958565</v>
      </c>
      <c r="AE91" s="1071">
        <f t="shared" ca="1" si="19"/>
        <v>20003824.999999996</v>
      </c>
      <c r="AF91" s="1067">
        <f t="shared" si="20"/>
        <v>0</v>
      </c>
    </row>
    <row r="92" spans="1:32">
      <c r="A92" s="53">
        <f t="shared" si="21"/>
        <v>2041</v>
      </c>
      <c r="B92" s="173">
        <f>IF(MAX($B$65:B91)&lt;(construct+anal_period),B91+1,"")</f>
        <v>28</v>
      </c>
      <c r="C92" s="173">
        <f t="shared" si="22"/>
        <v>27</v>
      </c>
      <c r="D92" s="173">
        <f t="shared" si="1"/>
        <v>27</v>
      </c>
      <c r="E92" s="174">
        <f t="shared" si="2"/>
        <v>1.631281023678969</v>
      </c>
      <c r="F92" s="54">
        <f t="shared" ca="1" si="3"/>
        <v>154684052.9958348</v>
      </c>
      <c r="G92" s="1080"/>
      <c r="H92" s="1089">
        <f t="shared" si="24"/>
        <v>0</v>
      </c>
      <c r="I92" s="175">
        <f ca="1">IF(OR(C92&lt;0,C92=""),"",-E92*INDEX('Replacement Costs'!$A$16:$H$57,MATCH(C92,'Replacement Costs'!$C$16:$C$57,0),MATCH("Total Yearly Replacement Costs",'Replacement Costs'!$A$16:$H$16,0)))</f>
        <v>-689654.73749252129</v>
      </c>
      <c r="J92" s="175">
        <f ca="1">IF(AND(C92&gt;=1,C92&lt;anal_period),WorkingCap*SUM(N92:R92)-WorkingCap*SUM(N91:R91),IF(C92&lt;0,0,IF(B92="","",-SUM(J$65:J91))))</f>
        <v>-347164.40617640689</v>
      </c>
      <c r="K92" s="175" t="str">
        <f t="shared" si="4"/>
        <v/>
      </c>
      <c r="L92" s="175" t="str">
        <f t="shared" si="5"/>
        <v/>
      </c>
      <c r="M92" s="175" t="str">
        <f t="shared" si="6"/>
        <v/>
      </c>
      <c r="N92" s="175">
        <f t="shared" ca="1" si="7"/>
        <v>-7678536.3912756443</v>
      </c>
      <c r="O92" s="175">
        <f t="shared" ca="1" si="8"/>
        <v>0</v>
      </c>
      <c r="P92" s="175">
        <f t="shared" ca="1" si="9"/>
        <v>0</v>
      </c>
      <c r="Q92" s="175">
        <f t="shared" ca="1" si="10"/>
        <v>0</v>
      </c>
      <c r="R92" s="175">
        <f t="shared" ca="1" si="11"/>
        <v>-137794961.68615708</v>
      </c>
      <c r="S92" s="175">
        <f ca="1">IF(B92="","",IF($B$31=0,"",-'Debt Financing Calculations'!E41))</f>
        <v>-1842093.7363248433</v>
      </c>
      <c r="T92" s="175">
        <f t="shared" ca="1" si="12"/>
        <v>7368461.182077229</v>
      </c>
      <c r="U92" s="175">
        <f ca="1">IF(C92="","",IF(C92&lt;-1,0,IF(C92=anal_period,-LOOKUP(C92,depr_yr,depr_cost)-Depreciation!$C$141-Depreciation!$B$166,-LOOKUP(C92,depr_yr,depr_cost))))</f>
        <v>-2258150.2613144922</v>
      </c>
      <c r="V92" s="175">
        <f t="shared" ca="1" si="13"/>
        <v>5110310.9207627364</v>
      </c>
      <c r="W92" s="176">
        <f t="shared" si="14"/>
        <v>0.25739999999999996</v>
      </c>
      <c r="X92" s="175">
        <f t="shared" ca="1" si="15"/>
        <v>-1315394.031004328</v>
      </c>
      <c r="Y92" s="175">
        <f t="shared" ca="1" si="16"/>
        <v>6053067.1510729007</v>
      </c>
      <c r="Z92" s="175">
        <f>IF(C92="","",IF($B$31=0,"",-'Debt Financing Calculations'!F41))</f>
        <v>0</v>
      </c>
      <c r="AA92" s="175">
        <f t="shared" ca="1" si="17"/>
        <v>5016248.0074039726</v>
      </c>
      <c r="AB92" s="175">
        <f t="shared" ca="1" si="23"/>
        <v>68088656.279603496</v>
      </c>
      <c r="AC92" s="1067">
        <f t="shared" ca="1" si="18"/>
        <v>6331642.0384083008</v>
      </c>
      <c r="AE92" s="1071">
        <f t="shared" ca="1" si="19"/>
        <v>20003824.999999996</v>
      </c>
      <c r="AF92" s="1067">
        <f t="shared" si="20"/>
        <v>0</v>
      </c>
    </row>
    <row r="93" spans="1:32">
      <c r="A93" s="53">
        <f t="shared" si="21"/>
        <v>2042</v>
      </c>
      <c r="B93" s="173">
        <f>IF(MAX($B$65:B92)&lt;(construct+anal_period),B92+1,"")</f>
        <v>29</v>
      </c>
      <c r="C93" s="173">
        <f t="shared" si="22"/>
        <v>28</v>
      </c>
      <c r="D93" s="173">
        <f t="shared" si="1"/>
        <v>28</v>
      </c>
      <c r="E93" s="174">
        <f t="shared" si="2"/>
        <v>1.6622753631288694</v>
      </c>
      <c r="F93" s="54">
        <f t="shared" ca="1" si="3"/>
        <v>157623050.00275567</v>
      </c>
      <c r="G93" s="1080"/>
      <c r="H93" s="1089">
        <f t="shared" si="24"/>
        <v>0</v>
      </c>
      <c r="I93" s="175">
        <f ca="1">IF(OR(C93&lt;0,C93=""),"",-E93*INDEX('Replacement Costs'!$A$16:$H$57,MATCH(C93,'Replacement Costs'!$C$16:$C$57,0),MATCH("Total Yearly Replacement Costs",'Replacement Costs'!$A$16:$H$16,0)))</f>
        <v>-702758.17750487919</v>
      </c>
      <c r="J93" s="175">
        <f ca="1">IF(AND(C93&gt;=1,C93&lt;anal_period),WorkingCap*SUM(N93:R93)-WorkingCap*SUM(N92:R92),IF(C93&lt;0,0,IF(B93="","",-SUM(J$65:J92))))</f>
        <v>-438977.14532457665</v>
      </c>
      <c r="K93" s="175" t="str">
        <f t="shared" si="4"/>
        <v/>
      </c>
      <c r="L93" s="175" t="str">
        <f t="shared" si="5"/>
        <v/>
      </c>
      <c r="M93" s="175" t="str">
        <f t="shared" si="6"/>
        <v/>
      </c>
      <c r="N93" s="175">
        <f t="shared" ca="1" si="7"/>
        <v>-7824428.5827098815</v>
      </c>
      <c r="O93" s="175">
        <f t="shared" ca="1" si="8"/>
        <v>0</v>
      </c>
      <c r="P93" s="175">
        <f t="shared" ca="1" si="9"/>
        <v>0</v>
      </c>
      <c r="Q93" s="175">
        <f t="shared" ca="1" si="10"/>
        <v>0</v>
      </c>
      <c r="R93" s="175">
        <f t="shared" ca="1" si="11"/>
        <v>-140575583.79688668</v>
      </c>
      <c r="S93" s="175">
        <f ca="1">IF(B93="","",IF($B$31=0,"",-'Debt Financing Calculations'!E42))</f>
        <v>-1842093.7363248433</v>
      </c>
      <c r="T93" s="175">
        <f t="shared" ca="1" si="12"/>
        <v>7380943.8868342638</v>
      </c>
      <c r="U93" s="175">
        <f ca="1">IF(C93="","",IF(C93&lt;-1,0,IF(C93=anal_period,-LOOKUP(C93,depr_yr,depr_cost)-Depreciation!$C$141-Depreciation!$B$166,-LOOKUP(C93,depr_yr,depr_cost))))</f>
        <v>-1989255.3993188934</v>
      </c>
      <c r="V93" s="175">
        <f t="shared" ca="1" si="13"/>
        <v>5391688.4875153704</v>
      </c>
      <c r="W93" s="176">
        <f t="shared" si="14"/>
        <v>0.25739999999999996</v>
      </c>
      <c r="X93" s="175">
        <f t="shared" ca="1" si="15"/>
        <v>-1387820.6166864561</v>
      </c>
      <c r="Y93" s="175">
        <f t="shared" ca="1" si="16"/>
        <v>5993123.2701478079</v>
      </c>
      <c r="Z93" s="175">
        <f>IF(C93="","",IF($B$31=0,"",-'Debt Financing Calculations'!F42))</f>
        <v>0</v>
      </c>
      <c r="AA93" s="175">
        <f t="shared" ca="1" si="17"/>
        <v>4851387.9473183518</v>
      </c>
      <c r="AB93" s="175">
        <f t="shared" ca="1" si="23"/>
        <v>72940044.226921842</v>
      </c>
      <c r="AC93" s="1067">
        <f t="shared" ca="1" si="18"/>
        <v>6239208.5640048077</v>
      </c>
      <c r="AE93" s="1071">
        <f t="shared" ca="1" si="19"/>
        <v>20003824.999999996</v>
      </c>
      <c r="AF93" s="1067">
        <f t="shared" si="20"/>
        <v>0</v>
      </c>
    </row>
    <row r="94" spans="1:32">
      <c r="A94" s="53">
        <f t="shared" si="21"/>
        <v>2043</v>
      </c>
      <c r="B94" s="173">
        <f>IF(MAX($B$65:B93)&lt;(construct+anal_period),B93+1,"")</f>
        <v>30</v>
      </c>
      <c r="C94" s="173">
        <f t="shared" si="22"/>
        <v>29</v>
      </c>
      <c r="D94" s="173">
        <f t="shared" si="1"/>
        <v>29</v>
      </c>
      <c r="E94" s="174">
        <f t="shared" si="2"/>
        <v>1.6938585950283176</v>
      </c>
      <c r="F94" s="54">
        <f t="shared" ca="1" si="3"/>
        <v>160617887.95280799</v>
      </c>
      <c r="G94" s="1080"/>
      <c r="H94" s="1089">
        <f t="shared" si="24"/>
        <v>0</v>
      </c>
      <c r="I94" s="175">
        <f ca="1">IF(OR(C94&lt;0,C94=""),"",-E94*INDEX('Replacement Costs'!$A$16:$H$57,MATCH(C94,'Replacement Costs'!$C$16:$C$57,0),MATCH("Total Yearly Replacement Costs",'Replacement Costs'!$A$16:$H$16,0)))</f>
        <v>-15845207.404232509</v>
      </c>
      <c r="J94" s="175">
        <f ca="1">IF(AND(C94&gt;=1,C94&lt;anal_period),WorkingCap*SUM(N94:R94)-WorkingCap*SUM(N93:R93),IF(C94&lt;0,0,IF(B94="","",-SUM(J$65:J93))))</f>
        <v>-488376.91577937827</v>
      </c>
      <c r="K94" s="175" t="str">
        <f t="shared" si="4"/>
        <v/>
      </c>
      <c r="L94" s="175" t="str">
        <f t="shared" si="5"/>
        <v/>
      </c>
      <c r="M94" s="175" t="str">
        <f t="shared" si="6"/>
        <v/>
      </c>
      <c r="N94" s="175">
        <f t="shared" ca="1" si="7"/>
        <v>-7973092.7257813681</v>
      </c>
      <c r="O94" s="175">
        <f t="shared" ca="1" si="8"/>
        <v>0</v>
      </c>
      <c r="P94" s="175">
        <f t="shared" ca="1" si="9"/>
        <v>0</v>
      </c>
      <c r="Q94" s="175">
        <f t="shared" ca="1" si="10"/>
        <v>0</v>
      </c>
      <c r="R94" s="175">
        <f t="shared" ca="1" si="11"/>
        <v>-143682765.75901103</v>
      </c>
      <c r="S94" s="175">
        <f ca="1">IF(B94="","",IF($B$31=0,"",-'Debt Financing Calculations'!E43))</f>
        <v>-1842093.7363248433</v>
      </c>
      <c r="T94" s="175">
        <f t="shared" ca="1" si="12"/>
        <v>7119935.7316907346</v>
      </c>
      <c r="U94" s="175">
        <f ca="1">IF(C94="","",IF(C94&lt;-1,0,IF(C94=anal_period,-LOOKUP(C94,depr_yr,depr_cost)-Depreciation!$C$141-Depreciation!$B$166,-LOOKUP(C94,depr_yr,depr_cost))))</f>
        <v>-2292154.1750829658</v>
      </c>
      <c r="V94" s="175">
        <f t="shared" ca="1" si="13"/>
        <v>4827781.5566077689</v>
      </c>
      <c r="W94" s="176">
        <f t="shared" si="14"/>
        <v>0.25739999999999996</v>
      </c>
      <c r="X94" s="175">
        <f t="shared" ca="1" si="15"/>
        <v>-1242670.9726708396</v>
      </c>
      <c r="Y94" s="175">
        <f t="shared" ca="1" si="16"/>
        <v>5877264.7590198945</v>
      </c>
      <c r="Z94" s="175">
        <f>IF(C94="","",IF($B$31=0,"",-'Debt Financing Calculations'!F43))</f>
        <v>0</v>
      </c>
      <c r="AA94" s="175">
        <f t="shared" ca="1" si="17"/>
        <v>-10456319.560991993</v>
      </c>
      <c r="AB94" s="175">
        <f t="shared" ca="1" si="23"/>
        <v>62483724.665929846</v>
      </c>
      <c r="AC94" s="1067">
        <f t="shared" ca="1" si="18"/>
        <v>-9213648.5883211531</v>
      </c>
      <c r="AE94" s="1071">
        <f t="shared" ca="1" si="19"/>
        <v>20003824.999999996</v>
      </c>
      <c r="AF94" s="1067">
        <f t="shared" si="20"/>
        <v>0</v>
      </c>
    </row>
    <row r="95" spans="1:32">
      <c r="A95" s="53">
        <f t="shared" si="21"/>
        <v>2044</v>
      </c>
      <c r="B95" s="173">
        <f>IF(MAX($B$65:B94)&lt;(construct+anal_period),B94+1,"")</f>
        <v>31</v>
      </c>
      <c r="C95" s="173">
        <f t="shared" si="22"/>
        <v>30</v>
      </c>
      <c r="D95" s="173">
        <f t="shared" si="1"/>
        <v>30</v>
      </c>
      <c r="E95" s="174">
        <f t="shared" si="2"/>
        <v>1.7260419083338554</v>
      </c>
      <c r="F95" s="54">
        <f t="shared" ca="1" si="3"/>
        <v>163669627.82391134</v>
      </c>
      <c r="G95" s="1080"/>
      <c r="H95" s="1089">
        <f t="shared" si="24"/>
        <v>0</v>
      </c>
      <c r="I95" s="175">
        <f ca="1">IF(OR(C95&lt;0,C95=""),"",-E95*INDEX('Replacement Costs'!$A$16:$H$57,MATCH(C95,'Replacement Costs'!$C$16:$C$57,0),MATCH("Total Yearly Replacement Costs",'Replacement Costs'!$A$16:$H$16,0)))</f>
        <v>-729716.68395214365</v>
      </c>
      <c r="J95" s="175">
        <f ca="1">IF(AND(C95&gt;=1,C95&lt;anal_period),WorkingCap*SUM(N95:R95)-WorkingCap*SUM(N94:R94),IF(C95&lt;0,0,IF(B95="","",-SUM(J$65:J94))))</f>
        <v>-514797.01573487744</v>
      </c>
      <c r="K95" s="175" t="str">
        <f t="shared" si="4"/>
        <v/>
      </c>
      <c r="L95" s="175" t="str">
        <f t="shared" si="5"/>
        <v/>
      </c>
      <c r="M95" s="175" t="str">
        <f t="shared" si="6"/>
        <v/>
      </c>
      <c r="N95" s="175">
        <f t="shared" ca="1" si="7"/>
        <v>-8124581.4875712134</v>
      </c>
      <c r="O95" s="175">
        <f t="shared" ca="1" si="8"/>
        <v>0</v>
      </c>
      <c r="P95" s="175">
        <f t="shared" ca="1" si="9"/>
        <v>0</v>
      </c>
      <c r="Q95" s="175">
        <f t="shared" ca="1" si="10"/>
        <v>0</v>
      </c>
      <c r="R95" s="175">
        <f t="shared" ca="1" si="11"/>
        <v>-146963257.1021204</v>
      </c>
      <c r="S95" s="175">
        <f ca="1">IF(B95="","",IF($B$31=0,"",-'Debt Financing Calculations'!E44))</f>
        <v>-1842093.7363248433</v>
      </c>
      <c r="T95" s="175">
        <f t="shared" ca="1" si="12"/>
        <v>6739695.4978948832</v>
      </c>
      <c r="U95" s="175">
        <f ca="1">IF(C95="","",IF(C95&lt;-1,0,IF(C95=anal_period,-LOOKUP(C95,depr_yr,depr_cost)-Depreciation!$C$141-Depreciation!$B$166,-LOOKUP(C95,depr_yr,depr_cost))))</f>
        <v>-2820431.7617297973</v>
      </c>
      <c r="V95" s="175">
        <f t="shared" ca="1" si="13"/>
        <v>3919263.7361650858</v>
      </c>
      <c r="W95" s="176">
        <f t="shared" si="14"/>
        <v>0.25739999999999996</v>
      </c>
      <c r="X95" s="175">
        <f t="shared" ca="1" si="15"/>
        <v>-1008818.4856888929</v>
      </c>
      <c r="Y95" s="175">
        <f t="shared" ca="1" si="16"/>
        <v>5730877.01220599</v>
      </c>
      <c r="Z95" s="175">
        <f>IF(C95="","",IF($B$31=0,"",-'Debt Financing Calculations'!F44))</f>
        <v>0</v>
      </c>
      <c r="AA95" s="175">
        <f t="shared" ca="1" si="17"/>
        <v>4486363.3125189692</v>
      </c>
      <c r="AB95" s="175">
        <f t="shared" ca="1" si="23"/>
        <v>66970087.978448816</v>
      </c>
      <c r="AC95" s="1067">
        <f t="shared" ca="1" si="18"/>
        <v>5495181.7982078623</v>
      </c>
      <c r="AE95" s="1071">
        <f t="shared" ca="1" si="19"/>
        <v>20003824.999999996</v>
      </c>
      <c r="AF95" s="1067">
        <f t="shared" si="20"/>
        <v>0</v>
      </c>
    </row>
    <row r="96" spans="1:32">
      <c r="A96" s="53">
        <f t="shared" si="21"/>
        <v>2045</v>
      </c>
      <c r="B96" s="173">
        <f>IF(MAX($B$65:B95)&lt;(construct+anal_period),B95+1,"")</f>
        <v>32</v>
      </c>
      <c r="C96" s="173">
        <f t="shared" si="22"/>
        <v>31</v>
      </c>
      <c r="D96" s="173">
        <f t="shared" si="1"/>
        <v>31</v>
      </c>
      <c r="E96" s="174">
        <f t="shared" si="2"/>
        <v>1.7588367045921991</v>
      </c>
      <c r="F96" s="54">
        <f t="shared" ca="1" si="3"/>
        <v>166779350.75256568</v>
      </c>
      <c r="G96" s="1080"/>
      <c r="H96" s="1089">
        <f t="shared" si="24"/>
        <v>0</v>
      </c>
      <c r="I96" s="175">
        <f ca="1">IF(OR(C96&lt;0,C96=""),"",-E96*INDEX('Replacement Costs'!$A$16:$H$57,MATCH(C96,'Replacement Costs'!$C$16:$C$57,0),MATCH("Total Yearly Replacement Costs",'Replacement Costs'!$A$16:$H$16,0)))</f>
        <v>-743581.3009472345</v>
      </c>
      <c r="J96" s="175">
        <f ca="1">IF(AND(C96&gt;=1,C96&lt;anal_period),WorkingCap*SUM(N96:R96)-WorkingCap*SUM(N95:R95),IF(C96&lt;0,0,IF(B96="","",-SUM(J$65:J95))))</f>
        <v>-523888.38038497791</v>
      </c>
      <c r="K96" s="175" t="str">
        <f t="shared" si="4"/>
        <v/>
      </c>
      <c r="L96" s="175" t="str">
        <f t="shared" si="5"/>
        <v/>
      </c>
      <c r="M96" s="175" t="str">
        <f t="shared" si="6"/>
        <v/>
      </c>
      <c r="N96" s="175">
        <f t="shared" ca="1" si="7"/>
        <v>-8278948.5358350687</v>
      </c>
      <c r="O96" s="175">
        <f t="shared" ca="1" si="8"/>
        <v>0</v>
      </c>
      <c r="P96" s="175">
        <f t="shared" ca="1" si="9"/>
        <v>0</v>
      </c>
      <c r="Q96" s="175">
        <f t="shared" ca="1" si="10"/>
        <v>0</v>
      </c>
      <c r="R96" s="175">
        <f t="shared" ca="1" si="11"/>
        <v>-150301479.25642306</v>
      </c>
      <c r="S96" s="175">
        <f ca="1">IF(B96="","",IF($B$31=0,"",-'Debt Financing Calculations'!E45))</f>
        <v>-1842093.7363248433</v>
      </c>
      <c r="T96" s="175">
        <f t="shared" ca="1" si="12"/>
        <v>6356829.2239827216</v>
      </c>
      <c r="U96" s="175">
        <f ca="1">IF(C96="","",IF(C96&lt;-1,0,IF(C96=anal_period,-LOOKUP(C96,depr_yr,depr_cost)-Depreciation!$C$141-Depreciation!$B$166,-LOOKUP(C96,depr_yr,depr_cost))))</f>
        <v>-2750156.9943952863</v>
      </c>
      <c r="V96" s="175">
        <f t="shared" ca="1" si="13"/>
        <v>3606672.2295874353</v>
      </c>
      <c r="W96" s="176">
        <f t="shared" si="14"/>
        <v>0.25739999999999996</v>
      </c>
      <c r="X96" s="175">
        <f t="shared" ca="1" si="15"/>
        <v>-928357.43189580576</v>
      </c>
      <c r="Y96" s="175">
        <f t="shared" ca="1" si="16"/>
        <v>5428471.792086916</v>
      </c>
      <c r="Z96" s="175">
        <f>IF(C96="","",IF($B$31=0,"",-'Debt Financing Calculations'!F45))</f>
        <v>0</v>
      </c>
      <c r="AA96" s="175">
        <f t="shared" ca="1" si="17"/>
        <v>4161002.1107547041</v>
      </c>
      <c r="AB96" s="175">
        <f t="shared" ca="1" si="23"/>
        <v>71131090.089203522</v>
      </c>
      <c r="AC96" s="1067">
        <f t="shared" ca="1" si="18"/>
        <v>5089359.5426505096</v>
      </c>
      <c r="AE96" s="1071">
        <f t="shared" ca="1" si="19"/>
        <v>20003824.999999996</v>
      </c>
      <c r="AF96" s="1067">
        <f t="shared" si="20"/>
        <v>0</v>
      </c>
    </row>
    <row r="97" spans="1:32">
      <c r="A97" s="53">
        <f t="shared" si="21"/>
        <v>2046</v>
      </c>
      <c r="B97" s="173">
        <f>IF(MAX($B$65:B96)&lt;(construct+anal_period),B96+1,"")</f>
        <v>33</v>
      </c>
      <c r="C97" s="173">
        <f t="shared" si="22"/>
        <v>32</v>
      </c>
      <c r="D97" s="173">
        <f t="shared" ref="D97:D113" si="25">IF(C97="","",IF(C97&lt;=plant_life,C97,IF(D96=plant_life,1,D96+1)))</f>
        <v>32</v>
      </c>
      <c r="E97" s="174">
        <f t="shared" ref="E97:E113" si="26">IF(C97="","",(1+inflation_rate)^(A97-$B$25))</f>
        <v>1.7922546019794507</v>
      </c>
      <c r="F97" s="54">
        <f t="shared" ref="F97:F113" ca="1" si="27">IF(C97="","",IF(C97&lt;0,0,IF(AND(C97=1,start_time&lt;1),E97*(H2_price_nominal*output_kgyear*start_time*percnt_revs+H2_price_nominal*output_kgyear*(1-start_time)),IF(C97&lt;=start_time,H2_price_nominal*E97*output_kgyear*percnt_revs,H2_price_nominal*output_kgyear*E97))))</f>
        <v>169948158.41686442</v>
      </c>
      <c r="G97" s="1080"/>
      <c r="H97" s="1089">
        <f t="shared" si="24"/>
        <v>0</v>
      </c>
      <c r="I97" s="175">
        <f ca="1">IF(OR(C97&lt;0,C97=""),"",-E97*INDEX('Replacement Costs'!$A$16:$H$57,MATCH(C97,'Replacement Costs'!$C$16:$C$57,0),MATCH("Total Yearly Replacement Costs",'Replacement Costs'!$A$16:$H$16,0)))</f>
        <v>-757709.34566523193</v>
      </c>
      <c r="J97" s="175">
        <f ca="1">IF(AND(C97&gt;=1,C97&lt;anal_period),WorkingCap*SUM(N97:R97)-WorkingCap*SUM(N96:R96),IF(C97&lt;0,0,IF(B97="","",-SUM(J$65:J96))))</f>
        <v>-536792.32893622294</v>
      </c>
      <c r="K97" s="175" t="str">
        <f t="shared" ref="K97:K113" si="28">IF(C97=-construct,-E97*non_dep_infl,"")</f>
        <v/>
      </c>
      <c r="L97" s="175" t="str">
        <f t="shared" ref="L97:L113" si="29">IF(C97=anal_period,salvage*E97,"")</f>
        <v/>
      </c>
      <c r="M97" s="175" t="str">
        <f t="shared" ref="M97:M113" si="30">IF(D97=plant_life,-E97*decom,"")</f>
        <v/>
      </c>
      <c r="N97" s="175">
        <f t="shared" ref="N97:N113" ca="1" si="31">IF(C97="","",IF(C97&lt;0,0,IF(AND(C97=1,start_time&lt;1),-(inflated_fixed*percnt_fixed*start_time+(inflated_fixed*(1-start_time))),IF(C97&lt;=start_time,-inflated_fixed*percnt_fixed*E97,-inflated_fixed*E97))))</f>
        <v>-8436248.5580159333</v>
      </c>
      <c r="O97" s="175">
        <f t="shared" ref="O97:O109" ca="1" si="32">IF(C97="","",IF(C97&lt;0,0,IF(AND(C97=1,start_time&lt;1),-(SUM(B171:E171)*output_kgyear*E97*percnt_var*start_time+SUM(B171:E171)*output_kgyear*E97*(1-start_time)),IF(C97&lt;=start_time,-SUM(B171:E171)*output_kgyear*E97*percnt_var,-SUM(B171:E171)*output_kgyear*E97))))</f>
        <v>0</v>
      </c>
      <c r="P97" s="175">
        <f t="shared" ref="P97:P113" ca="1" si="33">IF(C97="","",IF(C97&lt;0,0,IF(AND(C97=1,start_time&lt;1),-(inflated_otherraw*E97*percnt_var*start_time+inflated_otherraw*E97*(1-start_time)),IF(C97&lt;=start_time,-inflated_otherraw*E97*percnt_var,-(inflated_otherraw*E97)))))</f>
        <v>0</v>
      </c>
      <c r="Q97" s="175">
        <f t="shared" ca="1" si="10"/>
        <v>0</v>
      </c>
      <c r="R97" s="175">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-153722794.76048365</v>
      </c>
      <c r="S97" s="175">
        <f ca="1">IF(B97="","",IF($B$31=0,"",-'Debt Financing Calculations'!E46))</f>
        <v>-1842093.7363248433</v>
      </c>
      <c r="T97" s="175">
        <f t="shared" ref="T97:T113" ca="1" si="35">IF(C97="","",F97+SUM(L97:S97))</f>
        <v>5947021.3620399833</v>
      </c>
      <c r="U97" s="175">
        <f ca="1">IF(C97="","",IF(C97&lt;-1,0,IF(C97=anal_period,-LOOKUP(C97,depr_yr,depr_cost)-Depreciation!$C$141-Depreciation!$B$166,-LOOKUP(C97,depr_yr,depr_cost))))</f>
        <v>-2686492.2731453832</v>
      </c>
      <c r="V97" s="175">
        <f t="shared" ref="V97:V113" ca="1" si="36">IF(C97="","",SUM(T97:U97))</f>
        <v>3260529.0888946</v>
      </c>
      <c r="W97" s="176">
        <f t="shared" ref="W97:W113" si="37">IF(C97="","",$B$33)</f>
        <v>0.25739999999999996</v>
      </c>
      <c r="X97" s="175">
        <f t="shared" ref="X97:X113" ca="1" si="38">IF(C97="","",tax_credit-(V97*W97 +Upstream_CO2_taxpYear + Proc_CO2_taxpYear))</f>
        <v>-839260.18748146994</v>
      </c>
      <c r="Y97" s="175">
        <f t="shared" ref="Y97:Y113" ca="1" si="39">IF(C97="","",SUM(T97,X97))</f>
        <v>5107761.1745585129</v>
      </c>
      <c r="Z97" s="175">
        <f>IF(C97="","",IF($B$31=0,"",-'Debt Financing Calculations'!F46))</f>
        <v>0</v>
      </c>
      <c r="AA97" s="175">
        <f t="shared" ref="AA97:AA113" ca="1" si="40">IF(C97="","",SUM(H97,I97,J97,K97,T97,X97,Z97))</f>
        <v>3813259.499957059</v>
      </c>
      <c r="AB97" s="175">
        <f t="shared" ca="1" si="23"/>
        <v>74944349.589160576</v>
      </c>
      <c r="AC97" s="1067">
        <f t="shared" ref="AC97:AC113" ca="1" si="41">IF(C97="","",SUM(H97,I97,J97,K97,T97,Z97))</f>
        <v>4652519.687438529</v>
      </c>
      <c r="AE97" s="1071">
        <f t="shared" ref="AE97:AE113" ca="1" si="42">IF(C97="","",IF(C97&lt;0,0,IF(AND(C97=1,start_time&lt;1),(output_kgyear*start_time*percnt_revs+output_kgyear*(1-start_time)),IF(C97&lt;=start_time,output_kgyear*percnt_revs,output_kgyear))))</f>
        <v>20003824.999999996</v>
      </c>
      <c r="AF97" s="1067">
        <f t="shared" ref="AF97:AF113" si="43">IF(C97="","",tax_credit)</f>
        <v>0</v>
      </c>
    </row>
    <row r="98" spans="1:32">
      <c r="A98" s="53">
        <f t="shared" si="21"/>
        <v>2047</v>
      </c>
      <c r="B98" s="173">
        <f>IF(MAX($B$65:B97)&lt;(construct+anal_period),B97+1,"")</f>
        <v>34</v>
      </c>
      <c r="C98" s="173">
        <f t="shared" si="22"/>
        <v>33</v>
      </c>
      <c r="D98" s="173">
        <f t="shared" si="25"/>
        <v>33</v>
      </c>
      <c r="E98" s="174">
        <f t="shared" si="26"/>
        <v>1.8263074394170602</v>
      </c>
      <c r="F98" s="54">
        <f t="shared" ca="1" si="27"/>
        <v>173177173.42678484</v>
      </c>
      <c r="G98" s="1080"/>
      <c r="H98" s="1089">
        <f t="shared" si="24"/>
        <v>0</v>
      </c>
      <c r="I98" s="175">
        <f ca="1">IF(OR(C98&lt;0,C98=""),"",-E98*INDEX('Replacement Costs'!$A$16:$H$57,MATCH(C98,'Replacement Costs'!$C$16:$C$57,0),MATCH("Total Yearly Replacement Costs",'Replacement Costs'!$A$16:$H$16,0)))</f>
        <v>-772105.82323287136</v>
      </c>
      <c r="J98" s="175">
        <f ca="1">IF(AND(C98&gt;=1,C98&lt;anal_period),WorkingCap*SUM(N98:R98)-WorkingCap*SUM(N97:R97),IF(C98&lt;0,0,IF(B98="","",-SUM(J$65:J97))))</f>
        <v>-539730.89224169403</v>
      </c>
      <c r="K98" s="175" t="str">
        <f t="shared" si="28"/>
        <v/>
      </c>
      <c r="L98" s="175" t="str">
        <f t="shared" si="29"/>
        <v/>
      </c>
      <c r="M98" s="175" t="str">
        <f t="shared" si="30"/>
        <v/>
      </c>
      <c r="N98" s="175">
        <f t="shared" ca="1" si="31"/>
        <v>-8596537.2806182355</v>
      </c>
      <c r="O98" s="175">
        <f t="shared" ca="1" si="32"/>
        <v>0</v>
      </c>
      <c r="P98" s="175">
        <f t="shared" ca="1" si="33"/>
        <v>0</v>
      </c>
      <c r="Q98" s="175">
        <f t="shared" ca="1" si="10"/>
        <v>0</v>
      </c>
      <c r="R98" s="175">
        <f t="shared" ca="1" si="34"/>
        <v>-157160711.98615932</v>
      </c>
      <c r="S98" s="175">
        <f ca="1">IF(B98="","",IF($B$31=0,"",-'Debt Financing Calculations'!E47))</f>
        <v>-1842093.7363248433</v>
      </c>
      <c r="T98" s="175">
        <f t="shared" ca="1" si="35"/>
        <v>5577830.4236824214</v>
      </c>
      <c r="U98" s="175">
        <f ca="1">IF(C98="","",IF(C98&lt;-1,0,IF(C98=anal_period,-LOOKUP(C98,depr_yr,depr_cost)-Depreciation!$C$141-Depreciation!$B$166,-LOOKUP(C98,depr_yr,depr_cost))))</f>
        <v>-2628468.6096371175</v>
      </c>
      <c r="V98" s="175">
        <f t="shared" ca="1" si="36"/>
        <v>2949361.814045304</v>
      </c>
      <c r="W98" s="176">
        <f t="shared" si="37"/>
        <v>0.25739999999999996</v>
      </c>
      <c r="X98" s="175">
        <f t="shared" ca="1" si="38"/>
        <v>-759165.73093526112</v>
      </c>
      <c r="Y98" s="175">
        <f t="shared" ca="1" si="39"/>
        <v>4818664.6927471608</v>
      </c>
      <c r="Z98" s="175">
        <f>IF(C98="","",IF($B$31=0,"",-'Debt Financing Calculations'!F47))</f>
        <v>0</v>
      </c>
      <c r="AA98" s="175">
        <f t="shared" ca="1" si="40"/>
        <v>3506827.9772725948</v>
      </c>
      <c r="AB98" s="175">
        <f t="shared" ca="1" si="23"/>
        <v>78451177.566433176</v>
      </c>
      <c r="AC98" s="1067">
        <f t="shared" ca="1" si="41"/>
        <v>4265993.7082078559</v>
      </c>
      <c r="AE98" s="1071">
        <f t="shared" ca="1" si="42"/>
        <v>20003824.999999996</v>
      </c>
      <c r="AF98" s="1067">
        <f t="shared" si="43"/>
        <v>0</v>
      </c>
    </row>
    <row r="99" spans="1:32">
      <c r="A99" s="53">
        <f t="shared" si="21"/>
        <v>2048</v>
      </c>
      <c r="B99" s="173">
        <f>IF(MAX($B$65:B98)&lt;(construct+anal_period),B98+1,"")</f>
        <v>35</v>
      </c>
      <c r="C99" s="173">
        <f t="shared" si="22"/>
        <v>34</v>
      </c>
      <c r="D99" s="173">
        <f t="shared" si="25"/>
        <v>34</v>
      </c>
      <c r="E99" s="174">
        <f t="shared" si="26"/>
        <v>1.8610072807659841</v>
      </c>
      <c r="F99" s="54">
        <f t="shared" ca="1" si="27"/>
        <v>176467539.72189373</v>
      </c>
      <c r="G99" s="1080"/>
      <c r="H99" s="1089">
        <f t="shared" si="24"/>
        <v>0</v>
      </c>
      <c r="I99" s="175">
        <f ca="1">IF(OR(C99&lt;0,C99=""),"",-E99*INDEX('Replacement Costs'!$A$16:$H$57,MATCH(C99,'Replacement Costs'!$C$16:$C$57,0),MATCH("Total Yearly Replacement Costs",'Replacement Costs'!$A$16:$H$16,0)))</f>
        <v>-786775.83387429581</v>
      </c>
      <c r="J99" s="175">
        <f ca="1">IF(AND(C99&gt;=1,C99&lt;anal_period),WorkingCap*SUM(N99:R99)-WorkingCap*SUM(N98:R98),IF(C99&lt;0,0,IF(B99="","",-SUM(J$65:J98))))</f>
        <v>-561329.91747158766</v>
      </c>
      <c r="K99" s="175" t="str">
        <f t="shared" si="28"/>
        <v/>
      </c>
      <c r="L99" s="175" t="str">
        <f t="shared" si="29"/>
        <v/>
      </c>
      <c r="M99" s="175" t="str">
        <f t="shared" si="30"/>
        <v/>
      </c>
      <c r="N99" s="175">
        <f t="shared" ca="1" si="31"/>
        <v>-8759871.4889499806</v>
      </c>
      <c r="O99" s="175">
        <f t="shared" ca="1" si="32"/>
        <v>0</v>
      </c>
      <c r="P99" s="175">
        <f t="shared" ca="1" si="33"/>
        <v>0</v>
      </c>
      <c r="Q99" s="175">
        <f t="shared" ca="1" si="10"/>
        <v>0</v>
      </c>
      <c r="R99" s="175">
        <f t="shared" ca="1" si="34"/>
        <v>-160739577.22763816</v>
      </c>
      <c r="S99" s="175">
        <f ca="1">IF(B99="","",IF($B$31=0,"",-'Debt Financing Calculations'!E48))</f>
        <v>-1842093.7363248433</v>
      </c>
      <c r="T99" s="175">
        <f t="shared" ca="1" si="35"/>
        <v>5125997.2689807415</v>
      </c>
      <c r="U99" s="175">
        <f ca="1">IF(C99="","",IF(C99&lt;-1,0,IF(C99=anal_period,-LOOKUP(C99,depr_yr,depr_cost)-Depreciation!$C$141-Depreciation!$B$166,-LOOKUP(C99,depr_yr,depr_cost))))</f>
        <v>-2576155.8041619849</v>
      </c>
      <c r="V99" s="175">
        <f t="shared" ca="1" si="36"/>
        <v>2549841.4648187566</v>
      </c>
      <c r="W99" s="176">
        <f t="shared" si="37"/>
        <v>0.25739999999999996</v>
      </c>
      <c r="X99" s="175">
        <f t="shared" ca="1" si="38"/>
        <v>-656329.1930443478</v>
      </c>
      <c r="Y99" s="175">
        <f t="shared" ca="1" si="39"/>
        <v>4469668.0759363938</v>
      </c>
      <c r="Z99" s="175">
        <f>IF(C99="","",IF($B$31=0,"",-'Debt Financing Calculations'!F48))</f>
        <v>0</v>
      </c>
      <c r="AA99" s="175">
        <f t="shared" ca="1" si="40"/>
        <v>3121562.3245905102</v>
      </c>
      <c r="AB99" s="175">
        <f t="shared" ca="1" si="23"/>
        <v>81572739.891023681</v>
      </c>
      <c r="AC99" s="1067">
        <f t="shared" ca="1" si="41"/>
        <v>3777891.5176348579</v>
      </c>
      <c r="AE99" s="1071">
        <f t="shared" ca="1" si="42"/>
        <v>20003824.999999996</v>
      </c>
      <c r="AF99" s="1067">
        <f t="shared" si="43"/>
        <v>0</v>
      </c>
    </row>
    <row r="100" spans="1:32">
      <c r="A100" s="53">
        <f t="shared" si="21"/>
        <v>2049</v>
      </c>
      <c r="B100" s="173">
        <f>IF(MAX($B$65:B99)&lt;(construct+anal_period),B99+1,"")</f>
        <v>36</v>
      </c>
      <c r="C100" s="173">
        <f t="shared" si="22"/>
        <v>35</v>
      </c>
      <c r="D100" s="173">
        <f t="shared" si="25"/>
        <v>35</v>
      </c>
      <c r="E100" s="174">
        <f t="shared" si="26"/>
        <v>1.8963664191005378</v>
      </c>
      <c r="F100" s="54">
        <f t="shared" ca="1" si="27"/>
        <v>179820422.97660971</v>
      </c>
      <c r="G100" s="1080"/>
      <c r="H100" s="1089">
        <f t="shared" si="24"/>
        <v>0</v>
      </c>
      <c r="I100" s="175">
        <f ca="1">IF(OR(C100&lt;0,C100=""),"",-E100*INDEX('Replacement Costs'!$A$16:$H$57,MATCH(C100,'Replacement Costs'!$C$16:$C$57,0),MATCH("Total Yearly Replacement Costs",'Replacement Costs'!$A$16:$H$16,0)))</f>
        <v>-801724.57471790735</v>
      </c>
      <c r="J100" s="175">
        <f ca="1">IF(AND(C100&gt;=1,C100&lt;anal_period),WorkingCap*SUM(N100:R100)-WorkingCap*SUM(N99:R99),IF(C100&lt;0,0,IF(B100="","",-SUM(J$65:J99))))</f>
        <v>-561578.66301506013</v>
      </c>
      <c r="K100" s="175" t="str">
        <f t="shared" si="28"/>
        <v/>
      </c>
      <c r="L100" s="175" t="str">
        <f t="shared" si="29"/>
        <v/>
      </c>
      <c r="M100" s="175" t="str">
        <f t="shared" si="30"/>
        <v/>
      </c>
      <c r="N100" s="175">
        <f t="shared" ca="1" si="31"/>
        <v>-8926309.0472400319</v>
      </c>
      <c r="O100" s="175">
        <f t="shared" ca="1" si="32"/>
        <v>0</v>
      </c>
      <c r="P100" s="175">
        <f t="shared" ca="1" si="33"/>
        <v>0</v>
      </c>
      <c r="Q100" s="175">
        <f t="shared" ca="1" si="10"/>
        <v>0</v>
      </c>
      <c r="R100" s="175">
        <f t="shared" ca="1" si="34"/>
        <v>-164316997.42278185</v>
      </c>
      <c r="S100" s="175">
        <f ca="1">IF(B100="","",IF($B$31=0,"",-'Debt Financing Calculations'!E49))</f>
        <v>-1842093.7363248433</v>
      </c>
      <c r="T100" s="175">
        <f t="shared" ca="1" si="35"/>
        <v>4735022.7702629864</v>
      </c>
      <c r="U100" s="175">
        <f ca="1">IF(C100="","",IF(C100&lt;-1,0,IF(C100=anal_period,-LOOKUP(C100,depr_yr,depr_cost)-Depreciation!$C$141-Depreciation!$B$166,-LOOKUP(C100,depr_yr,depr_cost))))</f>
        <v>-2269393.6407636716</v>
      </c>
      <c r="V100" s="175">
        <f t="shared" ca="1" si="36"/>
        <v>2465629.1294993148</v>
      </c>
      <c r="W100" s="176">
        <f t="shared" si="37"/>
        <v>0.25739999999999996</v>
      </c>
      <c r="X100" s="175">
        <f t="shared" ca="1" si="38"/>
        <v>-634652.93793312355</v>
      </c>
      <c r="Y100" s="175">
        <f t="shared" ca="1" si="39"/>
        <v>4100369.8323298628</v>
      </c>
      <c r="Z100" s="175">
        <f>IF(C100="","",IF($B$31=0,"",-'Debt Financing Calculations'!F49))</f>
        <v>0</v>
      </c>
      <c r="AA100" s="175">
        <f t="shared" ca="1" si="40"/>
        <v>2737066.5945968954</v>
      </c>
      <c r="AB100" s="175">
        <f t="shared" ca="1" si="23"/>
        <v>84309806.485620573</v>
      </c>
      <c r="AC100" s="1067">
        <f t="shared" ca="1" si="41"/>
        <v>3371719.5325300191</v>
      </c>
      <c r="AE100" s="1071">
        <f t="shared" ca="1" si="42"/>
        <v>20003824.999999996</v>
      </c>
      <c r="AF100" s="1067">
        <f t="shared" si="43"/>
        <v>0</v>
      </c>
    </row>
    <row r="101" spans="1:32">
      <c r="A101" s="53">
        <f t="shared" si="21"/>
        <v>2050</v>
      </c>
      <c r="B101" s="173">
        <f>IF(MAX($B$65:B100)&lt;(construct+anal_period),B100+1,"")</f>
        <v>37</v>
      </c>
      <c r="C101" s="173">
        <f t="shared" si="22"/>
        <v>36</v>
      </c>
      <c r="D101" s="173">
        <f t="shared" si="25"/>
        <v>36</v>
      </c>
      <c r="E101" s="174">
        <f t="shared" si="26"/>
        <v>1.932397381063448</v>
      </c>
      <c r="F101" s="54">
        <f t="shared" ca="1" si="27"/>
        <v>183237011.0131653</v>
      </c>
      <c r="G101" s="1080"/>
      <c r="H101" s="1089">
        <f t="shared" si="24"/>
        <v>0</v>
      </c>
      <c r="I101" s="175">
        <f ca="1">IF(OR(C101&lt;0,C101=""),"",-E101*INDEX('Replacement Costs'!$A$16:$H$57,MATCH(C101,'Replacement Costs'!$C$16:$C$57,0),MATCH("Total Yearly Replacement Costs",'Replacement Costs'!$A$16:$H$16,0)))</f>
        <v>-18076619.48890968</v>
      </c>
      <c r="J101" s="175">
        <f ca="1">IF(AND(C101&gt;=1,C101&lt;anal_period),WorkingCap*SUM(N101:R101)-WorkingCap*SUM(N100:R100),IF(C101&lt;0,0,IF(B101="","",-SUM(J$65:J100))))</f>
        <v>-571298.47758227214</v>
      </c>
      <c r="K101" s="175" t="str">
        <f t="shared" si="28"/>
        <v/>
      </c>
      <c r="L101" s="175" t="str">
        <f t="shared" si="29"/>
        <v/>
      </c>
      <c r="M101" s="175" t="str">
        <f t="shared" si="30"/>
        <v/>
      </c>
      <c r="N101" s="175">
        <f t="shared" ca="1" si="31"/>
        <v>-9095908.9191375915</v>
      </c>
      <c r="O101" s="175">
        <f t="shared" ca="1" si="32"/>
        <v>0</v>
      </c>
      <c r="P101" s="175">
        <f t="shared" ca="1" si="33"/>
        <v>0</v>
      </c>
      <c r="Q101" s="175">
        <f t="shared" ca="1" si="10"/>
        <v>0</v>
      </c>
      <c r="R101" s="175">
        <f t="shared" ca="1" si="34"/>
        <v>-167956054.06809944</v>
      </c>
      <c r="S101" s="175">
        <f ca="1">IF(B101="","",IF($B$31=0,"",-'Debt Financing Calculations'!E50))</f>
        <v>-1842093.7363248433</v>
      </c>
      <c r="T101" s="175">
        <f t="shared" ca="1" si="35"/>
        <v>4342954.2896034122</v>
      </c>
      <c r="U101" s="175">
        <f ca="1">IF(C101="","",IF(C101&lt;-1,0,IF(C101=anal_period,-LOOKUP(C101,depr_yr,depr_cost)-Depreciation!$C$141-Depreciation!$B$166,-LOOKUP(C101,depr_yr,depr_cost))))</f>
        <v>-2614948.3421607111</v>
      </c>
      <c r="V101" s="175">
        <f t="shared" ca="1" si="36"/>
        <v>1728005.9474427011</v>
      </c>
      <c r="W101" s="176">
        <f t="shared" si="37"/>
        <v>0.25739999999999996</v>
      </c>
      <c r="X101" s="175">
        <f t="shared" ca="1" si="38"/>
        <v>-444788.73087175121</v>
      </c>
      <c r="Y101" s="175">
        <f t="shared" ca="1" si="39"/>
        <v>3898165.5587316612</v>
      </c>
      <c r="Z101" s="175">
        <f>IF(C101="","",IF($B$31=0,"",-'Debt Financing Calculations'!F50))</f>
        <v>0</v>
      </c>
      <c r="AA101" s="175">
        <f t="shared" ca="1" si="40"/>
        <v>-14749752.407760292</v>
      </c>
      <c r="AB101" s="175">
        <f t="shared" ca="1" si="23"/>
        <v>69560054.077860281</v>
      </c>
      <c r="AC101" s="1067">
        <f t="shared" ca="1" si="41"/>
        <v>-14304963.67688854</v>
      </c>
      <c r="AE101" s="1071">
        <f t="shared" ca="1" si="42"/>
        <v>20003824.999999996</v>
      </c>
      <c r="AF101" s="1067">
        <f t="shared" si="43"/>
        <v>0</v>
      </c>
    </row>
    <row r="102" spans="1:32">
      <c r="A102" s="53">
        <f t="shared" si="21"/>
        <v>2051</v>
      </c>
      <c r="B102" s="173">
        <f>IF(MAX($B$65:B101)&lt;(construct+anal_period),B101+1,"")</f>
        <v>38</v>
      </c>
      <c r="C102" s="173">
        <f t="shared" si="22"/>
        <v>37</v>
      </c>
      <c r="D102" s="173">
        <f t="shared" si="25"/>
        <v>37</v>
      </c>
      <c r="E102" s="174">
        <f t="shared" si="26"/>
        <v>1.9691129313036535</v>
      </c>
      <c r="F102" s="54">
        <f t="shared" ca="1" si="27"/>
        <v>186718514.22241542</v>
      </c>
      <c r="G102" s="1080"/>
      <c r="H102" s="1089">
        <f t="shared" si="24"/>
        <v>0</v>
      </c>
      <c r="I102" s="175">
        <f ca="1">IF(OR(C102&lt;0,C102=""),"",-E102*INDEX('Replacement Costs'!$A$16:$H$57,MATCH(C102,'Replacement Costs'!$C$16:$C$57,0),MATCH("Total Yearly Replacement Costs",'Replacement Costs'!$A$16:$H$16,0)))</f>
        <v>-832479.53112866101</v>
      </c>
      <c r="J102" s="175">
        <f ca="1">IF(AND(C102&gt;=1,C102&lt;anal_period),WorkingCap*SUM(N102:R102)-WorkingCap*SUM(N101:R101),IF(C102&lt;0,0,IF(B102="","",-SUM(J$65:J101))))</f>
        <v>-527834.31891625002</v>
      </c>
      <c r="K102" s="175" t="str">
        <f t="shared" si="28"/>
        <v/>
      </c>
      <c r="L102" s="175" t="str">
        <f t="shared" si="29"/>
        <v/>
      </c>
      <c r="M102" s="175" t="str">
        <f t="shared" si="30"/>
        <v/>
      </c>
      <c r="N102" s="175">
        <f t="shared" ca="1" si="31"/>
        <v>-9268731.1886012051</v>
      </c>
      <c r="O102" s="175">
        <f t="shared" ca="1" si="32"/>
        <v>0</v>
      </c>
      <c r="P102" s="175">
        <f t="shared" ca="1" si="33"/>
        <v>0</v>
      </c>
      <c r="Q102" s="175">
        <f t="shared" ca="1" si="10"/>
        <v>0</v>
      </c>
      <c r="R102" s="175">
        <f t="shared" ca="1" si="34"/>
        <v>-171302127.2580775</v>
      </c>
      <c r="S102" s="175">
        <f ca="1">IF(B102="","",IF($B$31=0,"",-'Debt Financing Calculations'!E51))</f>
        <v>-1842093.7363248433</v>
      </c>
      <c r="T102" s="175">
        <f t="shared" ca="1" si="35"/>
        <v>4305562.0394118726</v>
      </c>
      <c r="U102" s="175">
        <f ca="1">IF(C102="","",IF(C102&lt;-1,0,IF(C102=anal_period,-LOOKUP(C102,depr_yr,depr_cost)-Depreciation!$C$141-Depreciation!$B$166,-LOOKUP(C102,depr_yr,depr_cost))))</f>
        <v>-3217620.9784168629</v>
      </c>
      <c r="V102" s="175">
        <f t="shared" ca="1" si="36"/>
        <v>1087941.0609950097</v>
      </c>
      <c r="W102" s="176">
        <f t="shared" si="37"/>
        <v>0.25739999999999996</v>
      </c>
      <c r="X102" s="175">
        <f t="shared" ca="1" si="38"/>
        <v>-280036.02910011547</v>
      </c>
      <c r="Y102" s="175">
        <f t="shared" ca="1" si="39"/>
        <v>4025526.0103117572</v>
      </c>
      <c r="Z102" s="175">
        <f>IF(C102="","",IF($B$31=0,"",-'Debt Financing Calculations'!F51))</f>
        <v>0</v>
      </c>
      <c r="AA102" s="175">
        <f t="shared" ca="1" si="40"/>
        <v>2665212.1602668464</v>
      </c>
      <c r="AB102" s="175">
        <f t="shared" ca="1" si="23"/>
        <v>72225266.238127127</v>
      </c>
      <c r="AC102" s="1067">
        <f t="shared" ca="1" si="41"/>
        <v>2945248.1893669618</v>
      </c>
      <c r="AE102" s="1071">
        <f t="shared" ca="1" si="42"/>
        <v>20003824.999999996</v>
      </c>
      <c r="AF102" s="1067">
        <f t="shared" si="43"/>
        <v>0</v>
      </c>
    </row>
    <row r="103" spans="1:32">
      <c r="A103" s="53">
        <f t="shared" si="21"/>
        <v>2052</v>
      </c>
      <c r="B103" s="173">
        <f>IF(MAX($B$65:B102)&lt;(construct+anal_period),B102+1,"")</f>
        <v>39</v>
      </c>
      <c r="C103" s="173">
        <f t="shared" si="22"/>
        <v>38</v>
      </c>
      <c r="D103" s="173">
        <f t="shared" si="25"/>
        <v>38</v>
      </c>
      <c r="E103" s="174">
        <f t="shared" si="26"/>
        <v>2.0065260769984223</v>
      </c>
      <c r="F103" s="54">
        <f t="shared" ca="1" si="27"/>
        <v>190266165.99264127</v>
      </c>
      <c r="G103" s="1080"/>
      <c r="H103" s="1089">
        <f t="shared" si="24"/>
        <v>0</v>
      </c>
      <c r="I103" s="175">
        <f ca="1">IF(OR(C103&lt;0,C103=""),"",-E103*INDEX('Replacement Costs'!$A$16:$H$57,MATCH(C103,'Replacement Costs'!$C$16:$C$57,0),MATCH("Total Yearly Replacement Costs",'Replacement Costs'!$A$16:$H$16,0)))</f>
        <v>-848296.64222010528</v>
      </c>
      <c r="J103" s="175">
        <f ca="1">IF(AND(C103&gt;=1,C103&lt;anal_period),WorkingCap*SUM(N103:R103)-WorkingCap*SUM(N102:R102),IF(C103&lt;0,0,IF(B103="","",-SUM(J$65:J102))))</f>
        <v>-538326.13386878371</v>
      </c>
      <c r="K103" s="175" t="str">
        <f t="shared" si="28"/>
        <v/>
      </c>
      <c r="L103" s="175" t="str">
        <f t="shared" si="29"/>
        <v/>
      </c>
      <c r="M103" s="175" t="str">
        <f t="shared" si="30"/>
        <v/>
      </c>
      <c r="N103" s="175">
        <f t="shared" ca="1" si="31"/>
        <v>-9444837.0811846256</v>
      </c>
      <c r="O103" s="175">
        <f t="shared" ca="1" si="32"/>
        <v>0</v>
      </c>
      <c r="P103" s="175">
        <f t="shared" ca="1" si="33"/>
        <v>0</v>
      </c>
      <c r="Q103" s="175">
        <f t="shared" ca="1" si="10"/>
        <v>0</v>
      </c>
      <c r="R103" s="175">
        <f t="shared" ca="1" si="34"/>
        <v>-174714862.25795263</v>
      </c>
      <c r="S103" s="175">
        <f ca="1">IF(B103="","",IF($B$31=0,"",-'Debt Financing Calculations'!E52))</f>
        <v>-1842093.7363248433</v>
      </c>
      <c r="T103" s="175">
        <f t="shared" ca="1" si="35"/>
        <v>4264372.9171791673</v>
      </c>
      <c r="U103" s="175">
        <f ca="1">IF(C103="","",IF(C103&lt;-1,0,IF(C103=anal_period,-LOOKUP(C103,depr_yr,depr_cost)-Depreciation!$C$141-Depreciation!$B$166,-LOOKUP(C103,depr_yr,depr_cost))))</f>
        <v>-3137449.7192865917</v>
      </c>
      <c r="V103" s="175">
        <f t="shared" ca="1" si="36"/>
        <v>1126923.1978925755</v>
      </c>
      <c r="W103" s="176">
        <f t="shared" si="37"/>
        <v>0.25739999999999996</v>
      </c>
      <c r="X103" s="175">
        <f t="shared" ca="1" si="38"/>
        <v>-290070.03113754891</v>
      </c>
      <c r="Y103" s="175">
        <f t="shared" ca="1" si="39"/>
        <v>3974302.8860416184</v>
      </c>
      <c r="Z103" s="175">
        <f>IF(C103="","",IF($B$31=0,"",-'Debt Financing Calculations'!F52))</f>
        <v>0</v>
      </c>
      <c r="AA103" s="175">
        <f t="shared" ca="1" si="40"/>
        <v>2587680.1099527297</v>
      </c>
      <c r="AB103" s="175">
        <f t="shared" ca="1" si="23"/>
        <v>74812946.34807986</v>
      </c>
      <c r="AC103" s="1067">
        <f t="shared" ca="1" si="41"/>
        <v>2877750.1410902785</v>
      </c>
      <c r="AE103" s="1071">
        <f t="shared" ca="1" si="42"/>
        <v>20003824.999999996</v>
      </c>
      <c r="AF103" s="1067">
        <f t="shared" si="43"/>
        <v>0</v>
      </c>
    </row>
    <row r="104" spans="1:32">
      <c r="A104" s="53">
        <f t="shared" si="21"/>
        <v>2053</v>
      </c>
      <c r="B104" s="173">
        <f>IF(MAX($B$65:B103)&lt;(construct+anal_period),B103+1,"")</f>
        <v>40</v>
      </c>
      <c r="C104" s="173">
        <f t="shared" si="22"/>
        <v>39</v>
      </c>
      <c r="D104" s="173">
        <f t="shared" si="25"/>
        <v>39</v>
      </c>
      <c r="E104" s="174">
        <f t="shared" si="26"/>
        <v>2.0446500724613927</v>
      </c>
      <c r="F104" s="54">
        <f t="shared" ca="1" si="27"/>
        <v>193881223.14650148</v>
      </c>
      <c r="G104" s="1080"/>
      <c r="H104" s="1089">
        <f t="shared" si="24"/>
        <v>0</v>
      </c>
      <c r="I104" s="175">
        <f ca="1">IF(OR(C104&lt;0,C104=""),"",-E104*INDEX('Replacement Costs'!$A$16:$H$57,MATCH(C104,'Replacement Costs'!$C$16:$C$57,0),MATCH("Total Yearly Replacement Costs",'Replacement Costs'!$A$16:$H$16,0)))</f>
        <v>-864414.27842228755</v>
      </c>
      <c r="J104" s="175">
        <f ca="1">IF(AND(C104&gt;=1,C104&lt;anal_period),WorkingCap*SUM(N104:R104)-WorkingCap*SUM(N103:R103),IF(C104&lt;0,0,IF(B104="","",-SUM(J$65:J103))))</f>
        <v>-549026.51746495068</v>
      </c>
      <c r="K104" s="175" t="str">
        <f t="shared" si="28"/>
        <v/>
      </c>
      <c r="L104" s="175" t="str">
        <f t="shared" si="29"/>
        <v/>
      </c>
      <c r="M104" s="175" t="str">
        <f t="shared" si="30"/>
        <v/>
      </c>
      <c r="N104" s="175">
        <f t="shared" ca="1" si="31"/>
        <v>-9624288.9857271351</v>
      </c>
      <c r="O104" s="175">
        <f t="shared" ca="1" si="32"/>
        <v>0</v>
      </c>
      <c r="P104" s="175">
        <f t="shared" ca="1" si="33"/>
        <v>0</v>
      </c>
      <c r="Q104" s="175">
        <f t="shared" ca="1" si="10"/>
        <v>0</v>
      </c>
      <c r="R104" s="175">
        <f t="shared" ca="1" si="34"/>
        <v>-178195587.13650981</v>
      </c>
      <c r="S104" s="175">
        <f ca="1">IF(B104="","",IF($B$31=0,"",-'Debt Financing Calculations'!E53))</f>
        <v>-1842093.7363248433</v>
      </c>
      <c r="T104" s="175">
        <f t="shared" ca="1" si="35"/>
        <v>4219253.2879396975</v>
      </c>
      <c r="U104" s="175">
        <f ca="1">IF(C104="","",IF(C104&lt;-1,0,IF(C104=anal_period,-LOOKUP(C104,depr_yr,depr_cost)-Depreciation!$C$141-Depreciation!$B$166,-LOOKUP(C104,depr_yr,depr_cost))))</f>
        <v>-3064819.3704661271</v>
      </c>
      <c r="V104" s="175">
        <f t="shared" ca="1" si="36"/>
        <v>1154433.9174735704</v>
      </c>
      <c r="W104" s="176">
        <f t="shared" si="37"/>
        <v>0.25739999999999996</v>
      </c>
      <c r="X104" s="175">
        <f t="shared" ca="1" si="38"/>
        <v>-297151.290357697</v>
      </c>
      <c r="Y104" s="175">
        <f t="shared" ca="1" si="39"/>
        <v>3922101.9975820007</v>
      </c>
      <c r="Z104" s="175">
        <f>IF(C104="","",IF($B$31=0,"",-'Debt Financing Calculations'!F53))</f>
        <v>0</v>
      </c>
      <c r="AA104" s="175">
        <f t="shared" ca="1" si="40"/>
        <v>2508661.2016947623</v>
      </c>
      <c r="AB104" s="175">
        <f t="shared" ca="1" si="23"/>
        <v>77321607.549774617</v>
      </c>
      <c r="AC104" s="1067">
        <f t="shared" ca="1" si="41"/>
        <v>2805812.4920524592</v>
      </c>
      <c r="AE104" s="1071">
        <f t="shared" ca="1" si="42"/>
        <v>20003824.999999996</v>
      </c>
      <c r="AF104" s="1067">
        <f t="shared" si="43"/>
        <v>0</v>
      </c>
    </row>
    <row r="105" spans="1:32">
      <c r="A105" s="53">
        <f t="shared" si="21"/>
        <v>2054</v>
      </c>
      <c r="B105" s="173">
        <f>IF(MAX($B$65:B104)&lt;(construct+anal_period),B104+1,"")</f>
        <v>41</v>
      </c>
      <c r="C105" s="173">
        <f t="shared" si="22"/>
        <v>40</v>
      </c>
      <c r="D105" s="173">
        <f t="shared" si="25"/>
        <v>40</v>
      </c>
      <c r="E105" s="174">
        <f t="shared" si="26"/>
        <v>2.0834984238381593</v>
      </c>
      <c r="F105" s="54">
        <f t="shared" ca="1" si="27"/>
        <v>197564966.38628501</v>
      </c>
      <c r="G105" s="1080"/>
      <c r="H105" s="1089">
        <f t="shared" si="24"/>
        <v>0</v>
      </c>
      <c r="I105" s="175">
        <f ca="1">IF(OR(C105&lt;0,C105=""),"",-E105*INDEX('Replacement Costs'!$A$16:$H$57,MATCH(C105,'Replacement Costs'!$C$16:$C$57,0),MATCH("Total Yearly Replacement Costs",'Replacement Costs'!$A$16:$H$16,0)))</f>
        <v>-880838.14971231099</v>
      </c>
      <c r="J105" s="175">
        <f ca="1">IF(AND(C105&gt;=1,C105&lt;anal_period),WorkingCap*SUM(N105:R105)-WorkingCap*SUM(N104:R104),IF(C105&lt;0,0,IF(B105="","",-SUM(J$65:J104))))</f>
        <v>28172981.418335538</v>
      </c>
      <c r="K105" s="175" t="str">
        <f t="shared" si="28"/>
        <v/>
      </c>
      <c r="L105" s="175">
        <f t="shared" ca="1" si="29"/>
        <v>17667879.246057756</v>
      </c>
      <c r="M105" s="175">
        <f t="shared" ca="1" si="30"/>
        <v>-17616762.994246218</v>
      </c>
      <c r="N105" s="175">
        <f t="shared" ca="1" si="31"/>
        <v>-9807150.4764559511</v>
      </c>
      <c r="O105" s="175">
        <f t="shared" ca="1" si="32"/>
        <v>0</v>
      </c>
      <c r="P105" s="175">
        <f t="shared" ca="1" si="33"/>
        <v>0</v>
      </c>
      <c r="Q105" s="175">
        <f t="shared" ca="1" si="10"/>
        <v>0</v>
      </c>
      <c r="R105" s="175">
        <f t="shared" ca="1" si="34"/>
        <v>-181745656.42106649</v>
      </c>
      <c r="S105" s="175">
        <f ca="1">IF(B105="","",IF($B$31=0,"",-'Debt Financing Calculations'!E54))</f>
        <v>-1842093.7363248433</v>
      </c>
      <c r="T105" s="175">
        <f t="shared" ca="1" si="35"/>
        <v>4221182.0042492449</v>
      </c>
      <c r="U105" s="175">
        <f ca="1">IF(C105="","",IF(C105&lt;-1,0,IF(C105=anal_period,-LOOKUP(C105,depr_yr,depr_cost)-Depreciation!$C$141-Depreciation!$B$166,-LOOKUP(C105,depr_yr,depr_cost))))</f>
        <v>-29020067.805093557</v>
      </c>
      <c r="V105" s="175">
        <f t="shared" ca="1" si="36"/>
        <v>-24798885.800844312</v>
      </c>
      <c r="W105" s="176">
        <f t="shared" si="37"/>
        <v>0.25739999999999996</v>
      </c>
      <c r="X105" s="175">
        <f t="shared" ca="1" si="38"/>
        <v>6383233.2051373245</v>
      </c>
      <c r="Y105" s="175">
        <f t="shared" ca="1" si="39"/>
        <v>10604415.209386569</v>
      </c>
      <c r="Z105" s="175">
        <f ca="1">IF(C105="","",IF($B$31=0,"",-'Debt Financing Calculations'!F54))</f>
        <v>-49786317.197968736</v>
      </c>
      <c r="AA105" s="175">
        <f t="shared" ca="1" si="40"/>
        <v>-11889758.719958939</v>
      </c>
      <c r="AB105" s="175">
        <f t="shared" ca="1" si="23"/>
        <v>65431848.829815678</v>
      </c>
      <c r="AC105" s="1067">
        <f t="shared" ca="1" si="41"/>
        <v>-18272991.925096262</v>
      </c>
      <c r="AE105" s="1071">
        <f t="shared" ca="1" si="42"/>
        <v>20003824.999999996</v>
      </c>
      <c r="AF105" s="1067">
        <f t="shared" si="43"/>
        <v>0</v>
      </c>
    </row>
    <row r="106" spans="1:32">
      <c r="A106" s="53" t="str">
        <f t="shared" si="21"/>
        <v/>
      </c>
      <c r="B106" s="173" t="str">
        <f>IF(MAX($B$65:B105)&lt;(construct+anal_period),B105+1,"")</f>
        <v/>
      </c>
      <c r="C106" s="173" t="str">
        <f t="shared" si="22"/>
        <v/>
      </c>
      <c r="D106" s="173" t="str">
        <f t="shared" si="25"/>
        <v/>
      </c>
      <c r="E106" s="174" t="str">
        <f t="shared" si="26"/>
        <v/>
      </c>
      <c r="F106" s="54" t="str">
        <f t="shared" si="27"/>
        <v/>
      </c>
      <c r="G106" s="1080"/>
      <c r="H106" s="1089" t="str">
        <f t="shared" si="24"/>
        <v/>
      </c>
      <c r="I106" s="175" t="str">
        <f>IF(OR(C106&lt;0,C106=""),"",-E106*INDEX('Replacement Costs'!$A$16:$H$57,MATCH(C106,'Replacement Costs'!$C$16:$C$57,0),MATCH("Total Yearly Replacement Costs",'Replacement Costs'!$A$16:$H$16,0)))</f>
        <v/>
      </c>
      <c r="J106" s="175" t="str">
        <f>IF(AND(C106&gt;=1,C106&lt;anal_period),WorkingCap*SUM(N106:R106)-WorkingCap*SUM(N105:R105),IF(C106&lt;0,0,IF(B106="","",-SUM(J$65:J105))))</f>
        <v/>
      </c>
      <c r="K106" s="175" t="str">
        <f t="shared" si="28"/>
        <v/>
      </c>
      <c r="L106" s="175" t="str">
        <f t="shared" si="29"/>
        <v/>
      </c>
      <c r="M106" s="175" t="str">
        <f t="shared" si="30"/>
        <v/>
      </c>
      <c r="N106" s="175" t="str">
        <f t="shared" si="31"/>
        <v/>
      </c>
      <c r="O106" s="175" t="str">
        <f t="shared" si="32"/>
        <v/>
      </c>
      <c r="P106" s="175" t="str">
        <f t="shared" si="33"/>
        <v/>
      </c>
      <c r="Q106" s="175" t="str">
        <f t="shared" si="10"/>
        <v/>
      </c>
      <c r="R106" s="175" t="str">
        <f t="shared" si="34"/>
        <v/>
      </c>
      <c r="S106" s="175" t="str">
        <f>IF(B106="","",IF($B$31=0,"",-'Debt Financing Calculations'!E55))</f>
        <v/>
      </c>
      <c r="T106" s="175" t="str">
        <f>IF(C106="","",F106+SUM(L106:S106))</f>
        <v/>
      </c>
      <c r="U106" s="175" t="str">
        <f>IF(C106="","",IF(C106&lt;-1,0,IF(C106=anal_period,-LOOKUP(C106,depr_yr,depr_cost)-Depreciation!$C$141-Depreciation!$B$166,-LOOKUP(C106,depr_yr,depr_cost))))</f>
        <v/>
      </c>
      <c r="V106" s="175" t="str">
        <f t="shared" si="36"/>
        <v/>
      </c>
      <c r="W106" s="176" t="str">
        <f t="shared" si="37"/>
        <v/>
      </c>
      <c r="X106" s="175" t="str">
        <f t="shared" si="38"/>
        <v/>
      </c>
      <c r="Y106" s="175" t="str">
        <f t="shared" si="39"/>
        <v/>
      </c>
      <c r="Z106" s="175" t="str">
        <f>IF(C106="","",IF($B$31=0,"",-'Debt Financing Calculations'!F55))</f>
        <v/>
      </c>
      <c r="AA106" s="175" t="str">
        <f t="shared" si="40"/>
        <v/>
      </c>
      <c r="AB106" s="175" t="str">
        <f t="shared" si="23"/>
        <v/>
      </c>
      <c r="AC106" s="1067" t="str">
        <f>IF(C106="","",SUM(H106,I106,J106,K106,T106,Z106))</f>
        <v/>
      </c>
      <c r="AE106" s="1071" t="str">
        <f t="shared" si="42"/>
        <v/>
      </c>
      <c r="AF106" s="1067" t="str">
        <f t="shared" si="43"/>
        <v/>
      </c>
    </row>
    <row r="107" spans="1:32">
      <c r="A107" s="53" t="str">
        <f t="shared" si="21"/>
        <v/>
      </c>
      <c r="B107" s="173" t="str">
        <f>IF(MAX($B$65:B106)&lt;(construct+anal_period),B106+1,"")</f>
        <v/>
      </c>
      <c r="C107" s="173" t="str">
        <f t="shared" si="22"/>
        <v/>
      </c>
      <c r="D107" s="173" t="str">
        <f t="shared" si="25"/>
        <v/>
      </c>
      <c r="E107" s="174" t="str">
        <f t="shared" si="26"/>
        <v/>
      </c>
      <c r="F107" s="54" t="str">
        <f t="shared" si="27"/>
        <v/>
      </c>
      <c r="G107" s="1080"/>
      <c r="H107" s="1089" t="str">
        <f t="shared" si="24"/>
        <v/>
      </c>
      <c r="I107" s="175" t="str">
        <f>IF(OR(C107&lt;0,C107=""),"",-E107*INDEX('Replacement Costs'!$A$16:$H$57,MATCH(C107,'Replacement Costs'!$C$16:$C$57,0),MATCH("Total Yearly Replacement Costs",'Replacement Costs'!$A$16:$H$16,0)))</f>
        <v/>
      </c>
      <c r="J107" s="175" t="str">
        <f>IF(AND(C107&gt;=1,C107&lt;anal_period),WorkingCap*SUM(N107:R107)-WorkingCap*SUM(N106:R106),IF(C107&lt;0,0,IF(B107="","",-SUM(J$65:J106))))</f>
        <v/>
      </c>
      <c r="K107" s="175" t="str">
        <f t="shared" si="28"/>
        <v/>
      </c>
      <c r="L107" s="175" t="str">
        <f t="shared" si="29"/>
        <v/>
      </c>
      <c r="M107" s="175" t="str">
        <f t="shared" si="30"/>
        <v/>
      </c>
      <c r="N107" s="175" t="str">
        <f t="shared" si="31"/>
        <v/>
      </c>
      <c r="O107" s="175" t="str">
        <f t="shared" si="32"/>
        <v/>
      </c>
      <c r="P107" s="175" t="str">
        <f t="shared" si="33"/>
        <v/>
      </c>
      <c r="Q107" s="175" t="str">
        <f t="shared" si="10"/>
        <v/>
      </c>
      <c r="R107" s="175" t="str">
        <f t="shared" si="34"/>
        <v/>
      </c>
      <c r="S107" s="175" t="str">
        <f>IF(B107="","",IF($B$31=0,"",-'Debt Financing Calculations'!E56))</f>
        <v/>
      </c>
      <c r="T107" s="175" t="str">
        <f t="shared" si="35"/>
        <v/>
      </c>
      <c r="U107" s="175" t="str">
        <f>IF(C107="","",IF(C107&lt;-1,0,IF(C107=anal_period,-LOOKUP(C107,depr_yr,depr_cost)-Depreciation!$C$141-Depreciation!$B$166,-LOOKUP(C107,depr_yr,depr_cost))))</f>
        <v/>
      </c>
      <c r="V107" s="175" t="str">
        <f t="shared" si="36"/>
        <v/>
      </c>
      <c r="W107" s="176" t="str">
        <f t="shared" si="37"/>
        <v/>
      </c>
      <c r="X107" s="175" t="str">
        <f t="shared" si="38"/>
        <v/>
      </c>
      <c r="Y107" s="175" t="str">
        <f t="shared" si="39"/>
        <v/>
      </c>
      <c r="Z107" s="175" t="str">
        <f>IF(C107="","",IF($B$31=0,"",-'Debt Financing Calculations'!F56))</f>
        <v/>
      </c>
      <c r="AA107" s="175" t="str">
        <f t="shared" si="40"/>
        <v/>
      </c>
      <c r="AB107" s="175" t="str">
        <f t="shared" si="23"/>
        <v/>
      </c>
      <c r="AC107" s="1067" t="str">
        <f t="shared" si="41"/>
        <v/>
      </c>
      <c r="AE107" s="1071" t="str">
        <f t="shared" si="42"/>
        <v/>
      </c>
      <c r="AF107" s="1067" t="str">
        <f t="shared" si="43"/>
        <v/>
      </c>
    </row>
    <row r="108" spans="1:32">
      <c r="A108" s="53" t="str">
        <f t="shared" si="21"/>
        <v/>
      </c>
      <c r="B108" s="173" t="str">
        <f>IF(MAX($B$65:B107)&lt;(construct+anal_period),B107+1,"")</f>
        <v/>
      </c>
      <c r="C108" s="173" t="str">
        <f t="shared" si="22"/>
        <v/>
      </c>
      <c r="D108" s="173" t="str">
        <f t="shared" si="25"/>
        <v/>
      </c>
      <c r="E108" s="174" t="str">
        <f t="shared" si="26"/>
        <v/>
      </c>
      <c r="F108" s="54" t="str">
        <f t="shared" si="27"/>
        <v/>
      </c>
      <c r="G108" s="1080"/>
      <c r="H108" s="1089" t="str">
        <f t="shared" si="24"/>
        <v/>
      </c>
      <c r="I108" s="175" t="str">
        <f>IF(OR(C108&lt;0,C108=""),"",-E108*INDEX('Replacement Costs'!$A$16:$H$57,MATCH(C108,'Replacement Costs'!$C$16:$C$57,0),MATCH("Total Yearly Replacement Costs",'Replacement Costs'!$A$16:$H$16,0)))</f>
        <v/>
      </c>
      <c r="J108" s="175" t="str">
        <f>IF(AND(C108&gt;=1,C108&lt;anal_period),WorkingCap*SUM(N108:R108)-WorkingCap*SUM(N107:R107),IF(C108&lt;0,0,IF(B108="","",-SUM(J$65:J107))))</f>
        <v/>
      </c>
      <c r="K108" s="175" t="str">
        <f t="shared" si="28"/>
        <v/>
      </c>
      <c r="L108" s="175" t="str">
        <f t="shared" si="29"/>
        <v/>
      </c>
      <c r="M108" s="175" t="str">
        <f t="shared" si="30"/>
        <v/>
      </c>
      <c r="N108" s="175" t="str">
        <f t="shared" si="31"/>
        <v/>
      </c>
      <c r="O108" s="175" t="str">
        <f t="shared" si="32"/>
        <v/>
      </c>
      <c r="P108" s="175" t="str">
        <f t="shared" si="33"/>
        <v/>
      </c>
      <c r="Q108" s="175" t="str">
        <f t="shared" si="10"/>
        <v/>
      </c>
      <c r="R108" s="175" t="str">
        <f t="shared" si="34"/>
        <v/>
      </c>
      <c r="S108" s="175" t="str">
        <f>IF(B108="","",IF($B$31=0,"",-'Debt Financing Calculations'!E57))</f>
        <v/>
      </c>
      <c r="T108" s="175" t="str">
        <f t="shared" si="35"/>
        <v/>
      </c>
      <c r="U108" s="175" t="str">
        <f>IF(C108="","",IF(C108&lt;-1,0,IF(C108=anal_period,-LOOKUP(C108,depr_yr,depr_cost)-Depreciation!$C$141-Depreciation!$B$166,-LOOKUP(C108,depr_yr,depr_cost))))</f>
        <v/>
      </c>
      <c r="V108" s="175" t="str">
        <f t="shared" si="36"/>
        <v/>
      </c>
      <c r="W108" s="176" t="str">
        <f t="shared" si="37"/>
        <v/>
      </c>
      <c r="X108" s="175" t="str">
        <f t="shared" si="38"/>
        <v/>
      </c>
      <c r="Y108" s="175" t="str">
        <f t="shared" si="39"/>
        <v/>
      </c>
      <c r="Z108" s="175" t="str">
        <f>IF(C108="","",IF($B$31=0,"",-'Debt Financing Calculations'!F57))</f>
        <v/>
      </c>
      <c r="AA108" s="175" t="str">
        <f t="shared" si="40"/>
        <v/>
      </c>
      <c r="AB108" s="175" t="str">
        <f t="shared" si="23"/>
        <v/>
      </c>
      <c r="AC108" s="1067" t="str">
        <f t="shared" si="41"/>
        <v/>
      </c>
      <c r="AE108" s="1071" t="str">
        <f t="shared" si="42"/>
        <v/>
      </c>
      <c r="AF108" s="1067" t="str">
        <f t="shared" si="43"/>
        <v/>
      </c>
    </row>
    <row r="109" spans="1:32">
      <c r="A109" s="53" t="str">
        <f t="shared" si="21"/>
        <v/>
      </c>
      <c r="B109" s="173" t="str">
        <f>IF(MAX($B$65:B108)&lt;(construct+anal_period),B108+1,"")</f>
        <v/>
      </c>
      <c r="C109" s="173" t="str">
        <f t="shared" si="22"/>
        <v/>
      </c>
      <c r="D109" s="173" t="str">
        <f t="shared" si="25"/>
        <v/>
      </c>
      <c r="E109" s="174" t="str">
        <f t="shared" si="26"/>
        <v/>
      </c>
      <c r="F109" s="54" t="str">
        <f t="shared" si="27"/>
        <v/>
      </c>
      <c r="G109" s="1080"/>
      <c r="H109" s="1089" t="str">
        <f t="shared" si="24"/>
        <v/>
      </c>
      <c r="I109" s="175" t="str">
        <f>IF(OR(C109&lt;0,C109=""),"",-E109*INDEX('Replacement Costs'!$A$16:$H$57,MATCH(C109,'Replacement Costs'!$C$16:$C$57,0),MATCH("Total Yearly Replacement Costs",'Replacement Costs'!$A$16:$H$16,0)))</f>
        <v/>
      </c>
      <c r="J109" s="175" t="str">
        <f>IF(AND(C109&gt;=1,C109&lt;anal_period),WorkingCap*SUM(N109:R109)-WorkingCap*SUM(N108:R108),IF(C109&lt;0,0,IF(B109="","",-SUM(J$65:J108))))</f>
        <v/>
      </c>
      <c r="K109" s="175" t="str">
        <f t="shared" si="28"/>
        <v/>
      </c>
      <c r="L109" s="175" t="str">
        <f t="shared" si="29"/>
        <v/>
      </c>
      <c r="M109" s="175" t="str">
        <f t="shared" si="30"/>
        <v/>
      </c>
      <c r="N109" s="175" t="str">
        <f t="shared" si="31"/>
        <v/>
      </c>
      <c r="O109" s="175" t="str">
        <f t="shared" si="32"/>
        <v/>
      </c>
      <c r="P109" s="175" t="str">
        <f t="shared" si="33"/>
        <v/>
      </c>
      <c r="Q109" s="175" t="str">
        <f t="shared" si="10"/>
        <v/>
      </c>
      <c r="R109" s="175" t="str">
        <f t="shared" si="34"/>
        <v/>
      </c>
      <c r="S109" s="175" t="str">
        <f>IF(B109="","",IF($B$31=0,"",-'Debt Financing Calculations'!E58))</f>
        <v/>
      </c>
      <c r="T109" s="175" t="str">
        <f t="shared" si="35"/>
        <v/>
      </c>
      <c r="U109" s="175" t="str">
        <f>IF(C109="","",IF(C109&lt;-1,0,IF(C109=anal_period,-LOOKUP(C109,depr_yr,depr_cost)-Depreciation!$C$141-Depreciation!$B$166,-LOOKUP(C109,depr_yr,depr_cost))))</f>
        <v/>
      </c>
      <c r="V109" s="175" t="str">
        <f t="shared" si="36"/>
        <v/>
      </c>
      <c r="W109" s="176" t="str">
        <f t="shared" si="37"/>
        <v/>
      </c>
      <c r="X109" s="175" t="str">
        <f t="shared" si="38"/>
        <v/>
      </c>
      <c r="Y109" s="175" t="str">
        <f t="shared" si="39"/>
        <v/>
      </c>
      <c r="Z109" s="175" t="str">
        <f>IF(C109="","",IF($B$31=0,"",-'Debt Financing Calculations'!F58))</f>
        <v/>
      </c>
      <c r="AA109" s="175" t="str">
        <f t="shared" si="40"/>
        <v/>
      </c>
      <c r="AB109" s="175" t="str">
        <f t="shared" si="23"/>
        <v/>
      </c>
      <c r="AC109" s="1067" t="str">
        <f t="shared" si="41"/>
        <v/>
      </c>
      <c r="AE109" s="1071" t="str">
        <f t="shared" si="42"/>
        <v/>
      </c>
      <c r="AF109" s="1067" t="str">
        <f t="shared" si="43"/>
        <v/>
      </c>
    </row>
    <row r="110" spans="1:32">
      <c r="A110" s="53" t="str">
        <f t="shared" si="21"/>
        <v/>
      </c>
      <c r="B110" s="173" t="str">
        <f>IF(MAX($B$65:B109)&lt;(construct+anal_period),B109+1,"")</f>
        <v/>
      </c>
      <c r="C110" s="173" t="str">
        <f t="shared" si="22"/>
        <v/>
      </c>
      <c r="D110" s="173" t="str">
        <f t="shared" si="25"/>
        <v/>
      </c>
      <c r="E110" s="174" t="str">
        <f t="shared" si="26"/>
        <v/>
      </c>
      <c r="F110" s="54" t="str">
        <f t="shared" si="27"/>
        <v/>
      </c>
      <c r="G110" s="1080"/>
      <c r="H110" s="1089" t="str">
        <f t="shared" si="24"/>
        <v/>
      </c>
      <c r="I110" s="175" t="str">
        <f>IF(OR(C110&lt;0,C110=""),"",-E110*INDEX('Replacement Costs'!$A$16:$H$57,MATCH(C110,'Replacement Costs'!$C$16:$C$57,0),MATCH("Total Yearly Replacement Costs",'Replacement Costs'!$A$16:$H$16,0)))</f>
        <v/>
      </c>
      <c r="J110" s="175" t="str">
        <f>IF(AND(C110&gt;=1,C110&lt;anal_period),WorkingCap*SUM(N110:R110)-WorkingCap*SUM(N109:R109),IF(C110&lt;0,0,IF(B110="","",-SUM(J$65:J109))))</f>
        <v/>
      </c>
      <c r="K110" s="175" t="str">
        <f t="shared" si="28"/>
        <v/>
      </c>
      <c r="L110" s="175" t="str">
        <f t="shared" si="29"/>
        <v/>
      </c>
      <c r="M110" s="175" t="str">
        <f t="shared" si="30"/>
        <v/>
      </c>
      <c r="N110" s="175" t="str">
        <f t="shared" si="31"/>
        <v/>
      </c>
      <c r="O110" s="175" t="str">
        <f>IF(C110="","",IF(C110&lt;0,0,IF(AND(C110=1,start_time&lt;1),-(SUM(B185:E185)*output_kgyear*E110*percnt_var*start_time+SUM(B185:E185)*output_kgyear*E110*(1-start_time)),IF(C110&lt;=start_time,-SUM(B185:E185)*output_kgyear*E110*percnt_var,-SUM(B185:E185)*output_kgyear*E110))))</f>
        <v/>
      </c>
      <c r="P110" s="175" t="str">
        <f t="shared" si="33"/>
        <v/>
      </c>
      <c r="Q110" s="175" t="str">
        <f>IF(C110="","",IF(C110&lt;0,0,IF(AND(C110=1,start_time&lt;1),SUM(K185:N185,T185:V185)*output_kgyear*E110*percnt_revs*start_time+SUM(K185:N185,T185:V185)*output_kgyear*E110*(1-start_time),IF(C110&lt;=start_time,SUM(K185:N185,T185:V185)*output_kgyear*E110*percnt_revs,SUM(K185:N185,T185:V185)*output_kgyear*E110))))</f>
        <v/>
      </c>
      <c r="R110" s="175"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75" t="str">
        <f>IF(B110="","",IF($B$31=0,"",-'Debt Financing Calculations'!E59))</f>
        <v/>
      </c>
      <c r="T110" s="175" t="str">
        <f t="shared" si="35"/>
        <v/>
      </c>
      <c r="U110" s="175" t="str">
        <f>IF(C110="","",IF(C110&lt;-1,0,IF(C110=anal_period,-LOOKUP(C110,depr_yr,depr_cost)-Depreciation!$C$141-Depreciation!$B$166,-LOOKUP(C110,depr_yr,depr_cost))))</f>
        <v/>
      </c>
      <c r="V110" s="175" t="str">
        <f t="shared" si="36"/>
        <v/>
      </c>
      <c r="W110" s="176" t="str">
        <f t="shared" si="37"/>
        <v/>
      </c>
      <c r="X110" s="175" t="str">
        <f t="shared" si="38"/>
        <v/>
      </c>
      <c r="Y110" s="175" t="str">
        <f t="shared" si="39"/>
        <v/>
      </c>
      <c r="Z110" s="175" t="str">
        <f>IF(C110="","",IF($B$31=0,"",-'Debt Financing Calculations'!F59))</f>
        <v/>
      </c>
      <c r="AA110" s="175" t="str">
        <f t="shared" si="40"/>
        <v/>
      </c>
      <c r="AB110" s="175" t="str">
        <f t="shared" si="23"/>
        <v/>
      </c>
      <c r="AC110" s="1067" t="str">
        <f t="shared" si="41"/>
        <v/>
      </c>
      <c r="AE110" s="1071" t="str">
        <f t="shared" si="42"/>
        <v/>
      </c>
      <c r="AF110" s="1067" t="str">
        <f t="shared" si="43"/>
        <v/>
      </c>
    </row>
    <row r="111" spans="1:32">
      <c r="A111" s="53" t="str">
        <f t="shared" si="21"/>
        <v/>
      </c>
      <c r="B111" s="173" t="str">
        <f>IF(MAX($B$65:B110)&lt;(construct+anal_period),B110+1,"")</f>
        <v/>
      </c>
      <c r="C111" s="173" t="str">
        <f t="shared" si="22"/>
        <v/>
      </c>
      <c r="D111" s="173" t="str">
        <f t="shared" si="25"/>
        <v/>
      </c>
      <c r="E111" s="174" t="str">
        <f t="shared" si="26"/>
        <v/>
      </c>
      <c r="F111" s="54" t="str">
        <f t="shared" si="27"/>
        <v/>
      </c>
      <c r="G111" s="1080"/>
      <c r="H111" s="1089" t="str">
        <f t="shared" si="24"/>
        <v/>
      </c>
      <c r="I111" s="175" t="str">
        <f>IF(OR(C111&lt;0,C111=""),"",-E111*INDEX('Replacement Costs'!$A$16:$H$57,MATCH(C111,'Replacement Costs'!$C$16:$C$57,0),MATCH("Total Yearly Replacement Costs",'Replacement Costs'!$A$16:$H$16,0)))</f>
        <v/>
      </c>
      <c r="J111" s="175" t="str">
        <f>IF(AND(C111&gt;=1,C111&lt;anal_period),WorkingCap*SUM(N111:R111)-WorkingCap*SUM(N110:R110),IF(C111&lt;0,0,IF(B111="","",-SUM(J$65:J110))))</f>
        <v/>
      </c>
      <c r="K111" s="175" t="str">
        <f t="shared" si="28"/>
        <v/>
      </c>
      <c r="L111" s="175" t="str">
        <f t="shared" si="29"/>
        <v/>
      </c>
      <c r="M111" s="175" t="str">
        <f t="shared" si="30"/>
        <v/>
      </c>
      <c r="N111" s="175" t="str">
        <f t="shared" si="31"/>
        <v/>
      </c>
      <c r="O111" s="175" t="str">
        <f>IF(C111="","",IF(C111&lt;0,0,IF(AND(C111=1,start_time&lt;1),-(SUM(B278:E278)*output_kgyear*E111*percnt_var*start_time+SUM(B278:E278)*output_kgyear*E111*(1-start_time)),IF(C111&lt;=start_time,-SUM(B278:E278)*output_kgyear*E111*percnt_var,-SUM(B278:E278)*output_kgyear*E111))))</f>
        <v/>
      </c>
      <c r="P111" s="175" t="str">
        <f t="shared" si="33"/>
        <v/>
      </c>
      <c r="Q111" s="175" t="str">
        <f>IF(C111="","",IF(C111&lt;0,0,IF(AND(C111=1,start_time&lt;1),SUM(K278:N278,T278:V278)*output_kgyear*E111*percnt_revs*start_time+SUM(K278:N278,T278:V278)*output_kgyear*E111*(1-start_time),IF(C111&lt;=start_time,SUM(K278:N278,T278:V278)*output_kgyear*E111*percnt_revs,SUM(K278:N278,T278:V278)*output_kgyear*E111))))</f>
        <v/>
      </c>
      <c r="R111" s="175"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75" t="str">
        <f>IF(B111="","",IF($B$31=0,"",-'Debt Financing Calculations'!E60))</f>
        <v/>
      </c>
      <c r="T111" s="175" t="str">
        <f t="shared" si="35"/>
        <v/>
      </c>
      <c r="U111" s="175" t="str">
        <f>IF(C111="","",IF(C111&lt;-1,0,IF(C111=anal_period,-LOOKUP(C111,depr_yr,depr_cost)-Depreciation!$C$141-Depreciation!$B$166,-LOOKUP(C111,depr_yr,depr_cost))))</f>
        <v/>
      </c>
      <c r="V111" s="175" t="str">
        <f t="shared" si="36"/>
        <v/>
      </c>
      <c r="W111" s="176" t="str">
        <f t="shared" si="37"/>
        <v/>
      </c>
      <c r="X111" s="175" t="str">
        <f t="shared" si="38"/>
        <v/>
      </c>
      <c r="Y111" s="175" t="str">
        <f t="shared" si="39"/>
        <v/>
      </c>
      <c r="Z111" s="175" t="str">
        <f>IF(C111="","",IF($B$31=0,"",-'Debt Financing Calculations'!F60))</f>
        <v/>
      </c>
      <c r="AA111" s="175" t="str">
        <f t="shared" si="40"/>
        <v/>
      </c>
      <c r="AB111" s="175" t="str">
        <f t="shared" si="23"/>
        <v/>
      </c>
      <c r="AC111" s="1067" t="str">
        <f t="shared" si="41"/>
        <v/>
      </c>
      <c r="AE111" s="1071" t="str">
        <f t="shared" si="42"/>
        <v/>
      </c>
      <c r="AF111" s="1067" t="str">
        <f t="shared" si="43"/>
        <v/>
      </c>
    </row>
    <row r="112" spans="1:32">
      <c r="A112" s="53" t="str">
        <f t="shared" si="21"/>
        <v/>
      </c>
      <c r="B112" s="173" t="str">
        <f>IF(MAX($B$65:B111)&lt;(construct+anal_period),B111+1,"")</f>
        <v/>
      </c>
      <c r="C112" s="173" t="str">
        <f t="shared" si="22"/>
        <v/>
      </c>
      <c r="D112" s="173" t="str">
        <f t="shared" si="25"/>
        <v/>
      </c>
      <c r="E112" s="174" t="str">
        <f t="shared" si="26"/>
        <v/>
      </c>
      <c r="F112" s="54" t="str">
        <f t="shared" si="27"/>
        <v/>
      </c>
      <c r="G112" s="1080"/>
      <c r="H112" s="1089" t="str">
        <f t="shared" si="24"/>
        <v/>
      </c>
      <c r="I112" s="175" t="str">
        <f>IF(OR(C112&lt;0,C112=""),"",-E112*INDEX('Replacement Costs'!$A$16:$H$57,MATCH(C112,'Replacement Costs'!$C$16:$C$57,0),MATCH("Total Yearly Replacement Costs",'Replacement Costs'!$A$16:$H$16,0)))</f>
        <v/>
      </c>
      <c r="J112" s="175" t="str">
        <f>IF(AND(C112&gt;=1,C112&lt;anal_period),WorkingCap*SUM(N112:R112)-WorkingCap*SUM(N111:R111),IF(C112&lt;0,0,IF(B112="","",-SUM(J$65:J111))))</f>
        <v/>
      </c>
      <c r="K112" s="175" t="str">
        <f t="shared" si="28"/>
        <v/>
      </c>
      <c r="L112" s="175" t="str">
        <f t="shared" si="29"/>
        <v/>
      </c>
      <c r="M112" s="175" t="str">
        <f t="shared" si="30"/>
        <v/>
      </c>
      <c r="N112" s="175" t="str">
        <f t="shared" si="31"/>
        <v/>
      </c>
      <c r="O112" s="175" t="str">
        <f>IF(C112="","",IF(C112&lt;0,0,IF(AND(C112=1,start_time&lt;1),-(SUM(B279:E279)*output_kgyear*E112*percnt_var*start_time+SUM(B279:E279)*output_kgyear*E112*(1-start_time)),IF(C112&lt;=start_time,-SUM(B279:E279)*output_kgyear*E112*percnt_var,-SUM(B279:E279)*output_kgyear*E112))))</f>
        <v/>
      </c>
      <c r="P112" s="175" t="str">
        <f t="shared" si="33"/>
        <v/>
      </c>
      <c r="Q112" s="175" t="str">
        <f>IF(C112="","",IF(C112&lt;0,0,IF(AND(C112=1,start_time&lt;1),SUM(K279:N279,T279:V279)*output_kgyear*E112*percnt_revs*start_time+SUM(K279:N279,T279:V279)*output_kgyear*E112*(1-start_time),IF(C112&lt;=start_time,SUM(K279:N279,T279:V279)*output_kgyear*E112*percnt_revs,SUM(K279:N279,T279:V279)*output_kgyear*E112))))</f>
        <v/>
      </c>
      <c r="R112" s="175"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75" t="str">
        <f>IF(B112="","",IF($B$31=0,"",-'Debt Financing Calculations'!E61))</f>
        <v/>
      </c>
      <c r="T112" s="175" t="str">
        <f t="shared" si="35"/>
        <v/>
      </c>
      <c r="U112" s="175" t="str">
        <f>IF(C112="","",IF(C112&lt;-1,0,IF(C112=anal_period,-LOOKUP(C112,depr_yr,depr_cost)-Depreciation!$C$141-Depreciation!$B$166,-LOOKUP(C112,depr_yr,depr_cost))))</f>
        <v/>
      </c>
      <c r="V112" s="175" t="str">
        <f t="shared" si="36"/>
        <v/>
      </c>
      <c r="W112" s="176" t="str">
        <f t="shared" si="37"/>
        <v/>
      </c>
      <c r="X112" s="175" t="str">
        <f t="shared" si="38"/>
        <v/>
      </c>
      <c r="Y112" s="175" t="str">
        <f t="shared" si="39"/>
        <v/>
      </c>
      <c r="Z112" s="175" t="str">
        <f>IF(C112="","",IF($B$31=0,"",-'Debt Financing Calculations'!F61))</f>
        <v/>
      </c>
      <c r="AA112" s="175" t="str">
        <f t="shared" si="40"/>
        <v/>
      </c>
      <c r="AB112" s="175" t="str">
        <f t="shared" si="23"/>
        <v/>
      </c>
      <c r="AC112" s="1067" t="str">
        <f t="shared" si="41"/>
        <v/>
      </c>
      <c r="AE112" s="1071" t="str">
        <f t="shared" si="42"/>
        <v/>
      </c>
      <c r="AF112" s="1067" t="str">
        <f t="shared" si="43"/>
        <v/>
      </c>
    </row>
    <row r="113" spans="1:33" ht="13.5" thickBot="1">
      <c r="A113" s="56" t="str">
        <f t="shared" si="21"/>
        <v/>
      </c>
      <c r="B113" s="177" t="str">
        <f>IF(MAX($B$65:B112)&lt;(construct+anal_period),B112+1,"")</f>
        <v/>
      </c>
      <c r="C113" s="177" t="str">
        <f t="shared" si="22"/>
        <v/>
      </c>
      <c r="D113" s="177" t="str">
        <f t="shared" si="25"/>
        <v/>
      </c>
      <c r="E113" s="1074" t="str">
        <f t="shared" si="26"/>
        <v/>
      </c>
      <c r="F113" s="1075" t="str">
        <f t="shared" si="27"/>
        <v/>
      </c>
      <c r="G113" s="1082"/>
      <c r="H113" s="1091" t="str">
        <f t="shared" si="24"/>
        <v/>
      </c>
      <c r="I113" s="1076" t="str">
        <f>IF(OR(C113&lt;0,C113=""),"",-E113*INDEX('Replacement Costs'!$A$16:$H$57,MATCH(C113,'Replacement Costs'!$C$16:$C$57,0),MATCH("Total Yearly Replacement Costs",'Replacement Costs'!$A$16:$H$16,0)))</f>
        <v/>
      </c>
      <c r="J113" s="1076" t="str">
        <f>IF(AND(C113&gt;=1,C113&lt;anal_period),WorkingCap*SUM(N113:R113)-WorkingCap*SUM(N112:R112),IF(C113&lt;0,0,IF(B113="","",-SUM(J$65:J112))))</f>
        <v/>
      </c>
      <c r="K113" s="1076" t="str">
        <f t="shared" si="28"/>
        <v/>
      </c>
      <c r="L113" s="1076" t="str">
        <f t="shared" si="29"/>
        <v/>
      </c>
      <c r="M113" s="1076" t="str">
        <f t="shared" si="30"/>
        <v/>
      </c>
      <c r="N113" s="1076" t="str">
        <f t="shared" si="31"/>
        <v/>
      </c>
      <c r="O113" s="1076" t="str">
        <f>IF(C113="","",IF(C113&lt;0,0,IF(AND(C113=1,start_time&lt;1),-(SUM(B280:E280)*output_kgyear*E113*percnt_var*start_time+SUM(B280:E280)*output_kgyear*E113*(1-start_time)),IF(C113&lt;=start_time,-SUM(B280:E280)*output_kgyear*E113*percnt_var,-SUM(B280:E280)*output_kgyear*E113))))</f>
        <v/>
      </c>
      <c r="P113" s="1076" t="str">
        <f t="shared" si="33"/>
        <v/>
      </c>
      <c r="Q113" s="1076" t="str">
        <f>IF(C113="","",IF(C113&lt;0,0,IF(AND(C113=1,start_time&lt;1),SUM(K280:N280,T280:V280)*output_kgyear*E113*percnt_revs*start_time+SUM(K280:N280,T280:V280)*output_kgyear*E113*(1-start_time),IF(C113&lt;=start_time,SUM(K280:N280,T280:V280)*output_kgyear*E113*percnt_revs,SUM(K280:N280,T280:V280)*output_kgyear*E113))))</f>
        <v/>
      </c>
      <c r="R113" s="1076"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076" t="str">
        <f>IF(B113="","",IF($B$31=0,"",-'Debt Financing Calculations'!E62))</f>
        <v/>
      </c>
      <c r="T113" s="1076" t="str">
        <f t="shared" si="35"/>
        <v/>
      </c>
      <c r="U113" s="1076" t="str">
        <f>IF(C113="","",IF(C113&lt;-1,0,IF(C113=anal_period,-LOOKUP(C113,depr_yr,depr_cost)-Depreciation!$C$141-Depreciation!$B$166,-LOOKUP(C113,depr_yr,depr_cost))))</f>
        <v/>
      </c>
      <c r="V113" s="1076" t="str">
        <f t="shared" si="36"/>
        <v/>
      </c>
      <c r="W113" s="1077" t="str">
        <f t="shared" si="37"/>
        <v/>
      </c>
      <c r="X113" s="1076" t="str">
        <f t="shared" si="38"/>
        <v/>
      </c>
      <c r="Y113" s="1076" t="str">
        <f t="shared" si="39"/>
        <v/>
      </c>
      <c r="Z113" s="1076" t="str">
        <f>IF(C113="","",IF($B$31=0,"",-'Debt Financing Calculations'!F62))</f>
        <v/>
      </c>
      <c r="AA113" s="1076" t="str">
        <f t="shared" si="40"/>
        <v/>
      </c>
      <c r="AB113" s="1076" t="str">
        <f t="shared" si="23"/>
        <v/>
      </c>
      <c r="AC113" s="1078" t="str">
        <f t="shared" si="41"/>
        <v/>
      </c>
      <c r="AE113" s="1073" t="str">
        <f t="shared" si="42"/>
        <v/>
      </c>
      <c r="AF113" s="1069" t="str">
        <f t="shared" si="43"/>
        <v/>
      </c>
    </row>
    <row r="114" spans="1:33" ht="13.5" thickTop="1">
      <c r="E114" s="1092" t="s">
        <v>149</v>
      </c>
      <c r="F114" s="1093">
        <f t="shared" ref="F114:AC114" ca="1" si="44">SUM(F65:F113)</f>
        <v>5557589798.6289682</v>
      </c>
      <c r="G114" s="1093">
        <f t="shared" ca="1" si="44"/>
        <v>-49786317.197968736</v>
      </c>
      <c r="H114" s="1093">
        <f t="shared" ca="1" si="44"/>
        <v>-33190878.13197916</v>
      </c>
      <c r="I114" s="1093">
        <f t="shared" ca="1" si="44"/>
        <v>-92454099.223088384</v>
      </c>
      <c r="J114" s="1093">
        <f t="shared" ca="1" si="44"/>
        <v>0</v>
      </c>
      <c r="K114" s="1093">
        <f t="shared" ca="1" si="44"/>
        <v>-240764.05026768154</v>
      </c>
      <c r="L114" s="1093">
        <f t="shared" ca="1" si="44"/>
        <v>17667879.246057756</v>
      </c>
      <c r="M114" s="1093">
        <f t="shared" ca="1" si="44"/>
        <v>-17616762.994246218</v>
      </c>
      <c r="N114" s="1093">
        <f t="shared" ca="1" si="44"/>
        <v>-277056241.00350642</v>
      </c>
      <c r="O114" s="1093">
        <f t="shared" ca="1" si="44"/>
        <v>0</v>
      </c>
      <c r="P114" s="1093">
        <f t="shared" ca="1" si="44"/>
        <v>0</v>
      </c>
      <c r="Q114" s="1093">
        <f t="shared" ca="1" si="44"/>
        <v>0</v>
      </c>
      <c r="R114" s="1093">
        <f t="shared" ca="1" si="44"/>
        <v>-4941191483.2395725</v>
      </c>
      <c r="S114" s="1093">
        <f t="shared" ca="1" si="44"/>
        <v>-75525843.189318642</v>
      </c>
      <c r="T114" s="1093">
        <f t="shared" ca="1" si="44"/>
        <v>263867347.44838151</v>
      </c>
      <c r="U114" s="1093">
        <f t="shared" ca="1" si="44"/>
        <v>-175431294.55303618</v>
      </c>
      <c r="V114" s="1093">
        <f t="shared" ca="1" si="44"/>
        <v>88436052.895345286</v>
      </c>
      <c r="W114" s="1093">
        <f t="shared" si="44"/>
        <v>10.5534</v>
      </c>
      <c r="X114" s="1093">
        <f t="shared" ca="1" si="44"/>
        <v>-22763440.01526187</v>
      </c>
      <c r="Y114" s="1093">
        <f t="shared" ca="1" si="44"/>
        <v>241103907.43311962</v>
      </c>
      <c r="Z114" s="1093">
        <f t="shared" ca="1" si="44"/>
        <v>-49786317.197968736</v>
      </c>
      <c r="AA114" s="1093">
        <f t="shared" ca="1" si="44"/>
        <v>65431848.829815678</v>
      </c>
      <c r="AB114" s="1093">
        <f t="shared" ca="1" si="44"/>
        <v>1500288975.6393759</v>
      </c>
      <c r="AC114" s="1094">
        <f t="shared" ca="1" si="44"/>
        <v>88195288.845077589</v>
      </c>
    </row>
    <row r="115" spans="1:33" ht="13.5" thickBot="1">
      <c r="E115" s="1095" t="s">
        <v>150</v>
      </c>
      <c r="F115" s="1076">
        <f t="shared" ref="F115:AC115" ca="1" si="45">NPV(nominal_irr,F65:F113)</f>
        <v>969151766.4099406</v>
      </c>
      <c r="G115" s="1076">
        <f t="shared" ca="1" si="45"/>
        <v>-45238902.698695831</v>
      </c>
      <c r="H115" s="1076">
        <f t="shared" ca="1" si="45"/>
        <v>-30159268.465797223</v>
      </c>
      <c r="I115" s="1076">
        <f t="shared" ca="1" si="45"/>
        <v>-14127877.463634899</v>
      </c>
      <c r="J115" s="1076">
        <f t="shared" ca="1" si="45"/>
        <v>-12109210.181621937</v>
      </c>
      <c r="K115" s="1076">
        <f t="shared" ca="1" si="45"/>
        <v>-218772.98937564201</v>
      </c>
      <c r="L115" s="1076">
        <f t="shared" ca="1" si="45"/>
        <v>348071.85127188003</v>
      </c>
      <c r="M115" s="1076">
        <f t="shared" ca="1" si="45"/>
        <v>-347064.81878369435</v>
      </c>
      <c r="N115" s="1076">
        <f t="shared" ca="1" si="45"/>
        <v>-49080433.059068263</v>
      </c>
      <c r="O115" s="1076">
        <f t="shared" ca="1" si="45"/>
        <v>0</v>
      </c>
      <c r="P115" s="1076">
        <f t="shared" ca="1" si="45"/>
        <v>0</v>
      </c>
      <c r="Q115" s="1076">
        <f t="shared" ca="1" si="45"/>
        <v>0</v>
      </c>
      <c r="R115" s="1076">
        <f t="shared" ca="1" si="45"/>
        <v>-838525918.92396426</v>
      </c>
      <c r="S115" s="1076">
        <f t="shared" ca="1" si="45"/>
        <v>-17964613.652495041</v>
      </c>
      <c r="T115" s="1076">
        <f t="shared" ca="1" si="45"/>
        <v>63581807.806901343</v>
      </c>
      <c r="U115" s="1076">
        <f t="shared" ca="1" si="45"/>
        <v>-40326768.834705889</v>
      </c>
      <c r="V115" s="1076">
        <f t="shared" ca="1" si="45"/>
        <v>23255038.972195446</v>
      </c>
      <c r="W115" s="1076">
        <f t="shared" ca="1" si="45"/>
        <v>2.5102368370122896</v>
      </c>
      <c r="X115" s="1076">
        <f t="shared" ca="1" si="45"/>
        <v>-5985847.0314431051</v>
      </c>
      <c r="Y115" s="1076">
        <f t="shared" ca="1" si="45"/>
        <v>57595960.775458224</v>
      </c>
      <c r="Z115" s="1076">
        <f t="shared" ca="1" si="45"/>
        <v>-980831.67502815567</v>
      </c>
      <c r="AA115" s="1076">
        <f t="shared" ca="1" si="45"/>
        <v>3.6608541872257175E-7</v>
      </c>
      <c r="AB115" s="1076">
        <f t="shared" ca="1" si="45"/>
        <v>-12823931.592395468</v>
      </c>
      <c r="AC115" s="1078">
        <f t="shared" ca="1" si="45"/>
        <v>5985847.031443486</v>
      </c>
    </row>
    <row r="116" spans="1:33" ht="13.5" thickBot="1">
      <c r="D116" s="179"/>
      <c r="E116" s="1096" t="s">
        <v>1114</v>
      </c>
      <c r="F116" s="1097">
        <f t="shared" ref="F116:AC116" ca="1" si="46">+F65+NPV($X$59,F66:F113)</f>
        <v>1066570901.9694681</v>
      </c>
      <c r="G116" s="1097">
        <f t="shared" ca="1" si="46"/>
        <v>-49786317.197968736</v>
      </c>
      <c r="H116" s="1097">
        <f ca="1">+H65+NPV($X$59,H66:H113)</f>
        <v>-33190878.13197916</v>
      </c>
      <c r="I116" s="1097">
        <f t="shared" ca="1" si="46"/>
        <v>-15548011.706279481</v>
      </c>
      <c r="J116" s="1097">
        <f t="shared" ca="1" si="46"/>
        <v>-13326427.989078579</v>
      </c>
      <c r="K116" s="1097">
        <f t="shared" ca="1" si="46"/>
        <v>-240764.05026768154</v>
      </c>
      <c r="L116" s="1097">
        <f t="shared" ca="1" si="46"/>
        <v>383060.03376172937</v>
      </c>
      <c r="M116" s="1097">
        <f t="shared" ca="1" si="46"/>
        <v>-381951.77436783124</v>
      </c>
      <c r="N116" s="1097">
        <f t="shared" ca="1" si="46"/>
        <v>-54013998.190165833</v>
      </c>
      <c r="O116" s="1097">
        <f t="shared" ca="1" si="46"/>
        <v>0</v>
      </c>
      <c r="P116" s="1097">
        <f t="shared" ca="1" si="46"/>
        <v>0</v>
      </c>
      <c r="Q116" s="1097">
        <f t="shared" ca="1" si="46"/>
        <v>0</v>
      </c>
      <c r="R116" s="1097">
        <f t="shared" ca="1" si="46"/>
        <v>-922814544.29420102</v>
      </c>
      <c r="S116" s="1097">
        <f t="shared" ca="1" si="46"/>
        <v>-19770416.616843846</v>
      </c>
      <c r="T116" s="1097">
        <f t="shared" ca="1" si="46"/>
        <v>69973051.12765108</v>
      </c>
      <c r="U116" s="1097">
        <f t="shared" ca="1" si="46"/>
        <v>-44380415.637970537</v>
      </c>
      <c r="V116" s="1097">
        <f t="shared" ca="1" si="46"/>
        <v>25592635.489680521</v>
      </c>
      <c r="W116" s="1097">
        <f t="shared" ca="1" si="46"/>
        <v>2.762565843868765</v>
      </c>
      <c r="X116" s="1097">
        <f t="shared" ca="1" si="46"/>
        <v>-6587544.3750437666</v>
      </c>
      <c r="Y116" s="1097">
        <f t="shared" ca="1" si="46"/>
        <v>63385506.752607264</v>
      </c>
      <c r="Z116" s="1097">
        <f t="shared" ca="1" si="46"/>
        <v>-1079424.8750019858</v>
      </c>
      <c r="AA116" s="1097">
        <f t="shared" ca="1" si="46"/>
        <v>4.246830940246582E-7</v>
      </c>
      <c r="AB116" s="1097">
        <f t="shared" ca="1" si="46"/>
        <v>-14112993.196063023</v>
      </c>
      <c r="AC116" s="1098">
        <f t="shared" ca="1" si="46"/>
        <v>6587544.3750441596</v>
      </c>
      <c r="AD116" s="1099"/>
      <c r="AE116" s="1100">
        <f ca="1">+AE65+NPV(real_irr,AE66:AE113)</f>
        <v>229276848.22833523</v>
      </c>
      <c r="AF116" s="1101">
        <f ca="1">+AF65+NPV($X$59,AF66:AF113)</f>
        <v>0</v>
      </c>
      <c r="AG116" s="1102"/>
    </row>
    <row r="117" spans="1:33" ht="16.5" thickTop="1" thickBot="1">
      <c r="A117" s="44" t="s">
        <v>79</v>
      </c>
      <c r="B117" s="139"/>
      <c r="C117" s="139"/>
      <c r="D117" s="139"/>
      <c r="E117" s="1103" t="s">
        <v>1170</v>
      </c>
      <c r="F117" s="1117"/>
      <c r="G117" s="1117"/>
      <c r="H117" s="1117">
        <f ca="1">-H116/$AE$116*(1+inflation_rate)^construct/INFLATION_FACTOR</f>
        <v>0.15031658745447091</v>
      </c>
      <c r="I117" s="1117">
        <f ca="1">-I116/$AE$116*(1+inflation_rate)^construct/INFLATION_FACTOR</f>
        <v>7.0414649835320128E-2</v>
      </c>
      <c r="J117" s="1117">
        <f ca="1">-J116/$AE$116*(1+inflation_rate)^construct/INFLATION_FACTOR</f>
        <v>6.0353425128152526E-2</v>
      </c>
      <c r="K117" s="1117">
        <f ca="1">-K116/$AE$116*(1+inflation_rate)^construct/INFLATION_FACTOR</f>
        <v>1.0903848423065672E-3</v>
      </c>
      <c r="L117" s="1117"/>
      <c r="M117" s="1117">
        <f ca="1">-M116/$AE$116*(1+inflation_rate)^construct/INFLATION_FACTOR</f>
        <v>1.7298032027611462E-3</v>
      </c>
      <c r="N117" s="1117">
        <f ca="1">-N116/$AE$116*(1+inflation_rate)^construct/INFLATION_FACTOR</f>
        <v>0.2446214243091962</v>
      </c>
      <c r="O117" s="1117">
        <f ca="1">-O116/$AE$116*(1+inflation_rate)^construct/INFLATION_FACTOR</f>
        <v>0</v>
      </c>
      <c r="P117" s="1117">
        <f ca="1">-P116/$AE$116*(1+inflation_rate)^construct/INFLATION_FACTOR</f>
        <v>0</v>
      </c>
      <c r="Q117" s="1117"/>
      <c r="R117" s="1117">
        <f ca="1">-R116/$AE$116*(1+inflation_rate)^construct/INFLATION_FACTOR</f>
        <v>4.1792908461197591</v>
      </c>
      <c r="S117" s="1117">
        <f ca="1">-S116/$AE$116*(1+inflation_rate)^construct/INFLATION_FACTOR</f>
        <v>8.9537298367945398E-2</v>
      </c>
      <c r="T117" s="1117"/>
      <c r="U117" s="1117"/>
      <c r="V117" s="1117"/>
      <c r="W117" s="1117"/>
      <c r="X117" s="1117">
        <f ca="1">-X116/$AE$116*(1+inflation_rate)^construct/INFLATION_FACTOR</f>
        <v>2.983401602765693E-2</v>
      </c>
      <c r="Y117" s="1117"/>
      <c r="Z117" s="1117">
        <f ca="1">-Z116/$AE$116*(1+inflation_rate)^construct/INFLATION_FACTOR</f>
        <v>4.8885559152300768E-3</v>
      </c>
      <c r="AA117" s="1117"/>
      <c r="AB117" s="1117"/>
      <c r="AC117" s="1118"/>
      <c r="AD117" s="1119"/>
      <c r="AE117" s="1120"/>
      <c r="AF117" s="1120"/>
      <c r="AG117" s="1118">
        <f ca="1">+SUM(F117:AC117)</f>
        <v>4.8320769912027997</v>
      </c>
    </row>
    <row r="118" spans="1:33" ht="15" customHeight="1" thickTop="1" thickBot="1">
      <c r="A118" s="49" t="s">
        <v>80</v>
      </c>
      <c r="B118" s="51" t="s">
        <v>151</v>
      </c>
      <c r="C118" s="51" t="s">
        <v>152</v>
      </c>
      <c r="D118" s="1003" t="s">
        <v>153</v>
      </c>
      <c r="E118" s="1104" t="s">
        <v>1171</v>
      </c>
      <c r="F118" s="1121">
        <f ca="1">F116/$AE$116*(1+inflation_rate)^construct/INFLATION_FACTOR</f>
        <v>4.8303421688568458</v>
      </c>
      <c r="G118" s="1121"/>
      <c r="H118" s="1121"/>
      <c r="I118" s="1121"/>
      <c r="J118" s="1121"/>
      <c r="K118" s="1121"/>
      <c r="L118" s="1121">
        <f ca="1">L116/$AE$116*(1+inflation_rate)^construct/INFLATION_FACTOR</f>
        <v>1.7348223459559334E-3</v>
      </c>
      <c r="M118" s="1121"/>
      <c r="N118" s="1121"/>
      <c r="O118" s="1121"/>
      <c r="P118" s="1121"/>
      <c r="Q118" s="1121">
        <f ca="1">Q116/$AE$116*(1+inflation_rate)^construct/INFLATION_FACTOR</f>
        <v>0</v>
      </c>
      <c r="R118" s="1121"/>
      <c r="S118" s="1121"/>
      <c r="T118" s="1121"/>
      <c r="U118" s="1121"/>
      <c r="V118" s="1121"/>
      <c r="W118" s="1121"/>
      <c r="X118" s="1121"/>
      <c r="Y118" s="1121"/>
      <c r="Z118" s="1121"/>
      <c r="AA118" s="1121"/>
      <c r="AB118" s="1121"/>
      <c r="AC118" s="1122"/>
      <c r="AD118" s="1123"/>
      <c r="AE118" s="1124"/>
      <c r="AF118" s="1124"/>
      <c r="AG118" s="1122">
        <f ca="1">+SUM(F118:AC118)</f>
        <v>4.8320769912028014</v>
      </c>
    </row>
    <row r="119" spans="1:33" ht="15" customHeight="1">
      <c r="A119" s="182" t="s">
        <v>154</v>
      </c>
      <c r="B119" s="175">
        <f ca="1">(SUM(H115:K115)+L115*(1-total_tax_rate)+S115*(1-total_tax_rate)+U115*(-total_tax_rate)+Z115)/(1-total_tax_rate)</f>
        <v>-81198349.608124003</v>
      </c>
      <c r="C119" s="183">
        <f t="shared" ref="C119:C125" ca="1" si="47">B119/SUM($B$118:$B$125)</f>
        <v>8.3782904207985537E-2</v>
      </c>
      <c r="D119" s="184">
        <f t="shared" ref="D119:D125" ca="1" si="48">H2_price_real*C119</f>
        <v>0.40470009522512584</v>
      </c>
      <c r="E119" s="180"/>
    </row>
    <row r="120" spans="1:33" ht="15" customHeight="1">
      <c r="A120" s="182" t="s">
        <v>84</v>
      </c>
      <c r="B120" s="175">
        <f ca="1">M115</f>
        <v>-347064.81878369435</v>
      </c>
      <c r="C120" s="183">
        <f t="shared" ca="1" si="47"/>
        <v>3.5811193954620504E-4</v>
      </c>
      <c r="D120" s="184">
        <f t="shared" ca="1" si="48"/>
        <v>1.729803202761146E-3</v>
      </c>
      <c r="E120" s="180"/>
      <c r="V120" s="141"/>
    </row>
    <row r="121" spans="1:33" ht="15" customHeight="1">
      <c r="A121" s="182" t="s">
        <v>85</v>
      </c>
      <c r="B121" s="175">
        <f ca="1">N115</f>
        <v>-49080433.059068263</v>
      </c>
      <c r="C121" s="183">
        <f t="shared" ca="1" si="47"/>
        <v>5.064266997198847E-2</v>
      </c>
      <c r="D121" s="184">
        <f t="shared" ca="1" si="48"/>
        <v>0.24462142430919601</v>
      </c>
      <c r="E121" s="180"/>
      <c r="V121" s="141"/>
    </row>
    <row r="122" spans="1:33" ht="15" customHeight="1">
      <c r="A122" s="182" t="s">
        <v>1000</v>
      </c>
      <c r="B122" s="175">
        <f ca="1">O115</f>
        <v>0</v>
      </c>
      <c r="C122" s="183">
        <f t="shared" ca="1" si="47"/>
        <v>0</v>
      </c>
      <c r="D122" s="184">
        <f t="shared" ca="1" si="48"/>
        <v>0</v>
      </c>
      <c r="E122" s="180"/>
      <c r="V122" s="141"/>
    </row>
    <row r="123" spans="1:33" ht="15" customHeight="1">
      <c r="A123" s="182" t="s">
        <v>86</v>
      </c>
      <c r="B123" s="175">
        <f ca="1">P115</f>
        <v>0</v>
      </c>
      <c r="C123" s="183">
        <f t="shared" ca="1" si="47"/>
        <v>0</v>
      </c>
      <c r="D123" s="184">
        <f t="shared" ca="1" si="48"/>
        <v>0</v>
      </c>
      <c r="E123" s="180"/>
      <c r="V123" s="141"/>
    </row>
    <row r="124" spans="1:33" ht="15" customHeight="1">
      <c r="A124" s="182" t="s">
        <v>87</v>
      </c>
      <c r="B124" s="175">
        <f ca="1">Q115</f>
        <v>0</v>
      </c>
      <c r="C124" s="183">
        <f t="shared" ca="1" si="47"/>
        <v>0</v>
      </c>
      <c r="D124" s="184">
        <f t="shared" ca="1" si="48"/>
        <v>0</v>
      </c>
      <c r="E124" s="180"/>
      <c r="V124" s="141"/>
    </row>
    <row r="125" spans="1:33" ht="29.25" customHeight="1" thickBot="1">
      <c r="A125" s="185" t="s">
        <v>88</v>
      </c>
      <c r="B125" s="178">
        <f ca="1">R115</f>
        <v>-838525918.92396426</v>
      </c>
      <c r="C125" s="186">
        <f t="shared" ca="1" si="47"/>
        <v>0.86521631388047981</v>
      </c>
      <c r="D125" s="187">
        <f t="shared" ca="1" si="48"/>
        <v>4.1792908461197582</v>
      </c>
      <c r="E125" s="180"/>
      <c r="V125" s="141"/>
    </row>
    <row r="126" spans="1:33" ht="15" customHeight="1" thickTop="1">
      <c r="D126" s="179"/>
      <c r="E126" s="180"/>
      <c r="K126"/>
      <c r="L126"/>
      <c r="M126"/>
      <c r="V126" s="141"/>
    </row>
    <row r="127" spans="1:33" ht="15" customHeight="1">
      <c r="D127" s="179"/>
      <c r="E127" s="180"/>
      <c r="K127"/>
      <c r="L127"/>
      <c r="M127"/>
      <c r="V127" s="141"/>
    </row>
    <row r="128" spans="1:33" ht="42.75" customHeight="1" thickBot="1">
      <c r="A128" s="214" t="s">
        <v>260</v>
      </c>
      <c r="B128" s="397">
        <f>(1+inflation_rate)^(startup_year-ref_year)</f>
        <v>0.9813542688910698</v>
      </c>
      <c r="P128" s="780"/>
    </row>
    <row r="129" spans="1:22" ht="51.75" customHeight="1" thickBot="1">
      <c r="A129" s="188" t="s">
        <v>155</v>
      </c>
      <c r="B129" s="189"/>
      <c r="C129" s="189"/>
      <c r="D129" s="189"/>
      <c r="E129" s="189"/>
      <c r="F129" s="189"/>
      <c r="G129" s="189"/>
      <c r="H129" s="189"/>
      <c r="I129" s="189"/>
      <c r="J129" s="189"/>
      <c r="K129" s="189"/>
      <c r="L129" s="189"/>
      <c r="M129" s="189"/>
      <c r="N129" s="189"/>
      <c r="O129" s="189"/>
      <c r="P129" s="779"/>
      <c r="Q129" s="189"/>
      <c r="R129" s="189"/>
      <c r="S129" s="189"/>
      <c r="T129" s="189"/>
      <c r="U129" s="189"/>
      <c r="V129" s="222"/>
    </row>
    <row r="130" spans="1:22" ht="31.9" customHeight="1" thickTop="1" thickBot="1">
      <c r="A130" s="354"/>
      <c r="B130" s="190" t="s">
        <v>67</v>
      </c>
      <c r="C130" s="216"/>
      <c r="D130" s="216"/>
      <c r="E130" s="139"/>
      <c r="F130" s="191" t="s">
        <v>68</v>
      </c>
      <c r="G130" s="216"/>
      <c r="H130" s="216"/>
      <c r="I130" s="217"/>
      <c r="J130" s="567" t="s">
        <v>998</v>
      </c>
      <c r="K130" s="219" t="s">
        <v>69</v>
      </c>
      <c r="L130" s="139"/>
      <c r="M130" s="139"/>
      <c r="N130" s="181"/>
      <c r="O130" s="375" t="s">
        <v>70</v>
      </c>
      <c r="P130" s="380"/>
      <c r="Q130" s="380"/>
      <c r="R130" s="381"/>
      <c r="S130" s="190" t="s">
        <v>73</v>
      </c>
      <c r="T130" s="391"/>
      <c r="U130" s="391"/>
      <c r="V130" s="392"/>
    </row>
    <row r="131" spans="1:22" ht="30.75" customHeight="1" thickTop="1" thickBot="1">
      <c r="A131" s="355" t="s">
        <v>262</v>
      </c>
      <c r="B131" s="357"/>
      <c r="C131" s="358"/>
      <c r="D131" s="358"/>
      <c r="E131" s="358"/>
      <c r="F131" s="359" t="str">
        <f>Input_Sheet_Template!$B$76</f>
        <v>Industrial Electricity</v>
      </c>
      <c r="G131" s="358"/>
      <c r="H131" s="358"/>
      <c r="I131" s="360"/>
      <c r="J131" s="575" t="str">
        <f ca="1">IF(CO2_CashFlow_eUse&gt;0,'HyARC Physical Property Data'!A77,"")</f>
        <v/>
      </c>
      <c r="K131" s="569"/>
      <c r="L131" s="361"/>
      <c r="M131" s="361"/>
      <c r="N131" s="362"/>
      <c r="O131" s="376" t="s">
        <v>71</v>
      </c>
      <c r="P131" s="382" t="str">
        <f>Input_Sheet_Template!$B$136</f>
        <v>Process Water</v>
      </c>
      <c r="Q131" s="382"/>
      <c r="R131" s="383"/>
      <c r="S131" s="376" t="s">
        <v>71</v>
      </c>
      <c r="T131" s="382"/>
      <c r="U131" s="382"/>
      <c r="V131" s="383"/>
    </row>
    <row r="132" spans="1:22" ht="31.5" customHeight="1" thickBot="1">
      <c r="A132" s="356" t="s">
        <v>929</v>
      </c>
      <c r="B132" s="363"/>
      <c r="C132" s="364"/>
      <c r="D132" s="364"/>
      <c r="E132" s="364"/>
      <c r="F132" s="365">
        <f>Input_Sheet_Template!$C$76</f>
        <v>3.5999999999999995E-3</v>
      </c>
      <c r="G132" s="364"/>
      <c r="H132" s="364"/>
      <c r="I132" s="366"/>
      <c r="J132" s="576">
        <f ca="1">IF(J131="",0,VLOOKUP(J131,MASTER_PROPERTY_TABLE,9,FALSE))</f>
        <v>0</v>
      </c>
      <c r="K132" s="570"/>
      <c r="L132" s="367"/>
      <c r="M132" s="367"/>
      <c r="N132" s="368"/>
      <c r="O132" s="377" t="s">
        <v>263</v>
      </c>
      <c r="P132" s="781">
        <f>Input_Sheet_Template!$D$136</f>
        <v>3.78</v>
      </c>
      <c r="Q132" s="781"/>
      <c r="R132" s="782"/>
      <c r="S132" s="377" t="s">
        <v>263</v>
      </c>
      <c r="T132" s="384"/>
      <c r="U132" s="384"/>
      <c r="V132" s="385"/>
    </row>
    <row r="133" spans="1:22" ht="16.5" customHeight="1" thickBot="1">
      <c r="A133" s="356" t="s">
        <v>263</v>
      </c>
      <c r="B133" s="363"/>
      <c r="C133" s="364"/>
      <c r="D133" s="364"/>
      <c r="E133" s="364"/>
      <c r="F133" s="365">
        <f>utilityIndustrial_Electricity_Usage</f>
        <v>55.5</v>
      </c>
      <c r="G133" s="364"/>
      <c r="H133" s="364"/>
      <c r="I133" s="366"/>
      <c r="J133" s="576">
        <f ca="1" xml:space="preserve"> CO2_eUse_kWhpkg</f>
        <v>0</v>
      </c>
      <c r="K133" s="570"/>
      <c r="L133" s="367"/>
      <c r="M133" s="367"/>
      <c r="N133" s="368"/>
      <c r="O133" s="377" t="s">
        <v>72</v>
      </c>
      <c r="P133" s="384">
        <f>Input_Sheet_Template!$C$136</f>
        <v>2.374951094500801E-3</v>
      </c>
      <c r="Q133" s="384"/>
      <c r="R133" s="385"/>
      <c r="S133" s="377" t="s">
        <v>74</v>
      </c>
      <c r="T133" s="384"/>
      <c r="U133" s="384"/>
      <c r="V133" s="385"/>
    </row>
    <row r="134" spans="1:22" ht="16.5" customHeight="1" thickBot="1">
      <c r="A134" s="356" t="s">
        <v>264</v>
      </c>
      <c r="B134" s="363"/>
      <c r="C134" s="364"/>
      <c r="D134" s="364"/>
      <c r="E134" s="364"/>
      <c r="F134" s="365">
        <f>utilityIndustrial_Electricity_Price</f>
        <v>6.9980611257164108E-2</v>
      </c>
      <c r="G134" s="364"/>
      <c r="H134" s="364"/>
      <c r="I134" s="366"/>
      <c r="J134" s="576">
        <f ca="1">IF(J131="",0,CO2_eCost)</f>
        <v>0</v>
      </c>
      <c r="K134" s="570"/>
      <c r="L134" s="367"/>
      <c r="M134" s="367"/>
      <c r="N134" s="368"/>
      <c r="O134" s="378" t="s">
        <v>265</v>
      </c>
      <c r="P134" s="386" t="str">
        <f>Input_Sheet_Template!$F$136</f>
        <v>Yes</v>
      </c>
      <c r="Q134" s="386"/>
      <c r="R134" s="387"/>
      <c r="S134" s="378" t="s">
        <v>265</v>
      </c>
      <c r="T134" s="393"/>
      <c r="U134" s="393"/>
      <c r="V134" s="394"/>
    </row>
    <row r="135" spans="1:22" ht="16.5" customHeight="1" thickBot="1">
      <c r="A135" s="398" t="s">
        <v>265</v>
      </c>
      <c r="B135" s="369"/>
      <c r="C135" s="370"/>
      <c r="D135" s="370"/>
      <c r="E135" s="370"/>
      <c r="F135" s="371" t="str">
        <f>Input_Sheet_Template!$G$76</f>
        <v>yes</v>
      </c>
      <c r="G135" s="370"/>
      <c r="H135" s="370"/>
      <c r="I135" s="372"/>
      <c r="J135" s="577" t="str">
        <f ca="1">IF(J131="","","yes")</f>
        <v/>
      </c>
      <c r="K135" s="571"/>
      <c r="L135" s="373"/>
      <c r="M135" s="373"/>
      <c r="N135" s="374"/>
      <c r="O135" s="379"/>
      <c r="P135" s="388"/>
      <c r="Q135" s="388"/>
      <c r="R135" s="389"/>
      <c r="S135" s="390"/>
      <c r="T135" s="395"/>
      <c r="U135" s="395"/>
      <c r="V135" s="396"/>
    </row>
    <row r="136" spans="1:22" ht="30" customHeight="1" thickBot="1">
      <c r="A136" s="356" t="s">
        <v>529</v>
      </c>
      <c r="B136" s="509">
        <f>IF(B131="",0,VLOOKUP(B131,MASTER_PROPERTY_TABLE,11,FALSE)*B132*B133)</f>
        <v>0</v>
      </c>
      <c r="C136" s="510">
        <f>IF(C131="",0,VLOOKUP(C131,MASTER_PROPERTY_TABLE,11,FALSE)*C132*C133)</f>
        <v>0</v>
      </c>
      <c r="D136" s="510">
        <f>IF(D131="",0,VLOOKUP(D131,MASTER_PROPERTY_TABLE,11,FALSE)*D132*D133)</f>
        <v>0</v>
      </c>
      <c r="E136" s="511">
        <f>IF(E131="",0,VLOOKUP(E131,MASTER_PROPERTY_TABLE,11,FALSE)*E132*E133)</f>
        <v>0</v>
      </c>
      <c r="F136" s="509">
        <f ca="1">IF(F131="",,VLOOKUP(F131,MASTER_PROPERTY_TABLE,11,FALSE)*F132*F133)</f>
        <v>0</v>
      </c>
      <c r="G136" s="510">
        <f>IF(G131="",,VLOOKUP(G131,MASTER_PROPERTY_TABLE,11,FALSE)*G132*G133)</f>
        <v>0</v>
      </c>
      <c r="H136" s="510">
        <f>IF(H131="",,VLOOKUP(H131,MASTER_PROPERTY_TABLE,11,FALSE)*H132*H133)</f>
        <v>0</v>
      </c>
      <c r="I136" s="510">
        <f>IF(I131="",,VLOOKUP(I131,MASTER_PROPERTY_TABLE,11,FALSE)*I132*I133)</f>
        <v>0</v>
      </c>
      <c r="J136" s="511">
        <f ca="1">IF($J$131="",0,VLOOKUP($J$131,MASTER_PROPERTY_TABLE,12,FALSE)*$J$132*$J$133)</f>
        <v>0</v>
      </c>
      <c r="K136" s="364"/>
      <c r="L136" s="367"/>
      <c r="M136" s="367"/>
      <c r="N136" s="368"/>
      <c r="O136" s="401"/>
      <c r="P136" s="399"/>
      <c r="Q136" s="399"/>
      <c r="R136" s="400"/>
      <c r="S136" s="402"/>
      <c r="T136" s="403"/>
      <c r="U136" s="403"/>
      <c r="V136" s="404"/>
    </row>
    <row r="137" spans="1:22" ht="30" customHeight="1" thickBot="1">
      <c r="A137" s="508" t="s">
        <v>930</v>
      </c>
      <c r="B137" s="405">
        <f>IF(B131="",0,IF(VLOOKUP(B131,MASTER_PROPERTY_TABLE,12,FALSE)="English",mmBTU_to_GJ,1))</f>
        <v>0</v>
      </c>
      <c r="C137" s="406">
        <f>IF(C131="",0,IF(VLOOKUP(C131,MASTER_PROPERTY_TABLE,12,FALSE)="English",mmBTU_to_GJ,1))</f>
        <v>0</v>
      </c>
      <c r="D137" s="406">
        <f>IF(D131="",0,IF(VLOOKUP(D131,MASTER_PROPERTY_TABLE,12,FALSE)="English",mmBTU_to_GJ,1))</f>
        <v>0</v>
      </c>
      <c r="E137" s="407">
        <f>IF(E131="",,IF(VLOOKUP(E131,MASTER_PROPERTY_TABLE,12,FALSE)="English",mmBTU_to_GJ,1))</f>
        <v>0</v>
      </c>
      <c r="F137" s="405">
        <f ca="1">IF(F131="",,IF(VLOOKUP(F131,MASTER_PROPERTY_TABLE,12,FALSE)="English",mmBTU_to_GJ,1))</f>
        <v>1</v>
      </c>
      <c r="G137" s="406">
        <f>IF(G131="",,IF(VLOOKUP(G131,MASTER_PROPERTY_TABLE,12,FALSE)="English",mmBTU_to_GJ,1))</f>
        <v>0</v>
      </c>
      <c r="H137" s="406">
        <f>IF(H131="",,IF(VLOOKUP(H131,MASTER_PROPERTY_TABLE,12,FALSE)="English",mmBTU_to_GJ,1))</f>
        <v>0</v>
      </c>
      <c r="I137" s="406">
        <f>IF(I131="",,IF(VLOOKUP(I131,MASTER_PROPERTY_TABLE,12,FALSE)="English",mmBTU_to_GJ,1))</f>
        <v>0</v>
      </c>
      <c r="J137" s="407">
        <f ca="1">IF($J$131="",0,IF(VLOOKUP($J$131,MASTER_PROPERTY_TABLE,12,FALSE)="English",mmBTU_to_GJ,1))</f>
        <v>0</v>
      </c>
      <c r="K137" s="406">
        <f>IF(K131="",,IF(VLOOKUP(K131,MASTER_PROPERTY_TABLE,12,FALSE)="English",mmBTU_to_GJ,1))</f>
        <v>0</v>
      </c>
      <c r="L137" s="406">
        <f>IF(L131="",,IF(VLOOKUP(L131,MASTER_PROPERTY_TABLE,12,FALSE)="English",mmBTU_to_GJ,1))</f>
        <v>0</v>
      </c>
      <c r="M137" s="406">
        <f>IF(M131="",,IF(VLOOKUP(M131,MASTER_PROPERTY_TABLE,12,FALSE)="English",mmBTU_to_GJ,1))</f>
        <v>0</v>
      </c>
      <c r="N137" s="406">
        <f>IF(N131="",,IF(VLOOKUP(N131,MASTER_PROPERTY_TABLE,12,FALSE)="English",mmBTU_to_GJ,1))</f>
        <v>0</v>
      </c>
      <c r="O137" s="507"/>
      <c r="P137" s="505"/>
      <c r="Q137" s="505"/>
      <c r="R137" s="506"/>
      <c r="S137" s="390"/>
      <c r="T137" s="395"/>
      <c r="U137" s="395"/>
      <c r="V137" s="396"/>
    </row>
    <row r="138" spans="1:22" ht="38.25" customHeight="1" thickTop="1">
      <c r="A138" s="192" t="s">
        <v>1030</v>
      </c>
      <c r="B138" s="223" t="str">
        <f t="shared" ref="B138:N138" si="49">IF(B$131="","",B$131&amp;" ($/kg of H2)")</f>
        <v/>
      </c>
      <c r="C138" s="223" t="str">
        <f t="shared" si="49"/>
        <v/>
      </c>
      <c r="D138" s="223" t="str">
        <f t="shared" si="49"/>
        <v/>
      </c>
      <c r="E138" s="223" t="str">
        <f t="shared" si="49"/>
        <v/>
      </c>
      <c r="F138" s="223" t="str">
        <f t="shared" si="49"/>
        <v>Industrial Electricity ($/kg of H2)</v>
      </c>
      <c r="G138" s="223" t="str">
        <f t="shared" si="49"/>
        <v/>
      </c>
      <c r="H138" s="223" t="str">
        <f t="shared" si="49"/>
        <v/>
      </c>
      <c r="I138" s="568" t="str">
        <f t="shared" si="49"/>
        <v/>
      </c>
      <c r="J138" s="574"/>
      <c r="K138" s="572" t="str">
        <f t="shared" si="49"/>
        <v/>
      </c>
      <c r="L138" s="223" t="str">
        <f t="shared" si="49"/>
        <v/>
      </c>
      <c r="M138" s="223" t="str">
        <f t="shared" si="49"/>
        <v/>
      </c>
      <c r="N138" s="223" t="str">
        <f t="shared" si="49"/>
        <v/>
      </c>
      <c r="O138" s="223"/>
      <c r="P138" s="223" t="str">
        <f>IF(P$131="","",P$131&amp;" ($/kg of H2)")</f>
        <v>Process Water ($/kg of H2)</v>
      </c>
      <c r="Q138" s="223" t="str">
        <f>IF(Q$131="","",Q$131&amp;" ($/kg of H2)")</f>
        <v/>
      </c>
      <c r="R138" s="223" t="str">
        <f>IF(R$131="","",R$131&amp;" ($/kg of H2)")</f>
        <v/>
      </c>
      <c r="S138" s="224"/>
      <c r="T138" s="223" t="str">
        <f>IF(T$131="","",T$131&amp;" ($/kg of H2)")</f>
        <v/>
      </c>
      <c r="U138" s="223" t="str">
        <f>IF(U$131="","",U$131&amp;" ($/kg of H2)")</f>
        <v/>
      </c>
      <c r="V138" s="223" t="str">
        <f>IF(V$131="","",V$131&amp;" ($/kg of H2)")</f>
        <v/>
      </c>
    </row>
    <row r="139" spans="1:22" ht="15" customHeight="1">
      <c r="A139" s="193">
        <f t="shared" ref="A139:A182" si="50">IF(A65="","",A65)</f>
        <v>2014</v>
      </c>
      <c r="B139" s="195" t="str">
        <f>IF($A139="","",IF($B$131="","",IF($B$135="no",INFLATION_FACTOR*$B$133*$B$134,INFLATION_FACTOR*$B$133*$B$132*INDEX(FEEDPRICETABLE,MATCH($B$131,List_Energy_Feedstocks,0),MATCH($A139,Feedstock_Year,0)))))</f>
        <v/>
      </c>
      <c r="C139" s="195" t="str">
        <f t="shared" ref="C139:C182" si="51">IF($A139="","",IF($C$131="","",IF($C$135="no",INFLATION_FACTOR*$C$133*$C$134,INFLATION_FACTOR*$C$133*$C$132*INDEX(FEEDPRICETABLE,MATCH($C$131,List_Energy_Feedstocks,0),MATCH($A139,Feedstock_Year,0)))))</f>
        <v/>
      </c>
      <c r="D139" s="195" t="str">
        <f t="shared" ref="D139:D182" si="52">IF($A139="","",IF($D$131="","",IF($D$135="no",INFLATION_FACTOR*$D$133*$D$134,INFLATION_FACTOR*$D$133*$D$132*INDEX(FEEDPRICETABLE,MATCH($D$131,List_Energy_Feedstocks,0),MATCH($A139,Feedstock_Year,0)))))</f>
        <v/>
      </c>
      <c r="E139" s="220" t="str">
        <f t="shared" ref="E139:E182" si="53">IF($A139="","",IF($E$131="","",IF($E$135="no",INFLATION_FACTOR*$E$133*$E$134,INFLATION_FACTOR*$E$133*$E$132*INDEX(FEEDPRICETABLE,MATCH($E$131,List_Energy_Feedstocks,0),MATCH($A139,Feedstock_Year,0)))))</f>
        <v/>
      </c>
      <c r="F139" s="194">
        <f ca="1">IF($A139="","",IF($F$131="","",IF($F$135="no",INFLATION_FACTOR*$F$133*$F$134,INFLATION_FACTOR*$F$133*$F$132*INDEX(FEEDPRICETABLE,MATCH($F$131,List_Energy_Feedstocks,0),MATCH($A139,Feedstock_Year,0)))))</f>
        <v>3.9588800150885812</v>
      </c>
      <c r="G139" s="195" t="str">
        <f t="shared" ref="G139:G182" si="54">IF($A139="","",IF($G$131="","",IF($G$135="no",INFLATION_FACTOR*$G$133*$G$134,INFLATION_FACTOR*$G$133*$G$132*INDEX(FEEDPRICETABLE,MATCH($G$131,List_Energy_Feedstocks,0),MATCH($A139,Feedstock_Year,0)))))</f>
        <v/>
      </c>
      <c r="H139" s="195" t="str">
        <f t="shared" ref="H139:H182" si="55">IF($A139="","",IF($H$131="","",IF($H$135="no",INFLATION_FACTOR*$H$133*$H$134,INFLATION_FACTOR*$H$133*$H$132*INDEX(FEEDPRICETABLE,MATCH(H$131,List_Energy_Feedstocks,0),MATCH($A139,Feedstock_Year,0)))))</f>
        <v/>
      </c>
      <c r="I139" s="220" t="str">
        <f t="shared" ref="I139:I182" si="56">IF($A139="","",IF($I$131="","",IF($I$135="no",INFLATION_FACTOR*$I$133*$I$134,INFLATION_FACTOR*$I$133*$I$132*INDEX(FEEDPRICETABLE,MATCH($I$131,List_Energy_Feedstocks,0),MATCH($A139,Feedstock_Year,0)))))</f>
        <v/>
      </c>
      <c r="J139" s="573" t="str">
        <f t="shared" ref="J139:J182" ca="1" si="57">IF($A139="","",IF($J$131="","",IF($J$135="no",INFLATION_FACTOR*$J$133*$J$134,INFLATION_FACTOR*$J$133*$J$132*INDEX(FEEDPRICETABLE,MATCH($J$131,List_Energy_Feedstocks,0),MATCH($A139,Feedstock_Year,0)))))</f>
        <v/>
      </c>
      <c r="K139" s="218" t="str">
        <f t="shared" ref="K139:K182" si="58">IF($A139="","",IF($K$131="","",IF($K$135="no",INFLATION_FACTOR*$K$133*$K$134,INFLATION_FACTOR*$K$133*$K$132*INDEX(FEEDPRICETABLE,MATCH($K$131,List_Energy_Feedstocks,0),MATCH($A139,Feedstock_Year,0)))))</f>
        <v/>
      </c>
      <c r="L139" s="218" t="str">
        <f t="shared" ref="L139:L182" si="59">IF($A139="","",IF($L$131="","",IF($L$135="no",INFLATION_FACTOR*$L$133*$L$134,INFLATION_FACTOR*$L$133*$L$132*INDEX(FEEDPRICETABLE,MATCH($L$131,List_Energy_Feedstocks,0),MATCH($A139,Feedstock_Year,0)))))</f>
        <v/>
      </c>
      <c r="M139" s="195" t="str">
        <f t="shared" ref="M139:M182" si="60">IF($A139="","",IF(M$131="","",IF($M$135="no",INFLATION_FACTOR*$M$133*$M$134,INFLATION_FACTOR*$M$133*$M$132*INDEX(FEEDPRICETABLE,MATCH($M$131,List_Energy_Feedstocks,0),MATCH($A139,Feedstock_Year,0)))))</f>
        <v/>
      </c>
      <c r="N139" s="221" t="str">
        <f t="shared" ref="N139:N182" si="61">IF($A139="","",IF($N$131="","",IF($N$135="no",INFLATION_FACTOR*$N$133*$N$134,INFLATION_FACTOR*$N$133*$N$132*INDEX(FEEDPRICETABLE,MATCH($N$131,List_Energy_Feedstocks,0),MATCH($A139,Feedstock_Year,0)))))</f>
        <v/>
      </c>
      <c r="O139" s="225"/>
      <c r="P139" s="215">
        <f ca="1">IF(OR($A139="",$P$131=""),"",IF($P$134="No",INFLATION_FACTOR*$P$132*$P$133,INFLATION_FACTOR*$P$132*INDEX(Tbl_Other_Inputs_and_Byproducts,MATCH($P$131,Other_Inputs_List,0),MATCH($A139,Other_Inputs_years,0))))</f>
        <v>8.8099265330844247E-3</v>
      </c>
      <c r="Q139" s="215" t="str">
        <f>IF(OR($A139="",$Q$131=""),"",IF($Q$134="No",INFLATION_FACTOR*$Q$132*$Q$133,INFLATION_FACTOR*$Q$132*INDEX(Tbl_Other_Inputs_and_Byproducts,MATCH($Q$131,Other_Inputs_List,0),MATCH($A139,Other_Inputs_years,0))))</f>
        <v/>
      </c>
      <c r="R139" s="215" t="str">
        <f t="shared" ref="R139:R182" si="62">IF(OR($A139="",$R$131=""),"",IF($R$134="No",INFLATION_FACTOR*$R$132*$R$133,INFLATION_FACTOR*$R$132*INDEX(Tbl_Other_Inputs_and_Byproducts,MATCH($R$131,Other_Inputs_List,0),MATCH($A139,Other_Inputs_years,0))))</f>
        <v/>
      </c>
      <c r="S139" s="225"/>
      <c r="T139" s="215" t="str">
        <f t="shared" ref="T139:T182" si="63">IF(OR($A139="",$T$131=""),"",IF($T$134="No",INFLATION_FACTOR*$T$132*$T$133,INFLATION_FACTOR*$T$132*INDEX(Tbl_Other_Inputs_and_Byproducts,MATCH($T$131,Other_Inputs_List,0),MATCH($A139,Other_Inputs_years,0))))</f>
        <v/>
      </c>
      <c r="U139" s="215" t="str">
        <f t="shared" ref="U139:U182" si="64">IF(OR($A139="",$U$131=""),"",IF($U$134="No",INFLATION_FACTOR*$U$132*$U$133,INFLATION_FACTOR*$U$132*INDEX(Tbl_Other_Inputs_and_Byproducts,MATCH($U$131,Other_Inputs_List,0),MATCH($A139,Other_Inputs_years,0))))</f>
        <v/>
      </c>
      <c r="V139" s="215" t="str">
        <f t="shared" ref="V139:V182" si="65">IF(OR($A139="",$V$131=""),"",IF($V$134="No",INFLATION_FACTOR*$V$132*$V$133,INFLATION_FACTOR*$V$132*INDEX(Tbl_Other_Inputs_and_Byproducts,MATCH($V$131,Other_Inputs_List,0),MATCH($A139,Other_Inputs_years,0))))</f>
        <v/>
      </c>
    </row>
    <row r="140" spans="1:22" ht="15" customHeight="1">
      <c r="A140" s="193">
        <f t="shared" si="50"/>
        <v>2015</v>
      </c>
      <c r="B140" s="195" t="str">
        <f t="shared" ref="B140:B182" si="66">IF($A140="","",IF($B$131="","",IF($B$135="no",INFLATION_FACTOR*$B$133*$B$134,INFLATION_FACTOR*$B$133*$B$132*INDEX(FEEDPRICETABLE,MATCH($B$131,List_Energy_Feedstocks,0),MATCH($A140,Feedstock_Year,0)))))</f>
        <v/>
      </c>
      <c r="C140" s="195" t="str">
        <f t="shared" si="51"/>
        <v/>
      </c>
      <c r="D140" s="195" t="str">
        <f t="shared" si="52"/>
        <v/>
      </c>
      <c r="E140" s="220" t="str">
        <f t="shared" si="53"/>
        <v/>
      </c>
      <c r="F140" s="194">
        <f t="shared" ref="F140:F182" ca="1" si="67">IF($A140="","",IF($F$131="","",IF($F$135="no",INFLATION_FACTOR*$F$133*$F$134,INFLATION_FACTOR*$F$133*$F$132*INDEX(FEEDPRICETABLE,MATCH($F$131,List_Energy_Feedstocks,0),MATCH($A140,Feedstock_Year,0)))))</f>
        <v>3.8115053236237575</v>
      </c>
      <c r="G140" s="195" t="str">
        <f t="shared" si="54"/>
        <v/>
      </c>
      <c r="H140" s="195" t="str">
        <f t="shared" si="55"/>
        <v/>
      </c>
      <c r="I140" s="220" t="str">
        <f t="shared" si="56"/>
        <v/>
      </c>
      <c r="J140" s="573" t="str">
        <f t="shared" ca="1" si="57"/>
        <v/>
      </c>
      <c r="K140" s="218" t="str">
        <f t="shared" si="58"/>
        <v/>
      </c>
      <c r="L140" s="218" t="str">
        <f t="shared" si="59"/>
        <v/>
      </c>
      <c r="M140" s="195" t="str">
        <f t="shared" si="60"/>
        <v/>
      </c>
      <c r="N140" s="221" t="str">
        <f t="shared" si="61"/>
        <v/>
      </c>
      <c r="O140" s="226"/>
      <c r="P140" s="215">
        <f t="shared" ref="P140:P182" ca="1" si="68">IF(OR($A140="",$P$131=""),"",IF($P$134="No",INFLATION_FACTOR*$P$132*$P$133,INFLATION_FACTOR*$P$132*INDEX(Tbl_Other_Inputs_and_Byproducts,MATCH($P$131,Other_Inputs_List,0),MATCH($A140,Other_Inputs_years,0))))</f>
        <v>8.8099265330844247E-3</v>
      </c>
      <c r="Q140" s="215" t="str">
        <f t="shared" ref="Q140:Q182" si="69">IF(OR($A140="",$Q$131=""),"",IF($Q$134="No",INFLATION_FACTOR*$Q$132*$Q$133,INFLATION_FACTOR*$Q$132*INDEX(Tbl_Other_Inputs_and_Byproducts,MATCH($Q$131,Other_Inputs_List,0),MATCH($A140,Other_Inputs_years,0))))</f>
        <v/>
      </c>
      <c r="R140" s="215" t="str">
        <f t="shared" si="62"/>
        <v/>
      </c>
      <c r="S140" s="225"/>
      <c r="T140" s="215" t="str">
        <f t="shared" si="63"/>
        <v/>
      </c>
      <c r="U140" s="215" t="str">
        <f t="shared" si="64"/>
        <v/>
      </c>
      <c r="V140" s="215" t="str">
        <f t="shared" si="65"/>
        <v/>
      </c>
    </row>
    <row r="141" spans="1:22" ht="15" customHeight="1">
      <c r="A141" s="193">
        <f t="shared" si="50"/>
        <v>2016</v>
      </c>
      <c r="B141" s="195" t="str">
        <f t="shared" si="66"/>
        <v/>
      </c>
      <c r="C141" s="195" t="str">
        <f t="shared" si="51"/>
        <v/>
      </c>
      <c r="D141" s="195" t="str">
        <f t="shared" si="52"/>
        <v/>
      </c>
      <c r="E141" s="220" t="str">
        <f t="shared" si="53"/>
        <v/>
      </c>
      <c r="F141" s="194">
        <f t="shared" ca="1" si="67"/>
        <v>3.6818439151089293</v>
      </c>
      <c r="G141" s="195" t="str">
        <f t="shared" si="54"/>
        <v/>
      </c>
      <c r="H141" s="195" t="str">
        <f t="shared" si="55"/>
        <v/>
      </c>
      <c r="I141" s="220" t="str">
        <f t="shared" si="56"/>
        <v/>
      </c>
      <c r="J141" s="573" t="str">
        <f t="shared" ca="1" si="57"/>
        <v/>
      </c>
      <c r="K141" s="218" t="str">
        <f t="shared" si="58"/>
        <v/>
      </c>
      <c r="L141" s="218" t="str">
        <f t="shared" si="59"/>
        <v/>
      </c>
      <c r="M141" s="195" t="str">
        <f t="shared" si="60"/>
        <v/>
      </c>
      <c r="N141" s="221" t="str">
        <f t="shared" si="61"/>
        <v/>
      </c>
      <c r="O141" s="226"/>
      <c r="P141" s="215">
        <f t="shared" ca="1" si="68"/>
        <v>8.8099265330844247E-3</v>
      </c>
      <c r="Q141" s="215" t="str">
        <f t="shared" si="69"/>
        <v/>
      </c>
      <c r="R141" s="215" t="str">
        <f t="shared" si="62"/>
        <v/>
      </c>
      <c r="S141" s="225"/>
      <c r="T141" s="215" t="str">
        <f t="shared" si="63"/>
        <v/>
      </c>
      <c r="U141" s="215" t="str">
        <f t="shared" si="64"/>
        <v/>
      </c>
      <c r="V141" s="215" t="str">
        <f t="shared" si="65"/>
        <v/>
      </c>
    </row>
    <row r="142" spans="1:22" ht="15" customHeight="1">
      <c r="A142" s="193">
        <f t="shared" si="50"/>
        <v>2017</v>
      </c>
      <c r="B142" s="195" t="str">
        <f t="shared" si="66"/>
        <v/>
      </c>
      <c r="C142" s="195" t="str">
        <f t="shared" si="51"/>
        <v/>
      </c>
      <c r="D142" s="195" t="str">
        <f t="shared" si="52"/>
        <v/>
      </c>
      <c r="E142" s="220" t="str">
        <f t="shared" si="53"/>
        <v/>
      </c>
      <c r="F142" s="194">
        <f t="shared" ca="1" si="67"/>
        <v>3.8308059373235475</v>
      </c>
      <c r="G142" s="195" t="str">
        <f t="shared" si="54"/>
        <v/>
      </c>
      <c r="H142" s="195" t="str">
        <f t="shared" si="55"/>
        <v/>
      </c>
      <c r="I142" s="220" t="str">
        <f t="shared" si="56"/>
        <v/>
      </c>
      <c r="J142" s="573" t="str">
        <f t="shared" ca="1" si="57"/>
        <v/>
      </c>
      <c r="K142" s="218" t="str">
        <f t="shared" si="58"/>
        <v/>
      </c>
      <c r="L142" s="218" t="str">
        <f t="shared" si="59"/>
        <v/>
      </c>
      <c r="M142" s="195" t="str">
        <f t="shared" si="60"/>
        <v/>
      </c>
      <c r="N142" s="221" t="str">
        <f t="shared" si="61"/>
        <v/>
      </c>
      <c r="O142" s="226"/>
      <c r="P142" s="215">
        <f t="shared" ca="1" si="68"/>
        <v>8.8099265330844247E-3</v>
      </c>
      <c r="Q142" s="215" t="str">
        <f t="shared" si="69"/>
        <v/>
      </c>
      <c r="R142" s="215" t="str">
        <f t="shared" si="62"/>
        <v/>
      </c>
      <c r="S142" s="225"/>
      <c r="T142" s="215" t="str">
        <f t="shared" si="63"/>
        <v/>
      </c>
      <c r="U142" s="215" t="str">
        <f t="shared" si="64"/>
        <v/>
      </c>
      <c r="V142" s="215" t="str">
        <f t="shared" si="65"/>
        <v/>
      </c>
    </row>
    <row r="143" spans="1:22" ht="15" customHeight="1">
      <c r="A143" s="193">
        <f t="shared" si="50"/>
        <v>2018</v>
      </c>
      <c r="B143" s="195" t="str">
        <f t="shared" si="66"/>
        <v/>
      </c>
      <c r="C143" s="195" t="str">
        <f t="shared" si="51"/>
        <v/>
      </c>
      <c r="D143" s="195" t="str">
        <f t="shared" si="52"/>
        <v/>
      </c>
      <c r="E143" s="220" t="str">
        <f t="shared" si="53"/>
        <v/>
      </c>
      <c r="F143" s="194">
        <f t="shared" ca="1" si="67"/>
        <v>3.7439831450272432</v>
      </c>
      <c r="G143" s="195" t="str">
        <f t="shared" si="54"/>
        <v/>
      </c>
      <c r="H143" s="195" t="str">
        <f t="shared" si="55"/>
        <v/>
      </c>
      <c r="I143" s="220" t="str">
        <f t="shared" si="56"/>
        <v/>
      </c>
      <c r="J143" s="573" t="str">
        <f t="shared" ca="1" si="57"/>
        <v/>
      </c>
      <c r="K143" s="218" t="str">
        <f t="shared" si="58"/>
        <v/>
      </c>
      <c r="L143" s="218" t="str">
        <f t="shared" si="59"/>
        <v/>
      </c>
      <c r="M143" s="195" t="str">
        <f t="shared" si="60"/>
        <v/>
      </c>
      <c r="N143" s="221" t="str">
        <f t="shared" si="61"/>
        <v/>
      </c>
      <c r="O143" s="226"/>
      <c r="P143" s="215">
        <f t="shared" ca="1" si="68"/>
        <v>8.8099265330844247E-3</v>
      </c>
      <c r="Q143" s="215" t="str">
        <f t="shared" si="69"/>
        <v/>
      </c>
      <c r="R143" s="215" t="str">
        <f t="shared" si="62"/>
        <v/>
      </c>
      <c r="S143" s="225"/>
      <c r="T143" s="215" t="str">
        <f t="shared" si="63"/>
        <v/>
      </c>
      <c r="U143" s="215" t="str">
        <f t="shared" si="64"/>
        <v/>
      </c>
      <c r="V143" s="215" t="str">
        <f t="shared" si="65"/>
        <v/>
      </c>
    </row>
    <row r="144" spans="1:22" ht="15" customHeight="1">
      <c r="A144" s="193">
        <f t="shared" si="50"/>
        <v>2019</v>
      </c>
      <c r="B144" s="195" t="str">
        <f t="shared" si="66"/>
        <v/>
      </c>
      <c r="C144" s="195" t="str">
        <f t="shared" si="51"/>
        <v/>
      </c>
      <c r="D144" s="195" t="str">
        <f t="shared" si="52"/>
        <v/>
      </c>
      <c r="E144" s="220" t="str">
        <f t="shared" si="53"/>
        <v/>
      </c>
      <c r="F144" s="194">
        <f t="shared" ca="1" si="67"/>
        <v>3.7922550743052059</v>
      </c>
      <c r="G144" s="195" t="str">
        <f t="shared" si="54"/>
        <v/>
      </c>
      <c r="H144" s="195" t="str">
        <f t="shared" si="55"/>
        <v/>
      </c>
      <c r="I144" s="220" t="str">
        <f t="shared" si="56"/>
        <v/>
      </c>
      <c r="J144" s="573" t="str">
        <f t="shared" ca="1" si="57"/>
        <v/>
      </c>
      <c r="K144" s="218" t="str">
        <f t="shared" si="58"/>
        <v/>
      </c>
      <c r="L144" s="218" t="str">
        <f t="shared" si="59"/>
        <v/>
      </c>
      <c r="M144" s="195" t="str">
        <f t="shared" si="60"/>
        <v/>
      </c>
      <c r="N144" s="221" t="str">
        <f t="shared" si="61"/>
        <v/>
      </c>
      <c r="O144" s="226"/>
      <c r="P144" s="215">
        <f t="shared" ca="1" si="68"/>
        <v>8.8099265330844247E-3</v>
      </c>
      <c r="Q144" s="215" t="str">
        <f t="shared" si="69"/>
        <v/>
      </c>
      <c r="R144" s="215" t="str">
        <f t="shared" si="62"/>
        <v/>
      </c>
      <c r="S144" s="225"/>
      <c r="T144" s="215" t="str">
        <f t="shared" si="63"/>
        <v/>
      </c>
      <c r="U144" s="215" t="str">
        <f t="shared" si="64"/>
        <v/>
      </c>
      <c r="V144" s="215" t="str">
        <f t="shared" si="65"/>
        <v/>
      </c>
    </row>
    <row r="145" spans="1:22" ht="15" customHeight="1">
      <c r="A145" s="193">
        <f t="shared" si="50"/>
        <v>2020</v>
      </c>
      <c r="B145" s="195" t="str">
        <f t="shared" si="66"/>
        <v/>
      </c>
      <c r="C145" s="195" t="str">
        <f t="shared" si="51"/>
        <v/>
      </c>
      <c r="D145" s="195" t="str">
        <f t="shared" si="52"/>
        <v/>
      </c>
      <c r="E145" s="220" t="str">
        <f t="shared" si="53"/>
        <v/>
      </c>
      <c r="F145" s="194">
        <f t="shared" ca="1" si="67"/>
        <v>3.8628117878862152</v>
      </c>
      <c r="G145" s="195" t="str">
        <f t="shared" si="54"/>
        <v/>
      </c>
      <c r="H145" s="195" t="str">
        <f t="shared" si="55"/>
        <v/>
      </c>
      <c r="I145" s="220" t="str">
        <f t="shared" si="56"/>
        <v/>
      </c>
      <c r="J145" s="573" t="str">
        <f t="shared" ca="1" si="57"/>
        <v/>
      </c>
      <c r="K145" s="218" t="str">
        <f t="shared" si="58"/>
        <v/>
      </c>
      <c r="L145" s="218" t="str">
        <f t="shared" si="59"/>
        <v/>
      </c>
      <c r="M145" s="195" t="str">
        <f t="shared" si="60"/>
        <v/>
      </c>
      <c r="N145" s="221" t="str">
        <f t="shared" si="61"/>
        <v/>
      </c>
      <c r="O145" s="226"/>
      <c r="P145" s="215">
        <f t="shared" ca="1" si="68"/>
        <v>8.8099265330844247E-3</v>
      </c>
      <c r="Q145" s="215" t="str">
        <f t="shared" si="69"/>
        <v/>
      </c>
      <c r="R145" s="215" t="str">
        <f t="shared" si="62"/>
        <v/>
      </c>
      <c r="S145" s="225"/>
      <c r="T145" s="215" t="str">
        <f t="shared" si="63"/>
        <v/>
      </c>
      <c r="U145" s="215" t="str">
        <f t="shared" si="64"/>
        <v/>
      </c>
      <c r="V145" s="215" t="str">
        <f t="shared" si="65"/>
        <v/>
      </c>
    </row>
    <row r="146" spans="1:22" ht="15" customHeight="1">
      <c r="A146" s="193">
        <f t="shared" si="50"/>
        <v>2021</v>
      </c>
      <c r="B146" s="195" t="str">
        <f t="shared" si="66"/>
        <v/>
      </c>
      <c r="C146" s="195" t="str">
        <f t="shared" si="51"/>
        <v/>
      </c>
      <c r="D146" s="195" t="str">
        <f t="shared" si="52"/>
        <v/>
      </c>
      <c r="E146" s="220" t="str">
        <f t="shared" si="53"/>
        <v/>
      </c>
      <c r="F146" s="194">
        <f t="shared" ca="1" si="67"/>
        <v>3.8840868881449753</v>
      </c>
      <c r="G146" s="195" t="str">
        <f t="shared" si="54"/>
        <v/>
      </c>
      <c r="H146" s="195" t="str">
        <f t="shared" si="55"/>
        <v/>
      </c>
      <c r="I146" s="220" t="str">
        <f t="shared" si="56"/>
        <v/>
      </c>
      <c r="J146" s="573" t="str">
        <f t="shared" ca="1" si="57"/>
        <v/>
      </c>
      <c r="K146" s="218" t="str">
        <f t="shared" si="58"/>
        <v/>
      </c>
      <c r="L146" s="218" t="str">
        <f t="shared" si="59"/>
        <v/>
      </c>
      <c r="M146" s="195" t="str">
        <f t="shared" si="60"/>
        <v/>
      </c>
      <c r="N146" s="221" t="str">
        <f t="shared" si="61"/>
        <v/>
      </c>
      <c r="O146" s="226"/>
      <c r="P146" s="215">
        <f t="shared" ca="1" si="68"/>
        <v>8.8099265330844247E-3</v>
      </c>
      <c r="Q146" s="215" t="str">
        <f t="shared" si="69"/>
        <v/>
      </c>
      <c r="R146" s="215" t="str">
        <f t="shared" si="62"/>
        <v/>
      </c>
      <c r="S146" s="225"/>
      <c r="T146" s="215" t="str">
        <f t="shared" si="63"/>
        <v/>
      </c>
      <c r="U146" s="215" t="str">
        <f t="shared" si="64"/>
        <v/>
      </c>
      <c r="V146" s="215" t="str">
        <f t="shared" si="65"/>
        <v/>
      </c>
    </row>
    <row r="147" spans="1:22" ht="15" customHeight="1">
      <c r="A147" s="193">
        <f t="shared" si="50"/>
        <v>2022</v>
      </c>
      <c r="B147" s="195" t="str">
        <f t="shared" si="66"/>
        <v/>
      </c>
      <c r="C147" s="195" t="str">
        <f t="shared" si="51"/>
        <v/>
      </c>
      <c r="D147" s="195" t="str">
        <f t="shared" si="52"/>
        <v/>
      </c>
      <c r="E147" s="220" t="str">
        <f t="shared" si="53"/>
        <v/>
      </c>
      <c r="F147" s="194">
        <f t="shared" ca="1" si="67"/>
        <v>4.0094562690747475</v>
      </c>
      <c r="G147" s="195" t="str">
        <f t="shared" si="54"/>
        <v/>
      </c>
      <c r="H147" s="195" t="str">
        <f t="shared" si="55"/>
        <v/>
      </c>
      <c r="I147" s="220" t="str">
        <f t="shared" si="56"/>
        <v/>
      </c>
      <c r="J147" s="573" t="str">
        <f t="shared" ca="1" si="57"/>
        <v/>
      </c>
      <c r="K147" s="218" t="str">
        <f t="shared" si="58"/>
        <v/>
      </c>
      <c r="L147" s="218" t="str">
        <f t="shared" si="59"/>
        <v/>
      </c>
      <c r="M147" s="195" t="str">
        <f t="shared" si="60"/>
        <v/>
      </c>
      <c r="N147" s="221" t="str">
        <f t="shared" si="61"/>
        <v/>
      </c>
      <c r="O147" s="226"/>
      <c r="P147" s="215">
        <f t="shared" ca="1" si="68"/>
        <v>8.8099265330844247E-3</v>
      </c>
      <c r="Q147" s="215" t="str">
        <f t="shared" si="69"/>
        <v/>
      </c>
      <c r="R147" s="215" t="str">
        <f t="shared" si="62"/>
        <v/>
      </c>
      <c r="S147" s="225"/>
      <c r="T147" s="215" t="str">
        <f t="shared" si="63"/>
        <v/>
      </c>
      <c r="U147" s="215" t="str">
        <f t="shared" si="64"/>
        <v/>
      </c>
      <c r="V147" s="215" t="str">
        <f t="shared" si="65"/>
        <v/>
      </c>
    </row>
    <row r="148" spans="1:22" ht="15" customHeight="1">
      <c r="A148" s="193">
        <f t="shared" si="50"/>
        <v>2023</v>
      </c>
      <c r="B148" s="195" t="str">
        <f t="shared" si="66"/>
        <v/>
      </c>
      <c r="C148" s="195" t="str">
        <f t="shared" si="51"/>
        <v/>
      </c>
      <c r="D148" s="195" t="str">
        <f t="shared" si="52"/>
        <v/>
      </c>
      <c r="E148" s="220" t="str">
        <f t="shared" si="53"/>
        <v/>
      </c>
      <c r="F148" s="194">
        <f t="shared" ca="1" si="67"/>
        <v>4.0221638294613111</v>
      </c>
      <c r="G148" s="195" t="str">
        <f t="shared" si="54"/>
        <v/>
      </c>
      <c r="H148" s="195" t="str">
        <f t="shared" si="55"/>
        <v/>
      </c>
      <c r="I148" s="220" t="str">
        <f t="shared" si="56"/>
        <v/>
      </c>
      <c r="J148" s="573" t="str">
        <f t="shared" ca="1" si="57"/>
        <v/>
      </c>
      <c r="K148" s="218" t="str">
        <f t="shared" si="58"/>
        <v/>
      </c>
      <c r="L148" s="218" t="str">
        <f t="shared" si="59"/>
        <v/>
      </c>
      <c r="M148" s="195" t="str">
        <f t="shared" si="60"/>
        <v/>
      </c>
      <c r="N148" s="221" t="str">
        <f t="shared" si="61"/>
        <v/>
      </c>
      <c r="O148" s="226"/>
      <c r="P148" s="215">
        <f t="shared" ca="1" si="68"/>
        <v>8.8099265330844247E-3</v>
      </c>
      <c r="Q148" s="215" t="str">
        <f t="shared" si="69"/>
        <v/>
      </c>
      <c r="R148" s="215" t="str">
        <f t="shared" si="62"/>
        <v/>
      </c>
      <c r="S148" s="225"/>
      <c r="T148" s="215" t="str">
        <f t="shared" si="63"/>
        <v/>
      </c>
      <c r="U148" s="215" t="str">
        <f t="shared" si="64"/>
        <v/>
      </c>
      <c r="V148" s="215" t="str">
        <f t="shared" si="65"/>
        <v/>
      </c>
    </row>
    <row r="149" spans="1:22" ht="15" customHeight="1">
      <c r="A149" s="193">
        <f t="shared" si="50"/>
        <v>2024</v>
      </c>
      <c r="B149" s="195" t="str">
        <f t="shared" si="66"/>
        <v/>
      </c>
      <c r="C149" s="195" t="str">
        <f t="shared" si="51"/>
        <v/>
      </c>
      <c r="D149" s="195" t="str">
        <f t="shared" si="52"/>
        <v/>
      </c>
      <c r="E149" s="220" t="str">
        <f t="shared" si="53"/>
        <v/>
      </c>
      <c r="F149" s="194">
        <f t="shared" ca="1" si="67"/>
        <v>4.0115607531751509</v>
      </c>
      <c r="G149" s="195" t="str">
        <f t="shared" si="54"/>
        <v/>
      </c>
      <c r="H149" s="195" t="str">
        <f t="shared" si="55"/>
        <v/>
      </c>
      <c r="I149" s="220" t="str">
        <f t="shared" si="56"/>
        <v/>
      </c>
      <c r="J149" s="573" t="str">
        <f t="shared" ca="1" si="57"/>
        <v/>
      </c>
      <c r="K149" s="218" t="str">
        <f t="shared" si="58"/>
        <v/>
      </c>
      <c r="L149" s="218" t="str">
        <f t="shared" si="59"/>
        <v/>
      </c>
      <c r="M149" s="195" t="str">
        <f t="shared" si="60"/>
        <v/>
      </c>
      <c r="N149" s="221" t="str">
        <f t="shared" si="61"/>
        <v/>
      </c>
      <c r="O149" s="226"/>
      <c r="P149" s="215">
        <f t="shared" ca="1" si="68"/>
        <v>8.8099265330844247E-3</v>
      </c>
      <c r="Q149" s="215" t="str">
        <f t="shared" si="69"/>
        <v/>
      </c>
      <c r="R149" s="215" t="str">
        <f t="shared" si="62"/>
        <v/>
      </c>
      <c r="S149" s="225"/>
      <c r="T149" s="215" t="str">
        <f t="shared" si="63"/>
        <v/>
      </c>
      <c r="U149" s="215" t="str">
        <f t="shared" si="64"/>
        <v/>
      </c>
      <c r="V149" s="215" t="str">
        <f t="shared" si="65"/>
        <v/>
      </c>
    </row>
    <row r="150" spans="1:22" ht="15" customHeight="1">
      <c r="A150" s="193">
        <f t="shared" si="50"/>
        <v>2025</v>
      </c>
      <c r="B150" s="195" t="str">
        <f t="shared" si="66"/>
        <v/>
      </c>
      <c r="C150" s="195" t="str">
        <f t="shared" si="51"/>
        <v/>
      </c>
      <c r="D150" s="195" t="str">
        <f t="shared" si="52"/>
        <v/>
      </c>
      <c r="E150" s="220" t="str">
        <f t="shared" si="53"/>
        <v/>
      </c>
      <c r="F150" s="194">
        <f t="shared" ca="1" si="67"/>
        <v>4.1078845738314946</v>
      </c>
      <c r="G150" s="195" t="str">
        <f t="shared" si="54"/>
        <v/>
      </c>
      <c r="H150" s="195" t="str">
        <f t="shared" si="55"/>
        <v/>
      </c>
      <c r="I150" s="220" t="str">
        <f t="shared" si="56"/>
        <v/>
      </c>
      <c r="J150" s="573" t="str">
        <f t="shared" ca="1" si="57"/>
        <v/>
      </c>
      <c r="K150" s="218" t="str">
        <f t="shared" si="58"/>
        <v/>
      </c>
      <c r="L150" s="218" t="str">
        <f t="shared" si="59"/>
        <v/>
      </c>
      <c r="M150" s="195" t="str">
        <f t="shared" si="60"/>
        <v/>
      </c>
      <c r="N150" s="221" t="str">
        <f t="shared" si="61"/>
        <v/>
      </c>
      <c r="O150" s="226"/>
      <c r="P150" s="215">
        <f t="shared" ca="1" si="68"/>
        <v>8.8099265330844247E-3</v>
      </c>
      <c r="Q150" s="215" t="str">
        <f t="shared" si="69"/>
        <v/>
      </c>
      <c r="R150" s="215" t="str">
        <f t="shared" si="62"/>
        <v/>
      </c>
      <c r="S150" s="225"/>
      <c r="T150" s="215" t="str">
        <f t="shared" si="63"/>
        <v/>
      </c>
      <c r="U150" s="215" t="str">
        <f t="shared" si="64"/>
        <v/>
      </c>
      <c r="V150" s="215" t="str">
        <f t="shared" si="65"/>
        <v/>
      </c>
    </row>
    <row r="151" spans="1:22" ht="15" customHeight="1">
      <c r="A151" s="193">
        <f t="shared" si="50"/>
        <v>2026</v>
      </c>
      <c r="B151" s="195" t="str">
        <f t="shared" si="66"/>
        <v/>
      </c>
      <c r="C151" s="195" t="str">
        <f t="shared" si="51"/>
        <v/>
      </c>
      <c r="D151" s="195" t="str">
        <f t="shared" si="52"/>
        <v/>
      </c>
      <c r="E151" s="220" t="str">
        <f t="shared" si="53"/>
        <v/>
      </c>
      <c r="F151" s="194">
        <f t="shared" ca="1" si="67"/>
        <v>4.1496018268271131</v>
      </c>
      <c r="G151" s="195" t="str">
        <f t="shared" si="54"/>
        <v/>
      </c>
      <c r="H151" s="195" t="str">
        <f t="shared" si="55"/>
        <v/>
      </c>
      <c r="I151" s="220" t="str">
        <f t="shared" si="56"/>
        <v/>
      </c>
      <c r="J151" s="573" t="str">
        <f t="shared" ca="1" si="57"/>
        <v/>
      </c>
      <c r="K151" s="218" t="str">
        <f t="shared" si="58"/>
        <v/>
      </c>
      <c r="L151" s="218" t="str">
        <f t="shared" si="59"/>
        <v/>
      </c>
      <c r="M151" s="195" t="str">
        <f t="shared" si="60"/>
        <v/>
      </c>
      <c r="N151" s="221" t="str">
        <f t="shared" si="61"/>
        <v/>
      </c>
      <c r="O151" s="226"/>
      <c r="P151" s="215">
        <f t="shared" ca="1" si="68"/>
        <v>8.8099265330844247E-3</v>
      </c>
      <c r="Q151" s="215" t="str">
        <f t="shared" si="69"/>
        <v/>
      </c>
      <c r="R151" s="215" t="str">
        <f t="shared" si="62"/>
        <v/>
      </c>
      <c r="S151" s="225"/>
      <c r="T151" s="215" t="str">
        <f t="shared" si="63"/>
        <v/>
      </c>
      <c r="U151" s="215" t="str">
        <f t="shared" si="64"/>
        <v/>
      </c>
      <c r="V151" s="215" t="str">
        <f t="shared" si="65"/>
        <v/>
      </c>
    </row>
    <row r="152" spans="1:22" ht="15" customHeight="1">
      <c r="A152" s="193">
        <f t="shared" si="50"/>
        <v>2027</v>
      </c>
      <c r="B152" s="195" t="str">
        <f t="shared" si="66"/>
        <v/>
      </c>
      <c r="C152" s="195" t="str">
        <f t="shared" si="51"/>
        <v/>
      </c>
      <c r="D152" s="195" t="str">
        <f t="shared" si="52"/>
        <v/>
      </c>
      <c r="E152" s="220" t="str">
        <f t="shared" si="53"/>
        <v/>
      </c>
      <c r="F152" s="194">
        <f t="shared" ca="1" si="67"/>
        <v>4.1735106915393292</v>
      </c>
      <c r="G152" s="195" t="str">
        <f t="shared" si="54"/>
        <v/>
      </c>
      <c r="H152" s="195" t="str">
        <f t="shared" si="55"/>
        <v/>
      </c>
      <c r="I152" s="220" t="str">
        <f t="shared" si="56"/>
        <v/>
      </c>
      <c r="J152" s="573" t="str">
        <f t="shared" ca="1" si="57"/>
        <v/>
      </c>
      <c r="K152" s="218" t="str">
        <f t="shared" si="58"/>
        <v/>
      </c>
      <c r="L152" s="218" t="str">
        <f t="shared" si="59"/>
        <v/>
      </c>
      <c r="M152" s="195" t="str">
        <f t="shared" si="60"/>
        <v/>
      </c>
      <c r="N152" s="221" t="str">
        <f t="shared" si="61"/>
        <v/>
      </c>
      <c r="O152" s="226"/>
      <c r="P152" s="215">
        <f t="shared" ca="1" si="68"/>
        <v>8.8099265330844247E-3</v>
      </c>
      <c r="Q152" s="215" t="str">
        <f t="shared" si="69"/>
        <v/>
      </c>
      <c r="R152" s="215" t="str">
        <f t="shared" si="62"/>
        <v/>
      </c>
      <c r="S152" s="225"/>
      <c r="T152" s="215" t="str">
        <f t="shared" si="63"/>
        <v/>
      </c>
      <c r="U152" s="215" t="str">
        <f t="shared" si="64"/>
        <v/>
      </c>
      <c r="V152" s="215" t="str">
        <f t="shared" si="65"/>
        <v/>
      </c>
    </row>
    <row r="153" spans="1:22" ht="15" customHeight="1">
      <c r="A153" s="193">
        <f t="shared" si="50"/>
        <v>2028</v>
      </c>
      <c r="B153" s="195" t="str">
        <f t="shared" si="66"/>
        <v/>
      </c>
      <c r="C153" s="195" t="str">
        <f t="shared" si="51"/>
        <v/>
      </c>
      <c r="D153" s="195" t="str">
        <f t="shared" si="52"/>
        <v/>
      </c>
      <c r="E153" s="220" t="str">
        <f t="shared" si="53"/>
        <v/>
      </c>
      <c r="F153" s="194">
        <f t="shared" ca="1" si="67"/>
        <v>4.2006281325490971</v>
      </c>
      <c r="G153" s="195" t="str">
        <f t="shared" si="54"/>
        <v/>
      </c>
      <c r="H153" s="195" t="str">
        <f t="shared" si="55"/>
        <v/>
      </c>
      <c r="I153" s="220" t="str">
        <f t="shared" si="56"/>
        <v/>
      </c>
      <c r="J153" s="573" t="str">
        <f t="shared" ca="1" si="57"/>
        <v/>
      </c>
      <c r="K153" s="218" t="str">
        <f t="shared" si="58"/>
        <v/>
      </c>
      <c r="L153" s="218" t="str">
        <f t="shared" si="59"/>
        <v/>
      </c>
      <c r="M153" s="195" t="str">
        <f t="shared" si="60"/>
        <v/>
      </c>
      <c r="N153" s="221" t="str">
        <f t="shared" si="61"/>
        <v/>
      </c>
      <c r="O153" s="226"/>
      <c r="P153" s="215">
        <f t="shared" ca="1" si="68"/>
        <v>8.8099265330844247E-3</v>
      </c>
      <c r="Q153" s="215" t="str">
        <f t="shared" si="69"/>
        <v/>
      </c>
      <c r="R153" s="215" t="str">
        <f t="shared" si="62"/>
        <v/>
      </c>
      <c r="S153" s="225"/>
      <c r="T153" s="215" t="str">
        <f t="shared" si="63"/>
        <v/>
      </c>
      <c r="U153" s="215" t="str">
        <f t="shared" si="64"/>
        <v/>
      </c>
      <c r="V153" s="215" t="str">
        <f t="shared" si="65"/>
        <v/>
      </c>
    </row>
    <row r="154" spans="1:22" ht="15" customHeight="1">
      <c r="A154" s="193">
        <f t="shared" si="50"/>
        <v>2029</v>
      </c>
      <c r="B154" s="195" t="str">
        <f t="shared" si="66"/>
        <v/>
      </c>
      <c r="C154" s="195" t="str">
        <f t="shared" si="51"/>
        <v/>
      </c>
      <c r="D154" s="195" t="str">
        <f t="shared" si="52"/>
        <v/>
      </c>
      <c r="E154" s="220" t="str">
        <f t="shared" si="53"/>
        <v/>
      </c>
      <c r="F154" s="194">
        <f t="shared" ca="1" si="67"/>
        <v>4.2219333393447931</v>
      </c>
      <c r="G154" s="195" t="str">
        <f t="shared" si="54"/>
        <v/>
      </c>
      <c r="H154" s="195" t="str">
        <f t="shared" si="55"/>
        <v/>
      </c>
      <c r="I154" s="220" t="str">
        <f t="shared" si="56"/>
        <v/>
      </c>
      <c r="J154" s="573" t="str">
        <f t="shared" ca="1" si="57"/>
        <v/>
      </c>
      <c r="K154" s="218" t="str">
        <f t="shared" si="58"/>
        <v/>
      </c>
      <c r="L154" s="218" t="str">
        <f t="shared" si="59"/>
        <v/>
      </c>
      <c r="M154" s="195" t="str">
        <f t="shared" si="60"/>
        <v/>
      </c>
      <c r="N154" s="221" t="str">
        <f t="shared" si="61"/>
        <v/>
      </c>
      <c r="O154" s="226"/>
      <c r="P154" s="215">
        <f t="shared" ca="1" si="68"/>
        <v>8.8099265330844247E-3</v>
      </c>
      <c r="Q154" s="215" t="str">
        <f t="shared" si="69"/>
        <v/>
      </c>
      <c r="R154" s="215" t="str">
        <f t="shared" si="62"/>
        <v/>
      </c>
      <c r="S154" s="225"/>
      <c r="T154" s="215" t="str">
        <f t="shared" si="63"/>
        <v/>
      </c>
      <c r="U154" s="215" t="str">
        <f t="shared" si="64"/>
        <v/>
      </c>
      <c r="V154" s="215" t="str">
        <f t="shared" si="65"/>
        <v/>
      </c>
    </row>
    <row r="155" spans="1:22" ht="15" customHeight="1">
      <c r="A155" s="193">
        <f t="shared" si="50"/>
        <v>2030</v>
      </c>
      <c r="B155" s="195" t="str">
        <f t="shared" si="66"/>
        <v/>
      </c>
      <c r="C155" s="195" t="str">
        <f t="shared" si="51"/>
        <v/>
      </c>
      <c r="D155" s="195" t="str">
        <f t="shared" si="52"/>
        <v/>
      </c>
      <c r="E155" s="220" t="str">
        <f t="shared" si="53"/>
        <v/>
      </c>
      <c r="F155" s="194">
        <f t="shared" ca="1" si="67"/>
        <v>4.2367347907909876</v>
      </c>
      <c r="G155" s="195" t="str">
        <f t="shared" si="54"/>
        <v/>
      </c>
      <c r="H155" s="195" t="str">
        <f t="shared" si="55"/>
        <v/>
      </c>
      <c r="I155" s="220" t="str">
        <f t="shared" si="56"/>
        <v/>
      </c>
      <c r="J155" s="573" t="str">
        <f t="shared" ca="1" si="57"/>
        <v/>
      </c>
      <c r="K155" s="218" t="str">
        <f t="shared" si="58"/>
        <v/>
      </c>
      <c r="L155" s="218" t="str">
        <f t="shared" si="59"/>
        <v/>
      </c>
      <c r="M155" s="195" t="str">
        <f t="shared" si="60"/>
        <v/>
      </c>
      <c r="N155" s="221" t="str">
        <f t="shared" si="61"/>
        <v/>
      </c>
      <c r="O155" s="226"/>
      <c r="P155" s="215">
        <f t="shared" ca="1" si="68"/>
        <v>8.8099265330844247E-3</v>
      </c>
      <c r="Q155" s="215" t="str">
        <f t="shared" si="69"/>
        <v/>
      </c>
      <c r="R155" s="215" t="str">
        <f t="shared" si="62"/>
        <v/>
      </c>
      <c r="S155" s="225"/>
      <c r="T155" s="215" t="str">
        <f t="shared" si="63"/>
        <v/>
      </c>
      <c r="U155" s="215" t="str">
        <f t="shared" si="64"/>
        <v/>
      </c>
      <c r="V155" s="215" t="str">
        <f t="shared" si="65"/>
        <v/>
      </c>
    </row>
    <row r="156" spans="1:22" ht="15" customHeight="1">
      <c r="A156" s="193">
        <f t="shared" si="50"/>
        <v>2031</v>
      </c>
      <c r="B156" s="195" t="str">
        <f t="shared" si="66"/>
        <v/>
      </c>
      <c r="C156" s="195" t="str">
        <f t="shared" si="51"/>
        <v/>
      </c>
      <c r="D156" s="195" t="str">
        <f t="shared" si="52"/>
        <v/>
      </c>
      <c r="E156" s="220" t="str">
        <f t="shared" si="53"/>
        <v/>
      </c>
      <c r="F156" s="194">
        <f t="shared" ca="1" si="67"/>
        <v>4.2421021172925588</v>
      </c>
      <c r="G156" s="195" t="str">
        <f t="shared" si="54"/>
        <v/>
      </c>
      <c r="H156" s="195" t="str">
        <f t="shared" si="55"/>
        <v/>
      </c>
      <c r="I156" s="220" t="str">
        <f t="shared" si="56"/>
        <v/>
      </c>
      <c r="J156" s="573" t="str">
        <f t="shared" ca="1" si="57"/>
        <v/>
      </c>
      <c r="K156" s="218" t="str">
        <f t="shared" si="58"/>
        <v/>
      </c>
      <c r="L156" s="218" t="str">
        <f t="shared" si="59"/>
        <v/>
      </c>
      <c r="M156" s="195" t="str">
        <f t="shared" si="60"/>
        <v/>
      </c>
      <c r="N156" s="221" t="str">
        <f t="shared" si="61"/>
        <v/>
      </c>
      <c r="O156" s="226"/>
      <c r="P156" s="215">
        <f t="shared" ca="1" si="68"/>
        <v>8.8099265330844247E-3</v>
      </c>
      <c r="Q156" s="215" t="str">
        <f t="shared" si="69"/>
        <v/>
      </c>
      <c r="R156" s="215" t="str">
        <f t="shared" si="62"/>
        <v/>
      </c>
      <c r="S156" s="225"/>
      <c r="T156" s="215" t="str">
        <f t="shared" si="63"/>
        <v/>
      </c>
      <c r="U156" s="215" t="str">
        <f t="shared" si="64"/>
        <v/>
      </c>
      <c r="V156" s="215" t="str">
        <f t="shared" si="65"/>
        <v/>
      </c>
    </row>
    <row r="157" spans="1:22" ht="15" customHeight="1">
      <c r="A157" s="193">
        <f t="shared" si="50"/>
        <v>2032</v>
      </c>
      <c r="B157" s="195" t="str">
        <f t="shared" si="66"/>
        <v/>
      </c>
      <c r="C157" s="195" t="str">
        <f t="shared" si="51"/>
        <v/>
      </c>
      <c r="D157" s="195" t="str">
        <f t="shared" si="52"/>
        <v/>
      </c>
      <c r="E157" s="220" t="str">
        <f t="shared" si="53"/>
        <v/>
      </c>
      <c r="F157" s="194">
        <f t="shared" ca="1" si="67"/>
        <v>4.2324237948816732</v>
      </c>
      <c r="G157" s="195" t="str">
        <f t="shared" si="54"/>
        <v/>
      </c>
      <c r="H157" s="195" t="str">
        <f t="shared" si="55"/>
        <v/>
      </c>
      <c r="I157" s="220" t="str">
        <f t="shared" si="56"/>
        <v/>
      </c>
      <c r="J157" s="573" t="str">
        <f t="shared" ca="1" si="57"/>
        <v/>
      </c>
      <c r="K157" s="218" t="str">
        <f t="shared" si="58"/>
        <v/>
      </c>
      <c r="L157" s="218" t="str">
        <f t="shared" si="59"/>
        <v/>
      </c>
      <c r="M157" s="195" t="str">
        <f t="shared" si="60"/>
        <v/>
      </c>
      <c r="N157" s="221" t="str">
        <f t="shared" si="61"/>
        <v/>
      </c>
      <c r="O157" s="226"/>
      <c r="P157" s="215">
        <f t="shared" ca="1" si="68"/>
        <v>8.8099265330844247E-3</v>
      </c>
      <c r="Q157" s="215" t="str">
        <f t="shared" si="69"/>
        <v/>
      </c>
      <c r="R157" s="215" t="str">
        <f t="shared" si="62"/>
        <v/>
      </c>
      <c r="S157" s="225"/>
      <c r="T157" s="215" t="str">
        <f t="shared" si="63"/>
        <v/>
      </c>
      <c r="U157" s="215" t="str">
        <f t="shared" si="64"/>
        <v/>
      </c>
      <c r="V157" s="215" t="str">
        <f t="shared" si="65"/>
        <v/>
      </c>
    </row>
    <row r="158" spans="1:22" ht="15" customHeight="1">
      <c r="A158" s="193">
        <f t="shared" si="50"/>
        <v>2033</v>
      </c>
      <c r="B158" s="195" t="str">
        <f t="shared" si="66"/>
        <v/>
      </c>
      <c r="C158" s="195" t="str">
        <f t="shared" si="51"/>
        <v/>
      </c>
      <c r="D158" s="195" t="str">
        <f t="shared" si="52"/>
        <v/>
      </c>
      <c r="E158" s="220" t="str">
        <f t="shared" si="53"/>
        <v/>
      </c>
      <c r="F158" s="194">
        <f t="shared" ca="1" si="67"/>
        <v>4.2172954459140541</v>
      </c>
      <c r="G158" s="195" t="str">
        <f t="shared" si="54"/>
        <v/>
      </c>
      <c r="H158" s="195" t="str">
        <f t="shared" si="55"/>
        <v/>
      </c>
      <c r="I158" s="220" t="str">
        <f t="shared" si="56"/>
        <v/>
      </c>
      <c r="J158" s="573" t="str">
        <f t="shared" ca="1" si="57"/>
        <v/>
      </c>
      <c r="K158" s="218" t="str">
        <f t="shared" si="58"/>
        <v/>
      </c>
      <c r="L158" s="218" t="str">
        <f t="shared" si="59"/>
        <v/>
      </c>
      <c r="M158" s="195" t="str">
        <f t="shared" si="60"/>
        <v/>
      </c>
      <c r="N158" s="221" t="str">
        <f t="shared" si="61"/>
        <v/>
      </c>
      <c r="O158" s="226"/>
      <c r="P158" s="215">
        <f t="shared" ca="1" si="68"/>
        <v>8.8099265330844247E-3</v>
      </c>
      <c r="Q158" s="215" t="str">
        <f t="shared" si="69"/>
        <v/>
      </c>
      <c r="R158" s="215" t="str">
        <f t="shared" si="62"/>
        <v/>
      </c>
      <c r="S158" s="225"/>
      <c r="T158" s="215" t="str">
        <f t="shared" si="63"/>
        <v/>
      </c>
      <c r="U158" s="215" t="str">
        <f t="shared" si="64"/>
        <v/>
      </c>
      <c r="V158" s="215" t="str">
        <f t="shared" si="65"/>
        <v/>
      </c>
    </row>
    <row r="159" spans="1:22" ht="15" customHeight="1">
      <c r="A159" s="193">
        <f t="shared" si="50"/>
        <v>2034</v>
      </c>
      <c r="B159" s="195" t="str">
        <f t="shared" si="66"/>
        <v/>
      </c>
      <c r="C159" s="195" t="str">
        <f t="shared" si="51"/>
        <v/>
      </c>
      <c r="D159" s="195" t="str">
        <f t="shared" si="52"/>
        <v/>
      </c>
      <c r="E159" s="220" t="str">
        <f t="shared" si="53"/>
        <v/>
      </c>
      <c r="F159" s="194">
        <f t="shared" ca="1" si="67"/>
        <v>4.2050387402102505</v>
      </c>
      <c r="G159" s="195" t="str">
        <f t="shared" si="54"/>
        <v/>
      </c>
      <c r="H159" s="195" t="str">
        <f t="shared" si="55"/>
        <v/>
      </c>
      <c r="I159" s="220" t="str">
        <f t="shared" si="56"/>
        <v/>
      </c>
      <c r="J159" s="573" t="str">
        <f t="shared" ca="1" si="57"/>
        <v/>
      </c>
      <c r="K159" s="218" t="str">
        <f t="shared" si="58"/>
        <v/>
      </c>
      <c r="L159" s="218" t="str">
        <f t="shared" si="59"/>
        <v/>
      </c>
      <c r="M159" s="195" t="str">
        <f t="shared" si="60"/>
        <v/>
      </c>
      <c r="N159" s="221" t="str">
        <f t="shared" si="61"/>
        <v/>
      </c>
      <c r="O159" s="226"/>
      <c r="P159" s="215">
        <f t="shared" ca="1" si="68"/>
        <v>8.8099265330844247E-3</v>
      </c>
      <c r="Q159" s="215" t="str">
        <f t="shared" si="69"/>
        <v/>
      </c>
      <c r="R159" s="215" t="str">
        <f t="shared" si="62"/>
        <v/>
      </c>
      <c r="S159" s="225"/>
      <c r="T159" s="215" t="str">
        <f t="shared" si="63"/>
        <v/>
      </c>
      <c r="U159" s="215" t="str">
        <f t="shared" si="64"/>
        <v/>
      </c>
      <c r="V159" s="215" t="str">
        <f t="shared" si="65"/>
        <v/>
      </c>
    </row>
    <row r="160" spans="1:22" ht="15" customHeight="1">
      <c r="A160" s="193">
        <f t="shared" si="50"/>
        <v>2035</v>
      </c>
      <c r="B160" s="195" t="str">
        <f t="shared" si="66"/>
        <v/>
      </c>
      <c r="C160" s="195" t="str">
        <f t="shared" si="51"/>
        <v/>
      </c>
      <c r="D160" s="195" t="str">
        <f t="shared" si="52"/>
        <v/>
      </c>
      <c r="E160" s="220" t="str">
        <f t="shared" si="53"/>
        <v/>
      </c>
      <c r="F160" s="194">
        <f t="shared" ca="1" si="67"/>
        <v>4.2199078384431417</v>
      </c>
      <c r="G160" s="195" t="str">
        <f t="shared" si="54"/>
        <v/>
      </c>
      <c r="H160" s="195" t="str">
        <f t="shared" si="55"/>
        <v/>
      </c>
      <c r="I160" s="220" t="str">
        <f t="shared" si="56"/>
        <v/>
      </c>
      <c r="J160" s="573" t="str">
        <f t="shared" ca="1" si="57"/>
        <v/>
      </c>
      <c r="K160" s="218" t="str">
        <f t="shared" si="58"/>
        <v/>
      </c>
      <c r="L160" s="218" t="str">
        <f t="shared" si="59"/>
        <v/>
      </c>
      <c r="M160" s="195" t="str">
        <f t="shared" si="60"/>
        <v/>
      </c>
      <c r="N160" s="221" t="str">
        <f t="shared" si="61"/>
        <v/>
      </c>
      <c r="O160" s="226"/>
      <c r="P160" s="215">
        <f t="shared" ca="1" si="68"/>
        <v>8.8099265330844247E-3</v>
      </c>
      <c r="Q160" s="215" t="str">
        <f t="shared" si="69"/>
        <v/>
      </c>
      <c r="R160" s="215" t="str">
        <f t="shared" si="62"/>
        <v/>
      </c>
      <c r="S160" s="225"/>
      <c r="T160" s="215" t="str">
        <f t="shared" si="63"/>
        <v/>
      </c>
      <c r="U160" s="215" t="str">
        <f t="shared" si="64"/>
        <v/>
      </c>
      <c r="V160" s="215" t="str">
        <f t="shared" si="65"/>
        <v/>
      </c>
    </row>
    <row r="161" spans="1:22" ht="15" customHeight="1">
      <c r="A161" s="193">
        <f t="shared" si="50"/>
        <v>2036</v>
      </c>
      <c r="B161" s="195" t="str">
        <f t="shared" si="66"/>
        <v/>
      </c>
      <c r="C161" s="195" t="str">
        <f t="shared" si="51"/>
        <v/>
      </c>
      <c r="D161" s="195" t="str">
        <f t="shared" si="52"/>
        <v/>
      </c>
      <c r="E161" s="220" t="str">
        <f t="shared" si="53"/>
        <v/>
      </c>
      <c r="F161" s="194">
        <f t="shared" ca="1" si="67"/>
        <v>4.2352510217113677</v>
      </c>
      <c r="G161" s="195" t="str">
        <f t="shared" si="54"/>
        <v/>
      </c>
      <c r="H161" s="195" t="str">
        <f t="shared" si="55"/>
        <v/>
      </c>
      <c r="I161" s="220" t="str">
        <f t="shared" si="56"/>
        <v/>
      </c>
      <c r="J161" s="573" t="str">
        <f t="shared" ca="1" si="57"/>
        <v/>
      </c>
      <c r="K161" s="218" t="str">
        <f t="shared" si="58"/>
        <v/>
      </c>
      <c r="L161" s="218" t="str">
        <f t="shared" si="59"/>
        <v/>
      </c>
      <c r="M161" s="195" t="str">
        <f t="shared" si="60"/>
        <v/>
      </c>
      <c r="N161" s="221" t="str">
        <f t="shared" si="61"/>
        <v/>
      </c>
      <c r="O161" s="226"/>
      <c r="P161" s="215">
        <f t="shared" ca="1" si="68"/>
        <v>8.8099265330844247E-3</v>
      </c>
      <c r="Q161" s="215" t="str">
        <f t="shared" si="69"/>
        <v/>
      </c>
      <c r="R161" s="215" t="str">
        <f t="shared" si="62"/>
        <v/>
      </c>
      <c r="S161" s="225"/>
      <c r="T161" s="215" t="str">
        <f t="shared" si="63"/>
        <v/>
      </c>
      <c r="U161" s="215" t="str">
        <f t="shared" si="64"/>
        <v/>
      </c>
      <c r="V161" s="215" t="str">
        <f t="shared" si="65"/>
        <v/>
      </c>
    </row>
    <row r="162" spans="1:22" ht="15" customHeight="1">
      <c r="A162" s="193">
        <f t="shared" si="50"/>
        <v>2037</v>
      </c>
      <c r="B162" s="195" t="str">
        <f t="shared" si="66"/>
        <v/>
      </c>
      <c r="C162" s="195" t="str">
        <f t="shared" si="51"/>
        <v/>
      </c>
      <c r="D162" s="195" t="str">
        <f t="shared" si="52"/>
        <v/>
      </c>
      <c r="E162" s="220" t="str">
        <f t="shared" si="53"/>
        <v/>
      </c>
      <c r="F162" s="194">
        <f t="shared" ca="1" si="67"/>
        <v>4.2320487640697149</v>
      </c>
      <c r="G162" s="195" t="str">
        <f t="shared" si="54"/>
        <v/>
      </c>
      <c r="H162" s="195" t="str">
        <f t="shared" si="55"/>
        <v/>
      </c>
      <c r="I162" s="220" t="str">
        <f t="shared" si="56"/>
        <v/>
      </c>
      <c r="J162" s="573" t="str">
        <f t="shared" ca="1" si="57"/>
        <v/>
      </c>
      <c r="K162" s="218" t="str">
        <f t="shared" si="58"/>
        <v/>
      </c>
      <c r="L162" s="218" t="str">
        <f t="shared" si="59"/>
        <v/>
      </c>
      <c r="M162" s="195" t="str">
        <f t="shared" si="60"/>
        <v/>
      </c>
      <c r="N162" s="221" t="str">
        <f t="shared" si="61"/>
        <v/>
      </c>
      <c r="O162" s="226"/>
      <c r="P162" s="215">
        <f t="shared" ca="1" si="68"/>
        <v>8.8099265330844247E-3</v>
      </c>
      <c r="Q162" s="215" t="str">
        <f t="shared" si="69"/>
        <v/>
      </c>
      <c r="R162" s="215" t="str">
        <f t="shared" si="62"/>
        <v/>
      </c>
      <c r="S162" s="225"/>
      <c r="T162" s="215" t="str">
        <f t="shared" si="63"/>
        <v/>
      </c>
      <c r="U162" s="215" t="str">
        <f t="shared" si="64"/>
        <v/>
      </c>
      <c r="V162" s="215" t="str">
        <f t="shared" si="65"/>
        <v/>
      </c>
    </row>
    <row r="163" spans="1:22" ht="15" customHeight="1">
      <c r="A163" s="193">
        <f t="shared" si="50"/>
        <v>2038</v>
      </c>
      <c r="B163" s="195" t="str">
        <f t="shared" si="66"/>
        <v/>
      </c>
      <c r="C163" s="195" t="str">
        <f t="shared" si="51"/>
        <v/>
      </c>
      <c r="D163" s="195" t="str">
        <f t="shared" si="52"/>
        <v/>
      </c>
      <c r="E163" s="220" t="str">
        <f t="shared" si="53"/>
        <v/>
      </c>
      <c r="F163" s="194">
        <f t="shared" ca="1" si="67"/>
        <v>4.2329887570562788</v>
      </c>
      <c r="G163" s="195" t="str">
        <f t="shared" si="54"/>
        <v/>
      </c>
      <c r="H163" s="195" t="str">
        <f t="shared" si="55"/>
        <v/>
      </c>
      <c r="I163" s="220" t="str">
        <f t="shared" si="56"/>
        <v/>
      </c>
      <c r="J163" s="573" t="str">
        <f t="shared" ca="1" si="57"/>
        <v/>
      </c>
      <c r="K163" s="218" t="str">
        <f t="shared" si="58"/>
        <v/>
      </c>
      <c r="L163" s="218" t="str">
        <f t="shared" si="59"/>
        <v/>
      </c>
      <c r="M163" s="195" t="str">
        <f t="shared" si="60"/>
        <v/>
      </c>
      <c r="N163" s="221" t="str">
        <f t="shared" si="61"/>
        <v/>
      </c>
      <c r="O163" s="226"/>
      <c r="P163" s="215">
        <f t="shared" ca="1" si="68"/>
        <v>8.8099265330844247E-3</v>
      </c>
      <c r="Q163" s="215" t="str">
        <f t="shared" si="69"/>
        <v/>
      </c>
      <c r="R163" s="215" t="str">
        <f t="shared" si="62"/>
        <v/>
      </c>
      <c r="S163" s="225"/>
      <c r="T163" s="215" t="str">
        <f t="shared" si="63"/>
        <v/>
      </c>
      <c r="U163" s="215" t="str">
        <f t="shared" si="64"/>
        <v/>
      </c>
      <c r="V163" s="215" t="str">
        <f t="shared" si="65"/>
        <v/>
      </c>
    </row>
    <row r="164" spans="1:22" ht="15" customHeight="1">
      <c r="A164" s="193">
        <f t="shared" si="50"/>
        <v>2039</v>
      </c>
      <c r="B164" s="195" t="str">
        <f t="shared" si="66"/>
        <v/>
      </c>
      <c r="C164" s="195" t="str">
        <f t="shared" si="51"/>
        <v/>
      </c>
      <c r="D164" s="195" t="str">
        <f t="shared" si="52"/>
        <v/>
      </c>
      <c r="E164" s="220" t="str">
        <f t="shared" si="53"/>
        <v/>
      </c>
      <c r="F164" s="194">
        <f t="shared" ca="1" si="67"/>
        <v>4.236264794297707</v>
      </c>
      <c r="G164" s="195" t="str">
        <f t="shared" si="54"/>
        <v/>
      </c>
      <c r="H164" s="195" t="str">
        <f t="shared" si="55"/>
        <v/>
      </c>
      <c r="I164" s="220" t="str">
        <f t="shared" si="56"/>
        <v/>
      </c>
      <c r="J164" s="573" t="str">
        <f t="shared" ca="1" si="57"/>
        <v/>
      </c>
      <c r="K164" s="218" t="str">
        <f t="shared" si="58"/>
        <v/>
      </c>
      <c r="L164" s="218" t="str">
        <f t="shared" si="59"/>
        <v/>
      </c>
      <c r="M164" s="195" t="str">
        <f t="shared" si="60"/>
        <v/>
      </c>
      <c r="N164" s="221" t="str">
        <f t="shared" si="61"/>
        <v/>
      </c>
      <c r="O164" s="226"/>
      <c r="P164" s="215">
        <f t="shared" ca="1" si="68"/>
        <v>8.8099265330844247E-3</v>
      </c>
      <c r="Q164" s="215" t="str">
        <f t="shared" si="69"/>
        <v/>
      </c>
      <c r="R164" s="215" t="str">
        <f t="shared" si="62"/>
        <v/>
      </c>
      <c r="S164" s="225"/>
      <c r="T164" s="215" t="str">
        <f t="shared" si="63"/>
        <v/>
      </c>
      <c r="U164" s="215" t="str">
        <f t="shared" si="64"/>
        <v/>
      </c>
      <c r="V164" s="215" t="str">
        <f t="shared" si="65"/>
        <v/>
      </c>
    </row>
    <row r="165" spans="1:22" ht="15" customHeight="1">
      <c r="A165" s="193">
        <f t="shared" si="50"/>
        <v>2040</v>
      </c>
      <c r="B165" s="195" t="str">
        <f t="shared" si="66"/>
        <v/>
      </c>
      <c r="C165" s="195" t="str">
        <f t="shared" si="51"/>
        <v/>
      </c>
      <c r="D165" s="195" t="str">
        <f t="shared" si="52"/>
        <v/>
      </c>
      <c r="E165" s="220" t="str">
        <f t="shared" si="53"/>
        <v/>
      </c>
      <c r="F165" s="194">
        <f t="shared" ca="1" si="67"/>
        <v>4.2263318672226076</v>
      </c>
      <c r="G165" s="195" t="str">
        <f t="shared" si="54"/>
        <v/>
      </c>
      <c r="H165" s="195" t="str">
        <f t="shared" si="55"/>
        <v/>
      </c>
      <c r="I165" s="220" t="str">
        <f t="shared" si="56"/>
        <v/>
      </c>
      <c r="J165" s="573" t="str">
        <f t="shared" ca="1" si="57"/>
        <v/>
      </c>
      <c r="K165" s="218" t="str">
        <f t="shared" si="58"/>
        <v/>
      </c>
      <c r="L165" s="218" t="str">
        <f t="shared" si="59"/>
        <v/>
      </c>
      <c r="M165" s="195" t="str">
        <f t="shared" si="60"/>
        <v/>
      </c>
      <c r="N165" s="221" t="str">
        <f t="shared" si="61"/>
        <v/>
      </c>
      <c r="O165" s="226"/>
      <c r="P165" s="215">
        <f t="shared" ca="1" si="68"/>
        <v>8.8099265330844247E-3</v>
      </c>
      <c r="Q165" s="215" t="str">
        <f t="shared" si="69"/>
        <v/>
      </c>
      <c r="R165" s="215" t="str">
        <f t="shared" si="62"/>
        <v/>
      </c>
      <c r="S165" s="225"/>
      <c r="T165" s="215" t="str">
        <f t="shared" si="63"/>
        <v/>
      </c>
      <c r="U165" s="215" t="str">
        <f t="shared" si="64"/>
        <v/>
      </c>
      <c r="V165" s="215" t="str">
        <f t="shared" si="65"/>
        <v/>
      </c>
    </row>
    <row r="166" spans="1:22" ht="15" customHeight="1">
      <c r="A166" s="193">
        <f t="shared" si="50"/>
        <v>2041</v>
      </c>
      <c r="B166" s="195" t="str">
        <f t="shared" si="66"/>
        <v/>
      </c>
      <c r="C166" s="195" t="str">
        <f t="shared" si="51"/>
        <v/>
      </c>
      <c r="D166" s="195" t="str">
        <f t="shared" si="52"/>
        <v/>
      </c>
      <c r="E166" s="220" t="str">
        <f t="shared" si="53"/>
        <v/>
      </c>
      <c r="F166" s="194">
        <f t="shared" ca="1" si="67"/>
        <v>4.2139025135384731</v>
      </c>
      <c r="G166" s="195" t="str">
        <f t="shared" si="54"/>
        <v/>
      </c>
      <c r="H166" s="195" t="str">
        <f t="shared" si="55"/>
        <v/>
      </c>
      <c r="I166" s="220" t="str">
        <f t="shared" si="56"/>
        <v/>
      </c>
      <c r="J166" s="573" t="str">
        <f t="shared" ca="1" si="57"/>
        <v/>
      </c>
      <c r="K166" s="218" t="str">
        <f t="shared" si="58"/>
        <v/>
      </c>
      <c r="L166" s="218" t="str">
        <f t="shared" si="59"/>
        <v/>
      </c>
      <c r="M166" s="195" t="str">
        <f t="shared" si="60"/>
        <v/>
      </c>
      <c r="N166" s="221" t="str">
        <f t="shared" si="61"/>
        <v/>
      </c>
      <c r="O166" s="226"/>
      <c r="P166" s="215">
        <f t="shared" ca="1" si="68"/>
        <v>8.8099265330844247E-3</v>
      </c>
      <c r="Q166" s="215" t="str">
        <f t="shared" si="69"/>
        <v/>
      </c>
      <c r="R166" s="215" t="str">
        <f t="shared" si="62"/>
        <v/>
      </c>
      <c r="S166" s="225"/>
      <c r="T166" s="215" t="str">
        <f t="shared" si="63"/>
        <v/>
      </c>
      <c r="U166" s="215" t="str">
        <f t="shared" si="64"/>
        <v/>
      </c>
      <c r="V166" s="215" t="str">
        <f t="shared" si="65"/>
        <v/>
      </c>
    </row>
    <row r="167" spans="1:22" ht="15" customHeight="1">
      <c r="A167" s="193">
        <f t="shared" si="50"/>
        <v>2042</v>
      </c>
      <c r="B167" s="195" t="str">
        <f t="shared" si="66"/>
        <v/>
      </c>
      <c r="C167" s="195" t="str">
        <f t="shared" si="51"/>
        <v/>
      </c>
      <c r="D167" s="195" t="str">
        <f t="shared" si="52"/>
        <v/>
      </c>
      <c r="E167" s="220" t="str">
        <f t="shared" si="53"/>
        <v/>
      </c>
      <c r="F167" s="194">
        <f t="shared" ca="1" si="67"/>
        <v>4.2187899938772695</v>
      </c>
      <c r="G167" s="195" t="str">
        <f t="shared" si="54"/>
        <v/>
      </c>
      <c r="H167" s="195" t="str">
        <f t="shared" si="55"/>
        <v/>
      </c>
      <c r="I167" s="220" t="str">
        <f t="shared" si="56"/>
        <v/>
      </c>
      <c r="J167" s="573" t="str">
        <f t="shared" ca="1" si="57"/>
        <v/>
      </c>
      <c r="K167" s="218" t="str">
        <f t="shared" si="58"/>
        <v/>
      </c>
      <c r="L167" s="218" t="str">
        <f t="shared" si="59"/>
        <v/>
      </c>
      <c r="M167" s="195" t="str">
        <f t="shared" si="60"/>
        <v/>
      </c>
      <c r="N167" s="221" t="str">
        <f t="shared" si="61"/>
        <v/>
      </c>
      <c r="O167" s="226"/>
      <c r="P167" s="215">
        <f t="shared" ca="1" si="68"/>
        <v>8.8099265330844247E-3</v>
      </c>
      <c r="Q167" s="215" t="str">
        <f t="shared" si="69"/>
        <v/>
      </c>
      <c r="R167" s="215" t="str">
        <f t="shared" si="62"/>
        <v/>
      </c>
      <c r="S167" s="225"/>
      <c r="T167" s="215" t="str">
        <f t="shared" si="63"/>
        <v/>
      </c>
      <c r="U167" s="215" t="str">
        <f t="shared" si="64"/>
        <v/>
      </c>
      <c r="V167" s="215" t="str">
        <f t="shared" si="65"/>
        <v/>
      </c>
    </row>
    <row r="168" spans="1:22" ht="15" customHeight="1">
      <c r="A168" s="193">
        <f t="shared" si="50"/>
        <v>2043</v>
      </c>
      <c r="B168" s="195" t="str">
        <f t="shared" si="66"/>
        <v/>
      </c>
      <c r="C168" s="195" t="str">
        <f t="shared" si="51"/>
        <v/>
      </c>
      <c r="D168" s="195" t="str">
        <f t="shared" si="52"/>
        <v/>
      </c>
      <c r="E168" s="220" t="str">
        <f t="shared" si="53"/>
        <v/>
      </c>
      <c r="F168" s="194">
        <f t="shared" ca="1" si="67"/>
        <v>4.2316648128023679</v>
      </c>
      <c r="G168" s="195" t="str">
        <f t="shared" si="54"/>
        <v/>
      </c>
      <c r="H168" s="195" t="str">
        <f t="shared" si="55"/>
        <v/>
      </c>
      <c r="I168" s="220" t="str">
        <f t="shared" si="56"/>
        <v/>
      </c>
      <c r="J168" s="573" t="str">
        <f t="shared" ca="1" si="57"/>
        <v/>
      </c>
      <c r="K168" s="218" t="str">
        <f t="shared" si="58"/>
        <v/>
      </c>
      <c r="L168" s="218" t="str">
        <f t="shared" si="59"/>
        <v/>
      </c>
      <c r="M168" s="195" t="str">
        <f t="shared" si="60"/>
        <v/>
      </c>
      <c r="N168" s="221" t="str">
        <f t="shared" si="61"/>
        <v/>
      </c>
      <c r="O168" s="226"/>
      <c r="P168" s="215">
        <f t="shared" ca="1" si="68"/>
        <v>8.8099265330844247E-3</v>
      </c>
      <c r="Q168" s="215" t="str">
        <f t="shared" si="69"/>
        <v/>
      </c>
      <c r="R168" s="215" t="str">
        <f t="shared" si="62"/>
        <v/>
      </c>
      <c r="S168" s="225"/>
      <c r="T168" s="215" t="str">
        <f t="shared" si="63"/>
        <v/>
      </c>
      <c r="U168" s="215" t="str">
        <f t="shared" si="64"/>
        <v/>
      </c>
      <c r="V168" s="215" t="str">
        <f t="shared" si="65"/>
        <v/>
      </c>
    </row>
    <row r="169" spans="1:22" ht="15" customHeight="1">
      <c r="A169" s="193">
        <f t="shared" si="50"/>
        <v>2044</v>
      </c>
      <c r="B169" s="195" t="str">
        <f t="shared" si="66"/>
        <v/>
      </c>
      <c r="C169" s="195" t="str">
        <f t="shared" si="51"/>
        <v/>
      </c>
      <c r="D169" s="195" t="str">
        <f t="shared" si="52"/>
        <v/>
      </c>
      <c r="E169" s="220" t="str">
        <f t="shared" si="53"/>
        <v/>
      </c>
      <c r="F169" s="194">
        <f t="shared" ca="1" si="67"/>
        <v>4.2476091975952155</v>
      </c>
      <c r="G169" s="195" t="str">
        <f t="shared" si="54"/>
        <v/>
      </c>
      <c r="H169" s="195" t="str">
        <f t="shared" si="55"/>
        <v/>
      </c>
      <c r="I169" s="220" t="str">
        <f t="shared" si="56"/>
        <v/>
      </c>
      <c r="J169" s="573" t="str">
        <f t="shared" ca="1" si="57"/>
        <v/>
      </c>
      <c r="K169" s="218" t="str">
        <f t="shared" si="58"/>
        <v/>
      </c>
      <c r="L169" s="218" t="str">
        <f t="shared" si="59"/>
        <v/>
      </c>
      <c r="M169" s="195" t="str">
        <f t="shared" si="60"/>
        <v/>
      </c>
      <c r="N169" s="221" t="str">
        <f t="shared" si="61"/>
        <v/>
      </c>
      <c r="O169" s="226"/>
      <c r="P169" s="215">
        <f t="shared" ca="1" si="68"/>
        <v>8.8099265330844247E-3</v>
      </c>
      <c r="Q169" s="215" t="str">
        <f t="shared" si="69"/>
        <v/>
      </c>
      <c r="R169" s="215" t="str">
        <f t="shared" si="62"/>
        <v/>
      </c>
      <c r="S169" s="225"/>
      <c r="T169" s="215" t="str">
        <f t="shared" si="63"/>
        <v/>
      </c>
      <c r="U169" s="215" t="str">
        <f t="shared" si="64"/>
        <v/>
      </c>
      <c r="V169" s="215" t="str">
        <f t="shared" si="65"/>
        <v/>
      </c>
    </row>
    <row r="170" spans="1:22" ht="15" customHeight="1">
      <c r="A170" s="193">
        <f t="shared" si="50"/>
        <v>2045</v>
      </c>
      <c r="B170" s="195" t="str">
        <f t="shared" si="66"/>
        <v/>
      </c>
      <c r="C170" s="195" t="str">
        <f t="shared" si="51"/>
        <v/>
      </c>
      <c r="D170" s="195" t="str">
        <f t="shared" si="52"/>
        <v/>
      </c>
      <c r="E170" s="220" t="str">
        <f t="shared" si="53"/>
        <v/>
      </c>
      <c r="F170" s="194">
        <f t="shared" ca="1" si="67"/>
        <v>4.2631255863722348</v>
      </c>
      <c r="G170" s="195" t="str">
        <f t="shared" si="54"/>
        <v/>
      </c>
      <c r="H170" s="195" t="str">
        <f t="shared" si="55"/>
        <v/>
      </c>
      <c r="I170" s="220" t="str">
        <f t="shared" si="56"/>
        <v/>
      </c>
      <c r="J170" s="573" t="str">
        <f t="shared" ca="1" si="57"/>
        <v/>
      </c>
      <c r="K170" s="218" t="str">
        <f t="shared" si="58"/>
        <v/>
      </c>
      <c r="L170" s="218" t="str">
        <f t="shared" si="59"/>
        <v/>
      </c>
      <c r="M170" s="195" t="str">
        <f t="shared" si="60"/>
        <v/>
      </c>
      <c r="N170" s="221" t="str">
        <f t="shared" si="61"/>
        <v/>
      </c>
      <c r="O170" s="226"/>
      <c r="P170" s="215">
        <f t="shared" ca="1" si="68"/>
        <v>8.8099265330844247E-3</v>
      </c>
      <c r="Q170" s="215" t="str">
        <f t="shared" si="69"/>
        <v/>
      </c>
      <c r="R170" s="215" t="str">
        <f t="shared" si="62"/>
        <v/>
      </c>
      <c r="S170" s="225"/>
      <c r="T170" s="215" t="str">
        <f t="shared" si="63"/>
        <v/>
      </c>
      <c r="U170" s="215" t="str">
        <f t="shared" si="64"/>
        <v/>
      </c>
      <c r="V170" s="215" t="str">
        <f t="shared" si="65"/>
        <v/>
      </c>
    </row>
    <row r="171" spans="1:22" ht="15" customHeight="1">
      <c r="A171" s="193">
        <f t="shared" si="50"/>
        <v>2046</v>
      </c>
      <c r="B171" s="195" t="str">
        <f t="shared" si="66"/>
        <v/>
      </c>
      <c r="C171" s="195" t="str">
        <f t="shared" si="51"/>
        <v/>
      </c>
      <c r="D171" s="195" t="str">
        <f t="shared" si="52"/>
        <v/>
      </c>
      <c r="E171" s="220" t="str">
        <f t="shared" si="53"/>
        <v/>
      </c>
      <c r="F171" s="194">
        <f t="shared" ca="1" si="67"/>
        <v>4.278901225883982</v>
      </c>
      <c r="G171" s="195" t="str">
        <f t="shared" si="54"/>
        <v/>
      </c>
      <c r="H171" s="195" t="str">
        <f t="shared" si="55"/>
        <v/>
      </c>
      <c r="I171" s="220" t="str">
        <f t="shared" si="56"/>
        <v/>
      </c>
      <c r="J171" s="573" t="str">
        <f t="shared" ca="1" si="57"/>
        <v/>
      </c>
      <c r="K171" s="218" t="str">
        <f t="shared" si="58"/>
        <v/>
      </c>
      <c r="L171" s="218" t="str">
        <f t="shared" si="59"/>
        <v/>
      </c>
      <c r="M171" s="195" t="str">
        <f t="shared" si="60"/>
        <v/>
      </c>
      <c r="N171" s="221" t="str">
        <f t="shared" si="61"/>
        <v/>
      </c>
      <c r="O171" s="226"/>
      <c r="P171" s="215">
        <f t="shared" ca="1" si="68"/>
        <v>8.8099265330844247E-3</v>
      </c>
      <c r="Q171" s="215" t="str">
        <f t="shared" si="69"/>
        <v/>
      </c>
      <c r="R171" s="215" t="str">
        <f t="shared" si="62"/>
        <v/>
      </c>
      <c r="S171" s="225"/>
      <c r="T171" s="215" t="str">
        <f t="shared" si="63"/>
        <v/>
      </c>
      <c r="U171" s="215" t="str">
        <f t="shared" si="64"/>
        <v/>
      </c>
      <c r="V171" s="215" t="str">
        <f t="shared" si="65"/>
        <v/>
      </c>
    </row>
    <row r="172" spans="1:22" ht="15" customHeight="1">
      <c r="A172" s="193">
        <f t="shared" si="50"/>
        <v>2047</v>
      </c>
      <c r="B172" s="195" t="str">
        <f t="shared" si="66"/>
        <v/>
      </c>
      <c r="C172" s="195" t="str">
        <f t="shared" si="51"/>
        <v/>
      </c>
      <c r="D172" s="195" t="str">
        <f t="shared" si="52"/>
        <v/>
      </c>
      <c r="E172" s="220" t="str">
        <f t="shared" si="53"/>
        <v/>
      </c>
      <c r="F172" s="194">
        <f t="shared" ca="1" si="67"/>
        <v>4.2930578027427169</v>
      </c>
      <c r="G172" s="195" t="str">
        <f t="shared" si="54"/>
        <v/>
      </c>
      <c r="H172" s="195" t="str">
        <f t="shared" si="55"/>
        <v/>
      </c>
      <c r="I172" s="220" t="str">
        <f t="shared" si="56"/>
        <v/>
      </c>
      <c r="J172" s="573" t="str">
        <f t="shared" ca="1" si="57"/>
        <v/>
      </c>
      <c r="K172" s="218" t="str">
        <f t="shared" si="58"/>
        <v/>
      </c>
      <c r="L172" s="218" t="str">
        <f t="shared" si="59"/>
        <v/>
      </c>
      <c r="M172" s="195" t="str">
        <f t="shared" si="60"/>
        <v/>
      </c>
      <c r="N172" s="221" t="str">
        <f t="shared" si="61"/>
        <v/>
      </c>
      <c r="O172" s="226"/>
      <c r="P172" s="215">
        <f t="shared" ca="1" si="68"/>
        <v>8.8099265330844247E-3</v>
      </c>
      <c r="Q172" s="215" t="str">
        <f t="shared" si="69"/>
        <v/>
      </c>
      <c r="R172" s="215" t="str">
        <f t="shared" si="62"/>
        <v/>
      </c>
      <c r="S172" s="225"/>
      <c r="T172" s="215" t="str">
        <f t="shared" si="63"/>
        <v/>
      </c>
      <c r="U172" s="215" t="str">
        <f t="shared" si="64"/>
        <v/>
      </c>
      <c r="V172" s="215" t="str">
        <f t="shared" si="65"/>
        <v/>
      </c>
    </row>
    <row r="173" spans="1:22" ht="15" customHeight="1">
      <c r="A173" s="193">
        <f t="shared" si="50"/>
        <v>2048</v>
      </c>
      <c r="B173" s="195" t="str">
        <f t="shared" si="66"/>
        <v/>
      </c>
      <c r="C173" s="195" t="str">
        <f t="shared" si="51"/>
        <v/>
      </c>
      <c r="D173" s="195" t="str">
        <f t="shared" si="52"/>
        <v/>
      </c>
      <c r="E173" s="220" t="str">
        <f t="shared" si="53"/>
        <v/>
      </c>
      <c r="F173" s="194">
        <f t="shared" ca="1" si="67"/>
        <v>4.3089819306681187</v>
      </c>
      <c r="G173" s="195" t="str">
        <f t="shared" si="54"/>
        <v/>
      </c>
      <c r="H173" s="195" t="str">
        <f t="shared" si="55"/>
        <v/>
      </c>
      <c r="I173" s="220" t="str">
        <f t="shared" si="56"/>
        <v/>
      </c>
      <c r="J173" s="573" t="str">
        <f t="shared" ca="1" si="57"/>
        <v/>
      </c>
      <c r="K173" s="218" t="str">
        <f t="shared" si="58"/>
        <v/>
      </c>
      <c r="L173" s="218" t="str">
        <f t="shared" si="59"/>
        <v/>
      </c>
      <c r="M173" s="195" t="str">
        <f t="shared" si="60"/>
        <v/>
      </c>
      <c r="N173" s="221" t="str">
        <f t="shared" si="61"/>
        <v/>
      </c>
      <c r="O173" s="226"/>
      <c r="P173" s="215">
        <f t="shared" ca="1" si="68"/>
        <v>8.8099265330844247E-3</v>
      </c>
      <c r="Q173" s="215" t="str">
        <f t="shared" si="69"/>
        <v/>
      </c>
      <c r="R173" s="215" t="str">
        <f t="shared" si="62"/>
        <v/>
      </c>
      <c r="S173" s="225"/>
      <c r="T173" s="215" t="str">
        <f t="shared" si="63"/>
        <v/>
      </c>
      <c r="U173" s="215" t="str">
        <f t="shared" si="64"/>
        <v/>
      </c>
      <c r="V173" s="215" t="str">
        <f t="shared" si="65"/>
        <v/>
      </c>
    </row>
    <row r="174" spans="1:22" ht="15" customHeight="1">
      <c r="A174" s="193">
        <f t="shared" si="50"/>
        <v>2049</v>
      </c>
      <c r="B174" s="195" t="str">
        <f t="shared" si="66"/>
        <v/>
      </c>
      <c r="C174" s="195" t="str">
        <f t="shared" si="51"/>
        <v/>
      </c>
      <c r="D174" s="195" t="str">
        <f t="shared" si="52"/>
        <v/>
      </c>
      <c r="E174" s="220" t="str">
        <f t="shared" si="53"/>
        <v/>
      </c>
      <c r="F174" s="194">
        <f t="shared" ca="1" si="67"/>
        <v>4.3227785299833643</v>
      </c>
      <c r="G174" s="195" t="str">
        <f t="shared" si="54"/>
        <v/>
      </c>
      <c r="H174" s="195" t="str">
        <f t="shared" si="55"/>
        <v/>
      </c>
      <c r="I174" s="220" t="str">
        <f t="shared" si="56"/>
        <v/>
      </c>
      <c r="J174" s="573" t="str">
        <f t="shared" ca="1" si="57"/>
        <v/>
      </c>
      <c r="K174" s="218" t="str">
        <f t="shared" si="58"/>
        <v/>
      </c>
      <c r="L174" s="218" t="str">
        <f t="shared" si="59"/>
        <v/>
      </c>
      <c r="M174" s="195" t="str">
        <f t="shared" si="60"/>
        <v/>
      </c>
      <c r="N174" s="221" t="str">
        <f t="shared" si="61"/>
        <v/>
      </c>
      <c r="O174" s="226"/>
      <c r="P174" s="215">
        <f t="shared" ca="1" si="68"/>
        <v>8.8099265330844247E-3</v>
      </c>
      <c r="Q174" s="215" t="str">
        <f t="shared" si="69"/>
        <v/>
      </c>
      <c r="R174" s="215" t="str">
        <f t="shared" si="62"/>
        <v/>
      </c>
      <c r="S174" s="225"/>
      <c r="T174" s="215" t="str">
        <f t="shared" si="63"/>
        <v/>
      </c>
      <c r="U174" s="215" t="str">
        <f t="shared" si="64"/>
        <v/>
      </c>
      <c r="V174" s="215" t="str">
        <f t="shared" si="65"/>
        <v/>
      </c>
    </row>
    <row r="175" spans="1:22" ht="15" customHeight="1">
      <c r="A175" s="193">
        <f t="shared" si="50"/>
        <v>2050</v>
      </c>
      <c r="B175" s="195" t="str">
        <f t="shared" si="66"/>
        <v/>
      </c>
      <c r="C175" s="195" t="str">
        <f t="shared" si="51"/>
        <v/>
      </c>
      <c r="D175" s="195" t="str">
        <f t="shared" si="52"/>
        <v/>
      </c>
      <c r="E175" s="220" t="str">
        <f t="shared" si="53"/>
        <v/>
      </c>
      <c r="F175" s="194">
        <f t="shared" ca="1" si="67"/>
        <v>4.3361540094671422</v>
      </c>
      <c r="G175" s="195" t="str">
        <f t="shared" si="54"/>
        <v/>
      </c>
      <c r="H175" s="195" t="str">
        <f t="shared" si="55"/>
        <v/>
      </c>
      <c r="I175" s="220" t="str">
        <f t="shared" si="56"/>
        <v/>
      </c>
      <c r="J175" s="573" t="str">
        <f t="shared" ca="1" si="57"/>
        <v/>
      </c>
      <c r="K175" s="218" t="str">
        <f t="shared" si="58"/>
        <v/>
      </c>
      <c r="L175" s="218" t="str">
        <f t="shared" si="59"/>
        <v/>
      </c>
      <c r="M175" s="195" t="str">
        <f t="shared" si="60"/>
        <v/>
      </c>
      <c r="N175" s="221" t="str">
        <f t="shared" si="61"/>
        <v/>
      </c>
      <c r="O175" s="226"/>
      <c r="P175" s="215">
        <f t="shared" ca="1" si="68"/>
        <v>8.8099265330844247E-3</v>
      </c>
      <c r="Q175" s="215" t="str">
        <f t="shared" si="69"/>
        <v/>
      </c>
      <c r="R175" s="215" t="str">
        <f t="shared" si="62"/>
        <v/>
      </c>
      <c r="S175" s="225"/>
      <c r="T175" s="215" t="str">
        <f t="shared" si="63"/>
        <v/>
      </c>
      <c r="U175" s="215" t="str">
        <f t="shared" si="64"/>
        <v/>
      </c>
      <c r="V175" s="215" t="str">
        <f t="shared" si="65"/>
        <v/>
      </c>
    </row>
    <row r="176" spans="1:22" ht="15" customHeight="1">
      <c r="A176" s="193">
        <f t="shared" si="50"/>
        <v>2051</v>
      </c>
      <c r="B176" s="195" t="str">
        <f t="shared" si="66"/>
        <v/>
      </c>
      <c r="C176" s="195" t="str">
        <f t="shared" si="51"/>
        <v/>
      </c>
      <c r="D176" s="195" t="str">
        <f t="shared" si="52"/>
        <v/>
      </c>
      <c r="E176" s="220" t="str">
        <f t="shared" si="53"/>
        <v/>
      </c>
      <c r="F176" s="194">
        <f t="shared" ca="1" si="67"/>
        <v>4.340086707782735</v>
      </c>
      <c r="G176" s="195" t="str">
        <f t="shared" si="54"/>
        <v/>
      </c>
      <c r="H176" s="195" t="str">
        <f t="shared" si="55"/>
        <v/>
      </c>
      <c r="I176" s="220" t="str">
        <f t="shared" si="56"/>
        <v/>
      </c>
      <c r="J176" s="573" t="str">
        <f t="shared" ca="1" si="57"/>
        <v/>
      </c>
      <c r="K176" s="218" t="str">
        <f t="shared" si="58"/>
        <v/>
      </c>
      <c r="L176" s="218" t="str">
        <f t="shared" si="59"/>
        <v/>
      </c>
      <c r="M176" s="195" t="str">
        <f t="shared" si="60"/>
        <v/>
      </c>
      <c r="N176" s="221" t="str">
        <f t="shared" si="61"/>
        <v/>
      </c>
      <c r="O176" s="226"/>
      <c r="P176" s="215">
        <f t="shared" ca="1" si="68"/>
        <v>8.8099265330844247E-3</v>
      </c>
      <c r="Q176" s="215" t="str">
        <f t="shared" si="69"/>
        <v/>
      </c>
      <c r="R176" s="215" t="str">
        <f t="shared" si="62"/>
        <v/>
      </c>
      <c r="S176" s="225"/>
      <c r="T176" s="215" t="str">
        <f t="shared" si="63"/>
        <v/>
      </c>
      <c r="U176" s="215" t="str">
        <f t="shared" si="64"/>
        <v/>
      </c>
      <c r="V176" s="215" t="str">
        <f t="shared" si="65"/>
        <v/>
      </c>
    </row>
    <row r="177" spans="1:22" ht="15" customHeight="1">
      <c r="A177" s="193">
        <f t="shared" si="50"/>
        <v>2052</v>
      </c>
      <c r="B177" s="195" t="str">
        <f t="shared" si="66"/>
        <v/>
      </c>
      <c r="C177" s="195" t="str">
        <f t="shared" si="51"/>
        <v/>
      </c>
      <c r="D177" s="195" t="str">
        <f t="shared" si="52"/>
        <v/>
      </c>
      <c r="E177" s="220" t="str">
        <f t="shared" si="53"/>
        <v/>
      </c>
      <c r="F177" s="194">
        <f t="shared" ca="1" si="67"/>
        <v>4.344022972880321</v>
      </c>
      <c r="G177" s="195" t="str">
        <f t="shared" si="54"/>
        <v/>
      </c>
      <c r="H177" s="195" t="str">
        <f t="shared" si="55"/>
        <v/>
      </c>
      <c r="I177" s="220" t="str">
        <f t="shared" si="56"/>
        <v/>
      </c>
      <c r="J177" s="573" t="str">
        <f t="shared" ca="1" si="57"/>
        <v/>
      </c>
      <c r="K177" s="218" t="str">
        <f t="shared" si="58"/>
        <v/>
      </c>
      <c r="L177" s="218" t="str">
        <f t="shared" si="59"/>
        <v/>
      </c>
      <c r="M177" s="195" t="str">
        <f t="shared" si="60"/>
        <v/>
      </c>
      <c r="N177" s="221" t="str">
        <f t="shared" si="61"/>
        <v/>
      </c>
      <c r="O177" s="226"/>
      <c r="P177" s="215">
        <f t="shared" ca="1" si="68"/>
        <v>8.8099265330844247E-3</v>
      </c>
      <c r="Q177" s="215" t="str">
        <f t="shared" si="69"/>
        <v/>
      </c>
      <c r="R177" s="215" t="str">
        <f t="shared" si="62"/>
        <v/>
      </c>
      <c r="S177" s="225"/>
      <c r="T177" s="215" t="str">
        <f t="shared" si="63"/>
        <v/>
      </c>
      <c r="U177" s="215" t="str">
        <f t="shared" si="64"/>
        <v/>
      </c>
      <c r="V177" s="215" t="str">
        <f t="shared" si="65"/>
        <v/>
      </c>
    </row>
    <row r="178" spans="1:22" ht="15" customHeight="1">
      <c r="A178" s="193">
        <f t="shared" si="50"/>
        <v>2053</v>
      </c>
      <c r="B178" s="195" t="str">
        <f t="shared" si="66"/>
        <v/>
      </c>
      <c r="C178" s="195" t="str">
        <f t="shared" si="51"/>
        <v/>
      </c>
      <c r="D178" s="195" t="str">
        <f t="shared" si="52"/>
        <v/>
      </c>
      <c r="E178" s="220" t="str">
        <f t="shared" si="53"/>
        <v/>
      </c>
      <c r="F178" s="194">
        <f t="shared" ca="1" si="67"/>
        <v>4.3479628079948132</v>
      </c>
      <c r="G178" s="195" t="str">
        <f t="shared" si="54"/>
        <v/>
      </c>
      <c r="H178" s="195" t="str">
        <f t="shared" si="55"/>
        <v/>
      </c>
      <c r="I178" s="220" t="str">
        <f t="shared" si="56"/>
        <v/>
      </c>
      <c r="J178" s="573" t="str">
        <f t="shared" ca="1" si="57"/>
        <v/>
      </c>
      <c r="K178" s="218" t="str">
        <f t="shared" si="58"/>
        <v/>
      </c>
      <c r="L178" s="218" t="str">
        <f t="shared" si="59"/>
        <v/>
      </c>
      <c r="M178" s="195" t="str">
        <f t="shared" si="60"/>
        <v/>
      </c>
      <c r="N178" s="221" t="str">
        <f t="shared" si="61"/>
        <v/>
      </c>
      <c r="O178" s="226"/>
      <c r="P178" s="215">
        <f t="shared" ca="1" si="68"/>
        <v>8.8099265330844247E-3</v>
      </c>
      <c r="Q178" s="215" t="str">
        <f t="shared" si="69"/>
        <v/>
      </c>
      <c r="R178" s="215" t="str">
        <f t="shared" si="62"/>
        <v/>
      </c>
      <c r="S178" s="225"/>
      <c r="T178" s="215" t="str">
        <f t="shared" si="63"/>
        <v/>
      </c>
      <c r="U178" s="215" t="str">
        <f t="shared" si="64"/>
        <v/>
      </c>
      <c r="V178" s="215" t="str">
        <f t="shared" si="65"/>
        <v/>
      </c>
    </row>
    <row r="179" spans="1:22" ht="15" customHeight="1">
      <c r="A179" s="193">
        <f t="shared" si="50"/>
        <v>2054</v>
      </c>
      <c r="B179" s="195" t="str">
        <f t="shared" si="66"/>
        <v/>
      </c>
      <c r="C179" s="195" t="str">
        <f t="shared" si="51"/>
        <v/>
      </c>
      <c r="D179" s="195" t="str">
        <f t="shared" si="52"/>
        <v/>
      </c>
      <c r="E179" s="220" t="str">
        <f t="shared" si="53"/>
        <v/>
      </c>
      <c r="F179" s="194">
        <f t="shared" ca="1" si="67"/>
        <v>4.3519062163640569</v>
      </c>
      <c r="G179" s="195" t="str">
        <f t="shared" si="54"/>
        <v/>
      </c>
      <c r="H179" s="195" t="str">
        <f t="shared" si="55"/>
        <v/>
      </c>
      <c r="I179" s="220" t="str">
        <f t="shared" si="56"/>
        <v/>
      </c>
      <c r="J179" s="573" t="str">
        <f t="shared" ca="1" si="57"/>
        <v/>
      </c>
      <c r="K179" s="218" t="str">
        <f t="shared" si="58"/>
        <v/>
      </c>
      <c r="L179" s="218" t="str">
        <f t="shared" si="59"/>
        <v/>
      </c>
      <c r="M179" s="195" t="str">
        <f t="shared" si="60"/>
        <v/>
      </c>
      <c r="N179" s="221" t="str">
        <f t="shared" si="61"/>
        <v/>
      </c>
      <c r="O179" s="226"/>
      <c r="P179" s="215">
        <f t="shared" ca="1" si="68"/>
        <v>8.8099265330844247E-3</v>
      </c>
      <c r="Q179" s="215" t="str">
        <f t="shared" si="69"/>
        <v/>
      </c>
      <c r="R179" s="215" t="str">
        <f t="shared" si="62"/>
        <v/>
      </c>
      <c r="S179" s="225"/>
      <c r="T179" s="215" t="str">
        <f t="shared" si="63"/>
        <v/>
      </c>
      <c r="U179" s="215" t="str">
        <f t="shared" si="64"/>
        <v/>
      </c>
      <c r="V179" s="215" t="str">
        <f t="shared" si="65"/>
        <v/>
      </c>
    </row>
    <row r="180" spans="1:22" ht="15" customHeight="1">
      <c r="A180" s="193" t="str">
        <f t="shared" si="50"/>
        <v/>
      </c>
      <c r="B180" s="195" t="str">
        <f t="shared" si="66"/>
        <v/>
      </c>
      <c r="C180" s="195" t="str">
        <f t="shared" si="51"/>
        <v/>
      </c>
      <c r="D180" s="195" t="str">
        <f t="shared" si="52"/>
        <v/>
      </c>
      <c r="E180" s="220" t="str">
        <f t="shared" si="53"/>
        <v/>
      </c>
      <c r="F180" s="194" t="str">
        <f t="shared" si="67"/>
        <v/>
      </c>
      <c r="G180" s="195" t="str">
        <f t="shared" si="54"/>
        <v/>
      </c>
      <c r="H180" s="195" t="str">
        <f t="shared" si="55"/>
        <v/>
      </c>
      <c r="I180" s="220" t="str">
        <f t="shared" si="56"/>
        <v/>
      </c>
      <c r="J180" s="573" t="str">
        <f t="shared" si="57"/>
        <v/>
      </c>
      <c r="K180" s="218" t="str">
        <f t="shared" si="58"/>
        <v/>
      </c>
      <c r="L180" s="218" t="str">
        <f t="shared" si="59"/>
        <v/>
      </c>
      <c r="M180" s="195" t="str">
        <f t="shared" si="60"/>
        <v/>
      </c>
      <c r="N180" s="221" t="str">
        <f t="shared" si="61"/>
        <v/>
      </c>
      <c r="O180" s="226"/>
      <c r="P180" s="215" t="str">
        <f t="shared" si="68"/>
        <v/>
      </c>
      <c r="Q180" s="215" t="str">
        <f t="shared" si="69"/>
        <v/>
      </c>
      <c r="R180" s="215" t="str">
        <f t="shared" si="62"/>
        <v/>
      </c>
      <c r="S180" s="225"/>
      <c r="T180" s="215" t="str">
        <f t="shared" si="63"/>
        <v/>
      </c>
      <c r="U180" s="215" t="str">
        <f t="shared" si="64"/>
        <v/>
      </c>
      <c r="V180" s="215" t="str">
        <f t="shared" si="65"/>
        <v/>
      </c>
    </row>
    <row r="181" spans="1:22" ht="15" customHeight="1">
      <c r="A181" s="193" t="str">
        <f t="shared" si="50"/>
        <v/>
      </c>
      <c r="B181" s="195" t="str">
        <f t="shared" si="66"/>
        <v/>
      </c>
      <c r="C181" s="195" t="str">
        <f t="shared" si="51"/>
        <v/>
      </c>
      <c r="D181" s="195" t="str">
        <f t="shared" si="52"/>
        <v/>
      </c>
      <c r="E181" s="220" t="str">
        <f t="shared" si="53"/>
        <v/>
      </c>
      <c r="F181" s="194" t="str">
        <f t="shared" si="67"/>
        <v/>
      </c>
      <c r="G181" s="195" t="str">
        <f t="shared" si="54"/>
        <v/>
      </c>
      <c r="H181" s="195" t="str">
        <f t="shared" si="55"/>
        <v/>
      </c>
      <c r="I181" s="220" t="str">
        <f t="shared" si="56"/>
        <v/>
      </c>
      <c r="J181" s="573" t="str">
        <f t="shared" si="57"/>
        <v/>
      </c>
      <c r="K181" s="218" t="str">
        <f t="shared" si="58"/>
        <v/>
      </c>
      <c r="L181" s="218" t="str">
        <f t="shared" si="59"/>
        <v/>
      </c>
      <c r="M181" s="195" t="str">
        <f t="shared" si="60"/>
        <v/>
      </c>
      <c r="N181" s="221" t="str">
        <f t="shared" si="61"/>
        <v/>
      </c>
      <c r="O181" s="226"/>
      <c r="P181" s="215" t="str">
        <f t="shared" si="68"/>
        <v/>
      </c>
      <c r="Q181" s="215" t="str">
        <f t="shared" si="69"/>
        <v/>
      </c>
      <c r="R181" s="215" t="str">
        <f t="shared" si="62"/>
        <v/>
      </c>
      <c r="S181" s="225"/>
      <c r="T181" s="215" t="str">
        <f t="shared" si="63"/>
        <v/>
      </c>
      <c r="U181" s="215" t="str">
        <f t="shared" si="64"/>
        <v/>
      </c>
      <c r="V181" s="215" t="str">
        <f t="shared" si="65"/>
        <v/>
      </c>
    </row>
    <row r="182" spans="1:22" ht="15" customHeight="1" thickBot="1">
      <c r="A182" s="196" t="str">
        <f t="shared" si="50"/>
        <v/>
      </c>
      <c r="B182" s="195" t="str">
        <f t="shared" si="66"/>
        <v/>
      </c>
      <c r="C182" s="195" t="str">
        <f t="shared" si="51"/>
        <v/>
      </c>
      <c r="D182" s="195" t="str">
        <f t="shared" si="52"/>
        <v/>
      </c>
      <c r="E182" s="220" t="str">
        <f t="shared" si="53"/>
        <v/>
      </c>
      <c r="F182" s="194" t="str">
        <f t="shared" si="67"/>
        <v/>
      </c>
      <c r="G182" s="195" t="str">
        <f t="shared" si="54"/>
        <v/>
      </c>
      <c r="H182" s="195" t="str">
        <f t="shared" si="55"/>
        <v/>
      </c>
      <c r="I182" s="220" t="str">
        <f t="shared" si="56"/>
        <v/>
      </c>
      <c r="J182" s="573" t="str">
        <f t="shared" si="57"/>
        <v/>
      </c>
      <c r="K182" s="218" t="str">
        <f t="shared" si="58"/>
        <v/>
      </c>
      <c r="L182" s="218" t="str">
        <f t="shared" si="59"/>
        <v/>
      </c>
      <c r="M182" s="195" t="str">
        <f t="shared" si="60"/>
        <v/>
      </c>
      <c r="N182" s="221" t="str">
        <f t="shared" si="61"/>
        <v/>
      </c>
      <c r="O182" s="227"/>
      <c r="P182" s="215" t="str">
        <f t="shared" si="68"/>
        <v/>
      </c>
      <c r="Q182" s="215" t="str">
        <f t="shared" si="69"/>
        <v/>
      </c>
      <c r="R182" s="215" t="str">
        <f t="shared" si="62"/>
        <v/>
      </c>
      <c r="S182" s="225"/>
      <c r="T182" s="215" t="str">
        <f t="shared" si="63"/>
        <v/>
      </c>
      <c r="U182" s="215" t="str">
        <f t="shared" si="64"/>
        <v/>
      </c>
      <c r="V182" s="215" t="str">
        <f t="shared" si="65"/>
        <v/>
      </c>
    </row>
    <row r="184" spans="1:22" ht="13.5" thickBot="1">
      <c r="A184" s="997" t="s">
        <v>1184</v>
      </c>
    </row>
    <row r="185" spans="1:22" ht="26.25" thickTop="1">
      <c r="A185" s="192" t="s">
        <v>1030</v>
      </c>
      <c r="B185" s="223" t="str">
        <f>IF(B$131="","",B$131&amp;" ($/year)")</f>
        <v/>
      </c>
      <c r="C185" s="223" t="str">
        <f t="shared" ref="C185:N185" si="70">IF(C$131="","",C$131&amp;" ($/year)")</f>
        <v/>
      </c>
      <c r="D185" s="223" t="str">
        <f t="shared" si="70"/>
        <v/>
      </c>
      <c r="E185" s="223" t="str">
        <f t="shared" si="70"/>
        <v/>
      </c>
      <c r="F185" s="223" t="str">
        <f t="shared" si="70"/>
        <v>Industrial Electricity ($/year)</v>
      </c>
      <c r="G185" s="223" t="str">
        <f t="shared" si="70"/>
        <v/>
      </c>
      <c r="H185" s="223" t="str">
        <f t="shared" si="70"/>
        <v/>
      </c>
      <c r="I185" s="568" t="str">
        <f t="shared" si="70"/>
        <v/>
      </c>
      <c r="J185" s="223" t="str">
        <f t="shared" ca="1" si="70"/>
        <v/>
      </c>
      <c r="K185" s="223" t="str">
        <f t="shared" si="70"/>
        <v/>
      </c>
      <c r="L185" s="223" t="str">
        <f t="shared" si="70"/>
        <v/>
      </c>
      <c r="M185" s="223" t="str">
        <f t="shared" si="70"/>
        <v/>
      </c>
      <c r="N185" s="223" t="str">
        <f t="shared" si="70"/>
        <v/>
      </c>
    </row>
    <row r="186" spans="1:22">
      <c r="A186" s="193">
        <f>+A139</f>
        <v>2014</v>
      </c>
      <c r="B186" s="195">
        <f>IF($C65="","",IF($C65&lt;0,0,IF(AND($C65=1,start_time&lt;1),-(SUM(B139)*output_kgyear*$E65*percnt_var*start_time+SUM(B139)*output_kgyear*$E65*(1-start_time)),IF($C65&lt;=start_time,-SUM(B139)*output_kgyear*$E65*percnt_var,-SUM(B139)*output_kgyear*$E65))))</f>
        <v>0</v>
      </c>
      <c r="C186" s="195">
        <f t="shared" ref="C186:N186" si="71">IF($C65="","",IF($C65&lt;0,0,IF(AND($C65=1,start_time&lt;1),-(SUM(C139)*output_kgyear*$E65*percnt_var*start_time+SUM(C139)*output_kgyear*$E65*(1-start_time)),IF($C65&lt;=start_time,-SUM(C139)*output_kgyear*$E65*percnt_var,-SUM(C139)*output_kgyear*$E65))))</f>
        <v>0</v>
      </c>
      <c r="D186" s="195">
        <f t="shared" si="71"/>
        <v>0</v>
      </c>
      <c r="E186" s="220">
        <f t="shared" si="71"/>
        <v>0</v>
      </c>
      <c r="F186" s="194">
        <f t="shared" si="71"/>
        <v>0</v>
      </c>
      <c r="G186" s="195">
        <f t="shared" si="71"/>
        <v>0</v>
      </c>
      <c r="H186" s="195">
        <f t="shared" si="71"/>
        <v>0</v>
      </c>
      <c r="I186" s="220">
        <f t="shared" si="71"/>
        <v>0</v>
      </c>
      <c r="J186" s="573">
        <f t="shared" si="71"/>
        <v>0</v>
      </c>
      <c r="K186" s="218">
        <f t="shared" si="71"/>
        <v>0</v>
      </c>
      <c r="L186" s="218">
        <f t="shared" si="71"/>
        <v>0</v>
      </c>
      <c r="M186" s="195">
        <f t="shared" si="71"/>
        <v>0</v>
      </c>
      <c r="N186" s="221">
        <f t="shared" si="71"/>
        <v>0</v>
      </c>
    </row>
    <row r="187" spans="1:22">
      <c r="A187" s="193">
        <f t="shared" ref="A187:A229" si="72">+A140</f>
        <v>2015</v>
      </c>
      <c r="B187" s="195">
        <f t="shared" ref="B187:N187" ca="1" si="73">IF($C66="","",IF($C66&lt;0,0,IF(AND($C66=1,start_time&lt;1),-(SUM(B140)*output_kgyear*$E66*percnt_var*start_time+SUM(B140)*output_kgyear*$E66*(1-start_time)),IF($C66&lt;=start_time,-SUM(B140)*output_kgyear*$E66*percnt_var,-SUM(B140)*output_kgyear*$E66))))</f>
        <v>0</v>
      </c>
      <c r="C187" s="195">
        <f t="shared" ca="1" si="73"/>
        <v>0</v>
      </c>
      <c r="D187" s="195">
        <f t="shared" ca="1" si="73"/>
        <v>0</v>
      </c>
      <c r="E187" s="220">
        <f t="shared" ca="1" si="73"/>
        <v>0</v>
      </c>
      <c r="F187" s="194">
        <f t="shared" ca="1" si="73"/>
        <v>-57183514.110253498</v>
      </c>
      <c r="G187" s="195">
        <f t="shared" ca="1" si="73"/>
        <v>0</v>
      </c>
      <c r="H187" s="195">
        <f t="shared" ca="1" si="73"/>
        <v>0</v>
      </c>
      <c r="I187" s="220">
        <f t="shared" ca="1" si="73"/>
        <v>0</v>
      </c>
      <c r="J187" s="573">
        <f t="shared" ca="1" si="73"/>
        <v>0</v>
      </c>
      <c r="K187" s="218">
        <f t="shared" ca="1" si="73"/>
        <v>0</v>
      </c>
      <c r="L187" s="218">
        <f t="shared" ca="1" si="73"/>
        <v>0</v>
      </c>
      <c r="M187" s="195">
        <f t="shared" ca="1" si="73"/>
        <v>0</v>
      </c>
      <c r="N187" s="221">
        <f t="shared" ca="1" si="73"/>
        <v>0</v>
      </c>
    </row>
    <row r="188" spans="1:22">
      <c r="A188" s="193">
        <f t="shared" si="72"/>
        <v>2016</v>
      </c>
      <c r="B188" s="195">
        <f t="shared" ref="B188:N188" ca="1" si="74">IF($C67="","",IF($C67&lt;0,0,IF(AND($C67=1,start_time&lt;1),-(SUM(B141)*output_kgyear*$E67*percnt_var*start_time+SUM(B141)*output_kgyear*$E67*(1-start_time)),IF($C67&lt;=start_time,-SUM(B141)*output_kgyear*$E67*percnt_var,-SUM(B141)*output_kgyear*$E67))))</f>
        <v>0</v>
      </c>
      <c r="C188" s="195">
        <f t="shared" ca="1" si="74"/>
        <v>0</v>
      </c>
      <c r="D188" s="195">
        <f t="shared" ca="1" si="74"/>
        <v>0</v>
      </c>
      <c r="E188" s="220">
        <f t="shared" ca="1" si="74"/>
        <v>0</v>
      </c>
      <c r="F188" s="194">
        <f t="shared" ca="1" si="74"/>
        <v>-75050329.620901778</v>
      </c>
      <c r="G188" s="195">
        <f t="shared" ca="1" si="74"/>
        <v>0</v>
      </c>
      <c r="H188" s="195">
        <f t="shared" ca="1" si="74"/>
        <v>0</v>
      </c>
      <c r="I188" s="220">
        <f t="shared" ca="1" si="74"/>
        <v>0</v>
      </c>
      <c r="J188" s="573">
        <f t="shared" ca="1" si="74"/>
        <v>0</v>
      </c>
      <c r="K188" s="218">
        <f t="shared" ca="1" si="74"/>
        <v>0</v>
      </c>
      <c r="L188" s="218">
        <f t="shared" ca="1" si="74"/>
        <v>0</v>
      </c>
      <c r="M188" s="195">
        <f t="shared" ca="1" si="74"/>
        <v>0</v>
      </c>
      <c r="N188" s="221">
        <f t="shared" ca="1" si="74"/>
        <v>0</v>
      </c>
    </row>
    <row r="189" spans="1:22">
      <c r="A189" s="193">
        <f t="shared" si="72"/>
        <v>2017</v>
      </c>
      <c r="B189" s="195">
        <f t="shared" ref="B189:N189" ca="1" si="75">IF($C68="","",IF($C68&lt;0,0,IF(AND($C68=1,start_time&lt;1),-(SUM(B142)*output_kgyear*$E68*percnt_var*start_time+SUM(B142)*output_kgyear*$E68*(1-start_time)),IF($C68&lt;=start_time,-SUM(B142)*output_kgyear*$E68*percnt_var,-SUM(B142)*output_kgyear*$E68))))</f>
        <v>0</v>
      </c>
      <c r="C189" s="195">
        <f t="shared" ca="1" si="75"/>
        <v>0</v>
      </c>
      <c r="D189" s="195">
        <f t="shared" ca="1" si="75"/>
        <v>0</v>
      </c>
      <c r="E189" s="220">
        <f t="shared" ca="1" si="75"/>
        <v>0</v>
      </c>
      <c r="F189" s="194">
        <f ca="1">IF($C68="","",IF($C68&lt;0,0,IF(AND($C68=1,start_time&lt;1),-(SUM(F142)*output_kgyear*$E68*percnt_var*start_time+SUM(F142)*output_kgyear*$E68*(1-start_time)),IF($C68&lt;=start_time,-SUM(F142)*output_kgyear*$E68*percnt_var,-SUM(F142)*output_kgyear*$E68))))</f>
        <v>-79570404.60773015</v>
      </c>
      <c r="G189" s="195">
        <f t="shared" ca="1" si="75"/>
        <v>0</v>
      </c>
      <c r="H189" s="195">
        <f t="shared" ca="1" si="75"/>
        <v>0</v>
      </c>
      <c r="I189" s="220">
        <f t="shared" ca="1" si="75"/>
        <v>0</v>
      </c>
      <c r="J189" s="573">
        <f t="shared" ca="1" si="75"/>
        <v>0</v>
      </c>
      <c r="K189" s="218">
        <f t="shared" ca="1" si="75"/>
        <v>0</v>
      </c>
      <c r="L189" s="218">
        <f t="shared" ca="1" si="75"/>
        <v>0</v>
      </c>
      <c r="M189" s="195">
        <f t="shared" ca="1" si="75"/>
        <v>0</v>
      </c>
      <c r="N189" s="221">
        <f t="shared" ca="1" si="75"/>
        <v>0</v>
      </c>
    </row>
    <row r="190" spans="1:22">
      <c r="A190" s="193">
        <f t="shared" si="72"/>
        <v>2018</v>
      </c>
      <c r="B190" s="195">
        <f t="shared" ref="B190:N190" ca="1" si="76">IF($C69="","",IF($C69&lt;0,0,IF(AND($C69=1,start_time&lt;1),-(SUM(B143)*output_kgyear*$E69*percnt_var*start_time+SUM(B143)*output_kgyear*$E69*(1-start_time)),IF($C69&lt;=start_time,-SUM(B143)*output_kgyear*$E69*percnt_var,-SUM(B143)*output_kgyear*$E69))))</f>
        <v>0</v>
      </c>
      <c r="C190" s="195">
        <f t="shared" ca="1" si="76"/>
        <v>0</v>
      </c>
      <c r="D190" s="195">
        <f t="shared" ca="1" si="76"/>
        <v>0</v>
      </c>
      <c r="E190" s="220">
        <f t="shared" ca="1" si="76"/>
        <v>0</v>
      </c>
      <c r="F190" s="194">
        <f t="shared" ca="1" si="76"/>
        <v>-79244564.585442439</v>
      </c>
      <c r="G190" s="195">
        <f t="shared" ca="1" si="76"/>
        <v>0</v>
      </c>
      <c r="H190" s="195">
        <f t="shared" ca="1" si="76"/>
        <v>0</v>
      </c>
      <c r="I190" s="220">
        <f t="shared" ca="1" si="76"/>
        <v>0</v>
      </c>
      <c r="J190" s="573">
        <f t="shared" ca="1" si="76"/>
        <v>0</v>
      </c>
      <c r="K190" s="218">
        <f t="shared" ca="1" si="76"/>
        <v>0</v>
      </c>
      <c r="L190" s="218">
        <f t="shared" ca="1" si="76"/>
        <v>0</v>
      </c>
      <c r="M190" s="195">
        <f t="shared" ca="1" si="76"/>
        <v>0</v>
      </c>
      <c r="N190" s="221">
        <f t="shared" ca="1" si="76"/>
        <v>0</v>
      </c>
    </row>
    <row r="191" spans="1:22">
      <c r="A191" s="193">
        <f t="shared" si="72"/>
        <v>2019</v>
      </c>
      <c r="B191" s="195">
        <f t="shared" ref="B191:N191" ca="1" si="77">IF($C70="","",IF($C70&lt;0,0,IF(AND($C70=1,start_time&lt;1),-(SUM(B144)*output_kgyear*$E70*percnt_var*start_time+SUM(B144)*output_kgyear*$E70*(1-start_time)),IF($C70&lt;=start_time,-SUM(B144)*output_kgyear*$E70*percnt_var,-SUM(B144)*output_kgyear*$E70))))</f>
        <v>0</v>
      </c>
      <c r="C191" s="195">
        <f t="shared" ca="1" si="77"/>
        <v>0</v>
      </c>
      <c r="D191" s="195">
        <f t="shared" ca="1" si="77"/>
        <v>0</v>
      </c>
      <c r="E191" s="220">
        <f t="shared" ca="1" si="77"/>
        <v>0</v>
      </c>
      <c r="F191" s="194">
        <f t="shared" ca="1" si="77"/>
        <v>-81791340.061993599</v>
      </c>
      <c r="G191" s="195">
        <f t="shared" ca="1" si="77"/>
        <v>0</v>
      </c>
      <c r="H191" s="195">
        <f t="shared" ca="1" si="77"/>
        <v>0</v>
      </c>
      <c r="I191" s="220">
        <f t="shared" ca="1" si="77"/>
        <v>0</v>
      </c>
      <c r="J191" s="573">
        <f t="shared" ca="1" si="77"/>
        <v>0</v>
      </c>
      <c r="K191" s="218">
        <f t="shared" ca="1" si="77"/>
        <v>0</v>
      </c>
      <c r="L191" s="218">
        <f t="shared" ca="1" si="77"/>
        <v>0</v>
      </c>
      <c r="M191" s="195">
        <f t="shared" ca="1" si="77"/>
        <v>0</v>
      </c>
      <c r="N191" s="221">
        <f t="shared" ca="1" si="77"/>
        <v>0</v>
      </c>
    </row>
    <row r="192" spans="1:22">
      <c r="A192" s="193">
        <f t="shared" si="72"/>
        <v>2020</v>
      </c>
      <c r="B192" s="195">
        <f t="shared" ref="B192:N192" ca="1" si="78">IF($C71="","",IF($C71&lt;0,0,IF(AND($C71=1,start_time&lt;1),-(SUM(B145)*output_kgyear*$E71*percnt_var*start_time+SUM(B145)*output_kgyear*$E71*(1-start_time)),IF($C71&lt;=start_time,-SUM(B145)*output_kgyear*$E71*percnt_var,-SUM(B145)*output_kgyear*$E71))))</f>
        <v>0</v>
      </c>
      <c r="C192" s="195">
        <f t="shared" ca="1" si="78"/>
        <v>0</v>
      </c>
      <c r="D192" s="195">
        <f t="shared" ca="1" si="78"/>
        <v>0</v>
      </c>
      <c r="E192" s="220">
        <f t="shared" ca="1" si="78"/>
        <v>0</v>
      </c>
      <c r="F192" s="194">
        <f t="shared" ca="1" si="78"/>
        <v>-84896055.968939587</v>
      </c>
      <c r="G192" s="195">
        <f t="shared" ca="1" si="78"/>
        <v>0</v>
      </c>
      <c r="H192" s="195">
        <f t="shared" ca="1" si="78"/>
        <v>0</v>
      </c>
      <c r="I192" s="220">
        <f t="shared" ca="1" si="78"/>
        <v>0</v>
      </c>
      <c r="J192" s="573">
        <f t="shared" ca="1" si="78"/>
        <v>0</v>
      </c>
      <c r="K192" s="218">
        <f t="shared" ca="1" si="78"/>
        <v>0</v>
      </c>
      <c r="L192" s="218">
        <f t="shared" ca="1" si="78"/>
        <v>0</v>
      </c>
      <c r="M192" s="195">
        <f t="shared" ca="1" si="78"/>
        <v>0</v>
      </c>
      <c r="N192" s="221">
        <f t="shared" ca="1" si="78"/>
        <v>0</v>
      </c>
    </row>
    <row r="193" spans="1:14">
      <c r="A193" s="193">
        <f t="shared" si="72"/>
        <v>2021</v>
      </c>
      <c r="B193" s="195">
        <f t="shared" ref="B193:N193" ca="1" si="79">IF($C72="","",IF($C72&lt;0,0,IF(AND($C72=1,start_time&lt;1),-(SUM(B146)*output_kgyear*$E72*percnt_var*start_time+SUM(B146)*output_kgyear*$E72*(1-start_time)),IF($C72&lt;=start_time,-SUM(B146)*output_kgyear*$E72*percnt_var,-SUM(B146)*output_kgyear*$E72))))</f>
        <v>0</v>
      </c>
      <c r="C193" s="195">
        <f t="shared" ca="1" si="79"/>
        <v>0</v>
      </c>
      <c r="D193" s="195">
        <f t="shared" ca="1" si="79"/>
        <v>0</v>
      </c>
      <c r="E193" s="220">
        <f t="shared" ca="1" si="79"/>
        <v>0</v>
      </c>
      <c r="F193" s="194">
        <f t="shared" ca="1" si="79"/>
        <v>-86985544.674204379</v>
      </c>
      <c r="G193" s="195">
        <f t="shared" ca="1" si="79"/>
        <v>0</v>
      </c>
      <c r="H193" s="195">
        <f t="shared" ca="1" si="79"/>
        <v>0</v>
      </c>
      <c r="I193" s="220">
        <f t="shared" ca="1" si="79"/>
        <v>0</v>
      </c>
      <c r="J193" s="573">
        <f t="shared" ca="1" si="79"/>
        <v>0</v>
      </c>
      <c r="K193" s="218">
        <f t="shared" ca="1" si="79"/>
        <v>0</v>
      </c>
      <c r="L193" s="218">
        <f t="shared" ca="1" si="79"/>
        <v>0</v>
      </c>
      <c r="M193" s="195">
        <f t="shared" ca="1" si="79"/>
        <v>0</v>
      </c>
      <c r="N193" s="221">
        <f t="shared" ca="1" si="79"/>
        <v>0</v>
      </c>
    </row>
    <row r="194" spans="1:14">
      <c r="A194" s="193">
        <f t="shared" si="72"/>
        <v>2022</v>
      </c>
      <c r="B194" s="195">
        <f t="shared" ref="B194:N194" ca="1" si="80">IF($C73="","",IF($C73&lt;0,0,IF(AND($C73=1,start_time&lt;1),-(SUM(B147)*output_kgyear*$E73*percnt_var*start_time+SUM(B147)*output_kgyear*$E73*(1-start_time)),IF($C73&lt;=start_time,-SUM(B147)*output_kgyear*$E73*percnt_var,-SUM(B147)*output_kgyear*$E73))))</f>
        <v>0</v>
      </c>
      <c r="C194" s="195">
        <f t="shared" ca="1" si="80"/>
        <v>0</v>
      </c>
      <c r="D194" s="195">
        <f t="shared" ca="1" si="80"/>
        <v>0</v>
      </c>
      <c r="E194" s="220">
        <f t="shared" ca="1" si="80"/>
        <v>0</v>
      </c>
      <c r="F194" s="194">
        <f t="shared" ca="1" si="80"/>
        <v>-91499309.273549303</v>
      </c>
      <c r="G194" s="195">
        <f t="shared" ca="1" si="80"/>
        <v>0</v>
      </c>
      <c r="H194" s="195">
        <f t="shared" ca="1" si="80"/>
        <v>0</v>
      </c>
      <c r="I194" s="220">
        <f t="shared" ca="1" si="80"/>
        <v>0</v>
      </c>
      <c r="J194" s="573">
        <f t="shared" ca="1" si="80"/>
        <v>0</v>
      </c>
      <c r="K194" s="218">
        <f t="shared" ca="1" si="80"/>
        <v>0</v>
      </c>
      <c r="L194" s="218">
        <f t="shared" ca="1" si="80"/>
        <v>0</v>
      </c>
      <c r="M194" s="195">
        <f t="shared" ca="1" si="80"/>
        <v>0</v>
      </c>
      <c r="N194" s="221">
        <f t="shared" ca="1" si="80"/>
        <v>0</v>
      </c>
    </row>
    <row r="195" spans="1:14">
      <c r="A195" s="193">
        <f t="shared" si="72"/>
        <v>2023</v>
      </c>
      <c r="B195" s="195">
        <f t="shared" ref="B195:N195" ca="1" si="81">IF($C74="","",IF($C74&lt;0,0,IF(AND($C74=1,start_time&lt;1),-(SUM(B148)*output_kgyear*$E74*percnt_var*start_time+SUM(B148)*output_kgyear*$E74*(1-start_time)),IF($C74&lt;=start_time,-SUM(B148)*output_kgyear*$E74*percnt_var,-SUM(B148)*output_kgyear*$E74))))</f>
        <v>0</v>
      </c>
      <c r="C195" s="195">
        <f t="shared" ca="1" si="81"/>
        <v>0</v>
      </c>
      <c r="D195" s="195">
        <f t="shared" ca="1" si="81"/>
        <v>0</v>
      </c>
      <c r="E195" s="220">
        <f t="shared" ca="1" si="81"/>
        <v>0</v>
      </c>
      <c r="F195" s="194">
        <f t="shared" ca="1" si="81"/>
        <v>-93533303.781048685</v>
      </c>
      <c r="G195" s="195">
        <f t="shared" ca="1" si="81"/>
        <v>0</v>
      </c>
      <c r="H195" s="195">
        <f t="shared" ca="1" si="81"/>
        <v>0</v>
      </c>
      <c r="I195" s="220">
        <f t="shared" ca="1" si="81"/>
        <v>0</v>
      </c>
      <c r="J195" s="573">
        <f t="shared" ca="1" si="81"/>
        <v>0</v>
      </c>
      <c r="K195" s="218">
        <f t="shared" ca="1" si="81"/>
        <v>0</v>
      </c>
      <c r="L195" s="218">
        <f t="shared" ca="1" si="81"/>
        <v>0</v>
      </c>
      <c r="M195" s="195">
        <f t="shared" ca="1" si="81"/>
        <v>0</v>
      </c>
      <c r="N195" s="221">
        <f t="shared" ca="1" si="81"/>
        <v>0</v>
      </c>
    </row>
    <row r="196" spans="1:14">
      <c r="A196" s="193">
        <f t="shared" si="72"/>
        <v>2024</v>
      </c>
      <c r="B196" s="195">
        <f t="shared" ref="B196:N196" ca="1" si="82">IF($C75="","",IF($C75&lt;0,0,IF(AND($C75=1,start_time&lt;1),-(SUM(B149)*output_kgyear*$E75*percnt_var*start_time+SUM(B149)*output_kgyear*$E75*(1-start_time)),IF($C75&lt;=start_time,-SUM(B149)*output_kgyear*$E75*percnt_var,-SUM(B149)*output_kgyear*$E75))))</f>
        <v>0</v>
      </c>
      <c r="C196" s="195">
        <f t="shared" ca="1" si="82"/>
        <v>0</v>
      </c>
      <c r="D196" s="195">
        <f t="shared" ca="1" si="82"/>
        <v>0</v>
      </c>
      <c r="E196" s="220">
        <f t="shared" ca="1" si="82"/>
        <v>0</v>
      </c>
      <c r="F196" s="194">
        <f t="shared" ca="1" si="82"/>
        <v>-95059182.781912088</v>
      </c>
      <c r="G196" s="195">
        <f t="shared" ca="1" si="82"/>
        <v>0</v>
      </c>
      <c r="H196" s="195">
        <f t="shared" ca="1" si="82"/>
        <v>0</v>
      </c>
      <c r="I196" s="220">
        <f t="shared" ca="1" si="82"/>
        <v>0</v>
      </c>
      <c r="J196" s="573">
        <f t="shared" ca="1" si="82"/>
        <v>0</v>
      </c>
      <c r="K196" s="218">
        <f t="shared" ca="1" si="82"/>
        <v>0</v>
      </c>
      <c r="L196" s="218">
        <f t="shared" ca="1" si="82"/>
        <v>0</v>
      </c>
      <c r="M196" s="195">
        <f t="shared" ca="1" si="82"/>
        <v>0</v>
      </c>
      <c r="N196" s="221">
        <f t="shared" ca="1" si="82"/>
        <v>0</v>
      </c>
    </row>
    <row r="197" spans="1:14">
      <c r="A197" s="193">
        <f t="shared" si="72"/>
        <v>2025</v>
      </c>
      <c r="B197" s="195">
        <f t="shared" ref="B197:N197" ca="1" si="83">IF($C76="","",IF($C76&lt;0,0,IF(AND($C76=1,start_time&lt;1),-(SUM(B150)*output_kgyear*$E76*percnt_var*start_time+SUM(B150)*output_kgyear*$E76*(1-start_time)),IF($C76&lt;=start_time,-SUM(B150)*output_kgyear*$E76*percnt_var,-SUM(B150)*output_kgyear*$E76))))</f>
        <v>0</v>
      </c>
      <c r="C197" s="195">
        <f t="shared" ca="1" si="83"/>
        <v>0</v>
      </c>
      <c r="D197" s="195">
        <f t="shared" ca="1" si="83"/>
        <v>0</v>
      </c>
      <c r="E197" s="220">
        <f t="shared" ca="1" si="83"/>
        <v>0</v>
      </c>
      <c r="F197" s="194">
        <f t="shared" ca="1" si="83"/>
        <v>-99191194.124721676</v>
      </c>
      <c r="G197" s="195">
        <f t="shared" ca="1" si="83"/>
        <v>0</v>
      </c>
      <c r="H197" s="195">
        <f t="shared" ca="1" si="83"/>
        <v>0</v>
      </c>
      <c r="I197" s="220">
        <f t="shared" ca="1" si="83"/>
        <v>0</v>
      </c>
      <c r="J197" s="573">
        <f t="shared" ca="1" si="83"/>
        <v>0</v>
      </c>
      <c r="K197" s="218">
        <f t="shared" ca="1" si="83"/>
        <v>0</v>
      </c>
      <c r="L197" s="218">
        <f t="shared" ca="1" si="83"/>
        <v>0</v>
      </c>
      <c r="M197" s="195">
        <f t="shared" ca="1" si="83"/>
        <v>0</v>
      </c>
      <c r="N197" s="221">
        <f t="shared" ca="1" si="83"/>
        <v>0</v>
      </c>
    </row>
    <row r="198" spans="1:14">
      <c r="A198" s="193">
        <f t="shared" si="72"/>
        <v>2026</v>
      </c>
      <c r="B198" s="195">
        <f t="shared" ref="B198:N198" ca="1" si="84">IF($C77="","",IF($C77&lt;0,0,IF(AND($C77=1,start_time&lt;1),-(SUM(B151)*output_kgyear*$E77*percnt_var*start_time+SUM(B151)*output_kgyear*$E77*(1-start_time)),IF($C77&lt;=start_time,-SUM(B151)*output_kgyear*$E77*percnt_var,-SUM(B151)*output_kgyear*$E77))))</f>
        <v>0</v>
      </c>
      <c r="C198" s="195">
        <f t="shared" ca="1" si="84"/>
        <v>0</v>
      </c>
      <c r="D198" s="195">
        <f t="shared" ca="1" si="84"/>
        <v>0</v>
      </c>
      <c r="E198" s="220">
        <f t="shared" ca="1" si="84"/>
        <v>0</v>
      </c>
      <c r="F198" s="194">
        <f t="shared" ca="1" si="84"/>
        <v>-102102293.29799804</v>
      </c>
      <c r="G198" s="195">
        <f t="shared" ca="1" si="84"/>
        <v>0</v>
      </c>
      <c r="H198" s="195">
        <f t="shared" ca="1" si="84"/>
        <v>0</v>
      </c>
      <c r="I198" s="220">
        <f t="shared" ca="1" si="84"/>
        <v>0</v>
      </c>
      <c r="J198" s="573">
        <f t="shared" ca="1" si="84"/>
        <v>0</v>
      </c>
      <c r="K198" s="218">
        <f t="shared" ca="1" si="84"/>
        <v>0</v>
      </c>
      <c r="L198" s="218">
        <f t="shared" ca="1" si="84"/>
        <v>0</v>
      </c>
      <c r="M198" s="195">
        <f t="shared" ca="1" si="84"/>
        <v>0</v>
      </c>
      <c r="N198" s="221">
        <f t="shared" ca="1" si="84"/>
        <v>0</v>
      </c>
    </row>
    <row r="199" spans="1:14">
      <c r="A199" s="193">
        <f t="shared" si="72"/>
        <v>2027</v>
      </c>
      <c r="B199" s="195">
        <f t="shared" ref="B199:N199" ca="1" si="85">IF($C78="","",IF($C78&lt;0,0,IF(AND($C78=1,start_time&lt;1),-(SUM(B152)*output_kgyear*$E78*percnt_var*start_time+SUM(B152)*output_kgyear*$E78*(1-start_time)),IF($C78&lt;=start_time,-SUM(B152)*output_kgyear*$E78*percnt_var,-SUM(B152)*output_kgyear*$E78))))</f>
        <v>0</v>
      </c>
      <c r="C199" s="195">
        <f t="shared" ca="1" si="85"/>
        <v>0</v>
      </c>
      <c r="D199" s="195">
        <f t="shared" ca="1" si="85"/>
        <v>0</v>
      </c>
      <c r="E199" s="220">
        <f t="shared" ca="1" si="85"/>
        <v>0</v>
      </c>
      <c r="F199" s="194">
        <f t="shared" ca="1" si="85"/>
        <v>-104641699.63106632</v>
      </c>
      <c r="G199" s="195">
        <f t="shared" ca="1" si="85"/>
        <v>0</v>
      </c>
      <c r="H199" s="195">
        <f t="shared" ca="1" si="85"/>
        <v>0</v>
      </c>
      <c r="I199" s="220">
        <f t="shared" ca="1" si="85"/>
        <v>0</v>
      </c>
      <c r="J199" s="573">
        <f t="shared" ca="1" si="85"/>
        <v>0</v>
      </c>
      <c r="K199" s="218">
        <f t="shared" ca="1" si="85"/>
        <v>0</v>
      </c>
      <c r="L199" s="218">
        <f t="shared" ca="1" si="85"/>
        <v>0</v>
      </c>
      <c r="M199" s="195">
        <f t="shared" ca="1" si="85"/>
        <v>0</v>
      </c>
      <c r="N199" s="221">
        <f t="shared" ca="1" si="85"/>
        <v>0</v>
      </c>
    </row>
    <row r="200" spans="1:14">
      <c r="A200" s="193">
        <f t="shared" si="72"/>
        <v>2028</v>
      </c>
      <c r="B200" s="195">
        <f t="shared" ref="B200:N200" ca="1" si="86">IF($C79="","",IF($C79&lt;0,0,IF(AND($C79=1,start_time&lt;1),-(SUM(B153)*output_kgyear*$E79*percnt_var*start_time+SUM(B153)*output_kgyear*$E79*(1-start_time)),IF($C79&lt;=start_time,-SUM(B153)*output_kgyear*$E79*percnt_var,-SUM(B153)*output_kgyear*$E79))))</f>
        <v>0</v>
      </c>
      <c r="C200" s="195">
        <f t="shared" ca="1" si="86"/>
        <v>0</v>
      </c>
      <c r="D200" s="195">
        <f t="shared" ca="1" si="86"/>
        <v>0</v>
      </c>
      <c r="E200" s="220">
        <f t="shared" ca="1" si="86"/>
        <v>0</v>
      </c>
      <c r="F200" s="194">
        <f t="shared" ca="1" si="86"/>
        <v>-107322721.05948691</v>
      </c>
      <c r="G200" s="195">
        <f t="shared" ca="1" si="86"/>
        <v>0</v>
      </c>
      <c r="H200" s="195">
        <f t="shared" ca="1" si="86"/>
        <v>0</v>
      </c>
      <c r="I200" s="220">
        <f t="shared" ca="1" si="86"/>
        <v>0</v>
      </c>
      <c r="J200" s="573">
        <f t="shared" ca="1" si="86"/>
        <v>0</v>
      </c>
      <c r="K200" s="218">
        <f t="shared" ca="1" si="86"/>
        <v>0</v>
      </c>
      <c r="L200" s="218">
        <f t="shared" ca="1" si="86"/>
        <v>0</v>
      </c>
      <c r="M200" s="195">
        <f t="shared" ca="1" si="86"/>
        <v>0</v>
      </c>
      <c r="N200" s="221">
        <f t="shared" ca="1" si="86"/>
        <v>0</v>
      </c>
    </row>
    <row r="201" spans="1:14">
      <c r="A201" s="193">
        <f t="shared" si="72"/>
        <v>2029</v>
      </c>
      <c r="B201" s="195">
        <f t="shared" ref="B201:N201" ca="1" si="87">IF($C80="","",IF($C80&lt;0,0,IF(AND($C80=1,start_time&lt;1),-(SUM(B154)*output_kgyear*$E80*percnt_var*start_time+SUM(B154)*output_kgyear*$E80*(1-start_time)),IF($C80&lt;=start_time,-SUM(B154)*output_kgyear*$E80*percnt_var,-SUM(B154)*output_kgyear*$E80))))</f>
        <v>0</v>
      </c>
      <c r="C201" s="195">
        <f t="shared" ca="1" si="87"/>
        <v>0</v>
      </c>
      <c r="D201" s="195">
        <f t="shared" ca="1" si="87"/>
        <v>0</v>
      </c>
      <c r="E201" s="220">
        <f t="shared" ca="1" si="87"/>
        <v>0</v>
      </c>
      <c r="F201" s="194">
        <f t="shared" ca="1" si="87"/>
        <v>-109916526.20727374</v>
      </c>
      <c r="G201" s="195">
        <f t="shared" ca="1" si="87"/>
        <v>0</v>
      </c>
      <c r="H201" s="195">
        <f t="shared" ca="1" si="87"/>
        <v>0</v>
      </c>
      <c r="I201" s="220">
        <f t="shared" ca="1" si="87"/>
        <v>0</v>
      </c>
      <c r="J201" s="573">
        <f t="shared" ca="1" si="87"/>
        <v>0</v>
      </c>
      <c r="K201" s="218">
        <f t="shared" ca="1" si="87"/>
        <v>0</v>
      </c>
      <c r="L201" s="218">
        <f t="shared" ca="1" si="87"/>
        <v>0</v>
      </c>
      <c r="M201" s="195">
        <f t="shared" ca="1" si="87"/>
        <v>0</v>
      </c>
      <c r="N201" s="221">
        <f t="shared" ca="1" si="87"/>
        <v>0</v>
      </c>
    </row>
    <row r="202" spans="1:14">
      <c r="A202" s="193">
        <f t="shared" si="72"/>
        <v>2030</v>
      </c>
      <c r="B202" s="195">
        <f t="shared" ref="B202:N202" ca="1" si="88">IF($C81="","",IF($C81&lt;0,0,IF(AND($C81=1,start_time&lt;1),-(SUM(B155)*output_kgyear*$E81*percnt_var*start_time+SUM(B155)*output_kgyear*$E81*(1-start_time)),IF($C81&lt;=start_time,-SUM(B155)*output_kgyear*$E81*percnt_var,-SUM(B155)*output_kgyear*$E81))))</f>
        <v>0</v>
      </c>
      <c r="C202" s="195">
        <f t="shared" ca="1" si="88"/>
        <v>0</v>
      </c>
      <c r="D202" s="195">
        <f t="shared" ca="1" si="88"/>
        <v>0</v>
      </c>
      <c r="E202" s="220">
        <f t="shared" ca="1" si="88"/>
        <v>0</v>
      </c>
      <c r="F202" s="194">
        <f t="shared" ca="1" si="88"/>
        <v>-112397612.3653173</v>
      </c>
      <c r="G202" s="195">
        <f t="shared" ca="1" si="88"/>
        <v>0</v>
      </c>
      <c r="H202" s="195">
        <f t="shared" ca="1" si="88"/>
        <v>0</v>
      </c>
      <c r="I202" s="220">
        <f t="shared" ca="1" si="88"/>
        <v>0</v>
      </c>
      <c r="J202" s="573">
        <f t="shared" ca="1" si="88"/>
        <v>0</v>
      </c>
      <c r="K202" s="218">
        <f t="shared" ca="1" si="88"/>
        <v>0</v>
      </c>
      <c r="L202" s="218">
        <f t="shared" ca="1" si="88"/>
        <v>0</v>
      </c>
      <c r="M202" s="195">
        <f t="shared" ca="1" si="88"/>
        <v>0</v>
      </c>
      <c r="N202" s="221">
        <f t="shared" ca="1" si="88"/>
        <v>0</v>
      </c>
    </row>
    <row r="203" spans="1:14">
      <c r="A203" s="193">
        <f t="shared" si="72"/>
        <v>2031</v>
      </c>
      <c r="B203" s="195">
        <f t="shared" ref="B203:N203" ca="1" si="89">IF($C82="","",IF($C82&lt;0,0,IF(AND($C82=1,start_time&lt;1),-(SUM(B156)*output_kgyear*$E82*percnt_var*start_time+SUM(B156)*output_kgyear*$E82*(1-start_time)),IF($C82&lt;=start_time,-SUM(B156)*output_kgyear*$E82*percnt_var,-SUM(B156)*output_kgyear*$E82))))</f>
        <v>0</v>
      </c>
      <c r="C203" s="195">
        <f t="shared" ca="1" si="89"/>
        <v>0</v>
      </c>
      <c r="D203" s="195">
        <f t="shared" ca="1" si="89"/>
        <v>0</v>
      </c>
      <c r="E203" s="220">
        <f t="shared" ca="1" si="89"/>
        <v>0</v>
      </c>
      <c r="F203" s="194">
        <f t="shared" ca="1" si="89"/>
        <v>-114678263.8573676</v>
      </c>
      <c r="G203" s="195">
        <f t="shared" ca="1" si="89"/>
        <v>0</v>
      </c>
      <c r="H203" s="195">
        <f t="shared" ca="1" si="89"/>
        <v>0</v>
      </c>
      <c r="I203" s="220">
        <f t="shared" ca="1" si="89"/>
        <v>0</v>
      </c>
      <c r="J203" s="573">
        <f t="shared" ca="1" si="89"/>
        <v>0</v>
      </c>
      <c r="K203" s="218">
        <f t="shared" ca="1" si="89"/>
        <v>0</v>
      </c>
      <c r="L203" s="218">
        <f t="shared" ca="1" si="89"/>
        <v>0</v>
      </c>
      <c r="M203" s="195">
        <f t="shared" ca="1" si="89"/>
        <v>0</v>
      </c>
      <c r="N203" s="221">
        <f t="shared" ca="1" si="89"/>
        <v>0</v>
      </c>
    </row>
    <row r="204" spans="1:14">
      <c r="A204" s="193">
        <f t="shared" si="72"/>
        <v>2032</v>
      </c>
      <c r="B204" s="195">
        <f t="shared" ref="B204:N204" ca="1" si="90">IF($C83="","",IF($C83&lt;0,0,IF(AND($C83=1,start_time&lt;1),-(SUM(B157)*output_kgyear*$E83*percnt_var*start_time+SUM(B157)*output_kgyear*$E83*(1-start_time)),IF($C83&lt;=start_time,-SUM(B157)*output_kgyear*$E83*percnt_var,-SUM(B157)*output_kgyear*$E83))))</f>
        <v>0</v>
      </c>
      <c r="C204" s="195">
        <f t="shared" ca="1" si="90"/>
        <v>0</v>
      </c>
      <c r="D204" s="195">
        <f t="shared" ca="1" si="90"/>
        <v>0</v>
      </c>
      <c r="E204" s="220">
        <f t="shared" ca="1" si="90"/>
        <v>0</v>
      </c>
      <c r="F204" s="194">
        <f t="shared" ca="1" si="90"/>
        <v>-116590542.20569089</v>
      </c>
      <c r="G204" s="195">
        <f t="shared" ca="1" si="90"/>
        <v>0</v>
      </c>
      <c r="H204" s="195">
        <f t="shared" ca="1" si="90"/>
        <v>0</v>
      </c>
      <c r="I204" s="220">
        <f t="shared" ca="1" si="90"/>
        <v>0</v>
      </c>
      <c r="J204" s="573">
        <f t="shared" ca="1" si="90"/>
        <v>0</v>
      </c>
      <c r="K204" s="218">
        <f t="shared" ca="1" si="90"/>
        <v>0</v>
      </c>
      <c r="L204" s="218">
        <f t="shared" ca="1" si="90"/>
        <v>0</v>
      </c>
      <c r="M204" s="195">
        <f t="shared" ca="1" si="90"/>
        <v>0</v>
      </c>
      <c r="N204" s="221">
        <f t="shared" ca="1" si="90"/>
        <v>0</v>
      </c>
    </row>
    <row r="205" spans="1:14">
      <c r="A205" s="193">
        <f t="shared" si="72"/>
        <v>2033</v>
      </c>
      <c r="B205" s="195">
        <f t="shared" ref="B205:N205" ca="1" si="91">IF($C84="","",IF($C84&lt;0,0,IF(AND($C84=1,start_time&lt;1),-(SUM(B158)*output_kgyear*$E84*percnt_var*start_time+SUM(B158)*output_kgyear*$E84*(1-start_time)),IF($C84&lt;=start_time,-SUM(B158)*output_kgyear*$E84*percnt_var,-SUM(B158)*output_kgyear*$E84))))</f>
        <v>0</v>
      </c>
      <c r="C205" s="195">
        <f t="shared" ca="1" si="91"/>
        <v>0</v>
      </c>
      <c r="D205" s="195">
        <f t="shared" ca="1" si="91"/>
        <v>0</v>
      </c>
      <c r="E205" s="220">
        <f t="shared" ca="1" si="91"/>
        <v>0</v>
      </c>
      <c r="F205" s="194">
        <f t="shared" ca="1" si="91"/>
        <v>-118381103.93802179</v>
      </c>
      <c r="G205" s="195">
        <f t="shared" ca="1" si="91"/>
        <v>0</v>
      </c>
      <c r="H205" s="195">
        <f t="shared" ca="1" si="91"/>
        <v>0</v>
      </c>
      <c r="I205" s="220">
        <f t="shared" ca="1" si="91"/>
        <v>0</v>
      </c>
      <c r="J205" s="573">
        <f t="shared" ca="1" si="91"/>
        <v>0</v>
      </c>
      <c r="K205" s="218">
        <f t="shared" ca="1" si="91"/>
        <v>0</v>
      </c>
      <c r="L205" s="218">
        <f t="shared" ca="1" si="91"/>
        <v>0</v>
      </c>
      <c r="M205" s="195">
        <f t="shared" ca="1" si="91"/>
        <v>0</v>
      </c>
      <c r="N205" s="221">
        <f t="shared" ca="1" si="91"/>
        <v>0</v>
      </c>
    </row>
    <row r="206" spans="1:14">
      <c r="A206" s="193">
        <f t="shared" si="72"/>
        <v>2034</v>
      </c>
      <c r="B206" s="195">
        <f t="shared" ref="B206:N206" ca="1" si="92">IF($C85="","",IF($C85&lt;0,0,IF(AND($C85=1,start_time&lt;1),-(SUM(B159)*output_kgyear*$E85*percnt_var*start_time+SUM(B159)*output_kgyear*$E85*(1-start_time)),IF($C85&lt;=start_time,-SUM(B159)*output_kgyear*$E85*percnt_var,-SUM(B159)*output_kgyear*$E85))))</f>
        <v>0</v>
      </c>
      <c r="C206" s="195">
        <f t="shared" ca="1" si="92"/>
        <v>0</v>
      </c>
      <c r="D206" s="195">
        <f t="shared" ca="1" si="92"/>
        <v>0</v>
      </c>
      <c r="E206" s="220">
        <f t="shared" ca="1" si="92"/>
        <v>0</v>
      </c>
      <c r="F206" s="194">
        <f t="shared" ca="1" si="92"/>
        <v>-120279757.51494741</v>
      </c>
      <c r="G206" s="195">
        <f t="shared" ca="1" si="92"/>
        <v>0</v>
      </c>
      <c r="H206" s="195">
        <f t="shared" ca="1" si="92"/>
        <v>0</v>
      </c>
      <c r="I206" s="220">
        <f t="shared" ca="1" si="92"/>
        <v>0</v>
      </c>
      <c r="J206" s="573">
        <f t="shared" ca="1" si="92"/>
        <v>0</v>
      </c>
      <c r="K206" s="218">
        <f t="shared" ca="1" si="92"/>
        <v>0</v>
      </c>
      <c r="L206" s="218">
        <f t="shared" ca="1" si="92"/>
        <v>0</v>
      </c>
      <c r="M206" s="195">
        <f t="shared" ca="1" si="92"/>
        <v>0</v>
      </c>
      <c r="N206" s="221">
        <f t="shared" ca="1" si="92"/>
        <v>0</v>
      </c>
    </row>
    <row r="207" spans="1:14">
      <c r="A207" s="193">
        <f t="shared" si="72"/>
        <v>2035</v>
      </c>
      <c r="B207" s="195">
        <f t="shared" ref="B207:N207" ca="1" si="93">IF($C86="","",IF($C86&lt;0,0,IF(AND($C86=1,start_time&lt;1),-(SUM(B160)*output_kgyear*$E86*percnt_var*start_time+SUM(B160)*output_kgyear*$E86*(1-start_time)),IF($C86&lt;=start_time,-SUM(B160)*output_kgyear*$E86*percnt_var,-SUM(B160)*output_kgyear*$E86))))</f>
        <v>0</v>
      </c>
      <c r="C207" s="195">
        <f t="shared" ca="1" si="93"/>
        <v>0</v>
      </c>
      <c r="D207" s="195">
        <f t="shared" ca="1" si="93"/>
        <v>0</v>
      </c>
      <c r="E207" s="220">
        <f t="shared" ca="1" si="93"/>
        <v>0</v>
      </c>
      <c r="F207" s="194">
        <f t="shared" ca="1" si="93"/>
        <v>-122998465.37366988</v>
      </c>
      <c r="G207" s="195">
        <f t="shared" ca="1" si="93"/>
        <v>0</v>
      </c>
      <c r="H207" s="195">
        <f t="shared" ca="1" si="93"/>
        <v>0</v>
      </c>
      <c r="I207" s="220">
        <f t="shared" ca="1" si="93"/>
        <v>0</v>
      </c>
      <c r="J207" s="573">
        <f t="shared" ca="1" si="93"/>
        <v>0</v>
      </c>
      <c r="K207" s="218">
        <f t="shared" ca="1" si="93"/>
        <v>0</v>
      </c>
      <c r="L207" s="218">
        <f t="shared" ca="1" si="93"/>
        <v>0</v>
      </c>
      <c r="M207" s="195">
        <f t="shared" ca="1" si="93"/>
        <v>0</v>
      </c>
      <c r="N207" s="221">
        <f t="shared" ca="1" si="93"/>
        <v>0</v>
      </c>
    </row>
    <row r="208" spans="1:14">
      <c r="A208" s="193">
        <f t="shared" si="72"/>
        <v>2036</v>
      </c>
      <c r="B208" s="195">
        <f t="shared" ref="B208:N208" ca="1" si="94">IF($C87="","",IF($C87&lt;0,0,IF(AND($C87=1,start_time&lt;1),-(SUM(B161)*output_kgyear*$E87*percnt_var*start_time+SUM(B161)*output_kgyear*$E87*(1-start_time)),IF($C87&lt;=start_time,-SUM(B161)*output_kgyear*$E87*percnt_var,-SUM(B161)*output_kgyear*$E87))))</f>
        <v>0</v>
      </c>
      <c r="C208" s="195">
        <f t="shared" ca="1" si="94"/>
        <v>0</v>
      </c>
      <c r="D208" s="195">
        <f t="shared" ca="1" si="94"/>
        <v>0</v>
      </c>
      <c r="E208" s="220">
        <f t="shared" ca="1" si="94"/>
        <v>0</v>
      </c>
      <c r="F208" s="194">
        <f t="shared" ca="1" si="94"/>
        <v>-125791143.93297203</v>
      </c>
      <c r="G208" s="195">
        <f t="shared" ca="1" si="94"/>
        <v>0</v>
      </c>
      <c r="H208" s="195">
        <f t="shared" ca="1" si="94"/>
        <v>0</v>
      </c>
      <c r="I208" s="220">
        <f t="shared" ca="1" si="94"/>
        <v>0</v>
      </c>
      <c r="J208" s="573">
        <f t="shared" ca="1" si="94"/>
        <v>0</v>
      </c>
      <c r="K208" s="218">
        <f t="shared" ca="1" si="94"/>
        <v>0</v>
      </c>
      <c r="L208" s="218">
        <f t="shared" ca="1" si="94"/>
        <v>0</v>
      </c>
      <c r="M208" s="195">
        <f t="shared" ca="1" si="94"/>
        <v>0</v>
      </c>
      <c r="N208" s="221">
        <f t="shared" ca="1" si="94"/>
        <v>0</v>
      </c>
    </row>
    <row r="209" spans="1:14">
      <c r="A209" s="193">
        <f t="shared" si="72"/>
        <v>2037</v>
      </c>
      <c r="B209" s="195">
        <f t="shared" ref="B209:N209" ca="1" si="95">IF($C88="","",IF($C88&lt;0,0,IF(AND($C88=1,start_time&lt;1),-(SUM(B162)*output_kgyear*$E88*percnt_var*start_time+SUM(B162)*output_kgyear*$E88*(1-start_time)),IF($C88&lt;=start_time,-SUM(B162)*output_kgyear*$E88*percnt_var,-SUM(B162)*output_kgyear*$E88))))</f>
        <v>0</v>
      </c>
      <c r="C209" s="195">
        <f t="shared" ca="1" si="95"/>
        <v>0</v>
      </c>
      <c r="D209" s="195">
        <f t="shared" ca="1" si="95"/>
        <v>0</v>
      </c>
      <c r="E209" s="220">
        <f t="shared" ca="1" si="95"/>
        <v>0</v>
      </c>
      <c r="F209" s="194">
        <f t="shared" ca="1" si="95"/>
        <v>-128084258.35460569</v>
      </c>
      <c r="G209" s="195">
        <f t="shared" ca="1" si="95"/>
        <v>0</v>
      </c>
      <c r="H209" s="195">
        <f t="shared" ca="1" si="95"/>
        <v>0</v>
      </c>
      <c r="I209" s="220">
        <f t="shared" ca="1" si="95"/>
        <v>0</v>
      </c>
      <c r="J209" s="573">
        <f t="shared" ca="1" si="95"/>
        <v>0</v>
      </c>
      <c r="K209" s="218">
        <f t="shared" ca="1" si="95"/>
        <v>0</v>
      </c>
      <c r="L209" s="218">
        <f t="shared" ca="1" si="95"/>
        <v>0</v>
      </c>
      <c r="M209" s="195">
        <f t="shared" ca="1" si="95"/>
        <v>0</v>
      </c>
      <c r="N209" s="221">
        <f t="shared" ca="1" si="95"/>
        <v>0</v>
      </c>
    </row>
    <row r="210" spans="1:14">
      <c r="A210" s="193">
        <f t="shared" si="72"/>
        <v>2038</v>
      </c>
      <c r="B210" s="195">
        <f t="shared" ref="B210:N210" ca="1" si="96">IF($C89="","",IF($C89&lt;0,0,IF(AND($C89=1,start_time&lt;1),-(SUM(B163)*output_kgyear*$E89*percnt_var*start_time+SUM(B163)*output_kgyear*$E89*(1-start_time)),IF($C89&lt;=start_time,-SUM(B163)*output_kgyear*$E89*percnt_var,-SUM(B163)*output_kgyear*$E89))))</f>
        <v>0</v>
      </c>
      <c r="C210" s="195">
        <f t="shared" ca="1" si="96"/>
        <v>0</v>
      </c>
      <c r="D210" s="195">
        <f t="shared" ca="1" si="96"/>
        <v>0</v>
      </c>
      <c r="E210" s="220">
        <f t="shared" ca="1" si="96"/>
        <v>0</v>
      </c>
      <c r="F210" s="194">
        <f t="shared" ca="1" si="96"/>
        <v>-130546848.97474971</v>
      </c>
      <c r="G210" s="195">
        <f t="shared" ca="1" si="96"/>
        <v>0</v>
      </c>
      <c r="H210" s="195">
        <f t="shared" ca="1" si="96"/>
        <v>0</v>
      </c>
      <c r="I210" s="220">
        <f t="shared" ca="1" si="96"/>
        <v>0</v>
      </c>
      <c r="J210" s="573">
        <f t="shared" ca="1" si="96"/>
        <v>0</v>
      </c>
      <c r="K210" s="218">
        <f t="shared" ca="1" si="96"/>
        <v>0</v>
      </c>
      <c r="L210" s="218">
        <f t="shared" ca="1" si="96"/>
        <v>0</v>
      </c>
      <c r="M210" s="195">
        <f t="shared" ca="1" si="96"/>
        <v>0</v>
      </c>
      <c r="N210" s="221">
        <f t="shared" ca="1" si="96"/>
        <v>0</v>
      </c>
    </row>
    <row r="211" spans="1:14">
      <c r="A211" s="193">
        <f t="shared" si="72"/>
        <v>2039</v>
      </c>
      <c r="B211" s="195">
        <f t="shared" ref="B211:N211" ca="1" si="97">IF($C90="","",IF($C90&lt;0,0,IF(AND($C90=1,start_time&lt;1),-(SUM(B164)*output_kgyear*$E90*percnt_var*start_time+SUM(B164)*output_kgyear*$E90*(1-start_time)),IF($C90&lt;=start_time,-SUM(B164)*output_kgyear*$E90*percnt_var,-SUM(B164)*output_kgyear*$E90))))</f>
        <v>0</v>
      </c>
      <c r="C211" s="195">
        <f t="shared" ca="1" si="97"/>
        <v>0</v>
      </c>
      <c r="D211" s="195">
        <f t="shared" ca="1" si="97"/>
        <v>0</v>
      </c>
      <c r="E211" s="220">
        <f t="shared" ca="1" si="97"/>
        <v>0</v>
      </c>
      <c r="F211" s="194">
        <f t="shared" ca="1" si="97"/>
        <v>-133130192.8843715</v>
      </c>
      <c r="G211" s="195">
        <f t="shared" ca="1" si="97"/>
        <v>0</v>
      </c>
      <c r="H211" s="195">
        <f t="shared" ca="1" si="97"/>
        <v>0</v>
      </c>
      <c r="I211" s="220">
        <f t="shared" ca="1" si="97"/>
        <v>0</v>
      </c>
      <c r="J211" s="573">
        <f t="shared" ca="1" si="97"/>
        <v>0</v>
      </c>
      <c r="K211" s="218">
        <f t="shared" ca="1" si="97"/>
        <v>0</v>
      </c>
      <c r="L211" s="218">
        <f t="shared" ca="1" si="97"/>
        <v>0</v>
      </c>
      <c r="M211" s="195">
        <f t="shared" ca="1" si="97"/>
        <v>0</v>
      </c>
      <c r="N211" s="221">
        <f t="shared" ca="1" si="97"/>
        <v>0</v>
      </c>
    </row>
    <row r="212" spans="1:14">
      <c r="A212" s="193">
        <f t="shared" si="72"/>
        <v>2040</v>
      </c>
      <c r="B212" s="195">
        <f t="shared" ref="B212:N212" ca="1" si="98">IF($C91="","",IF($C91&lt;0,0,IF(AND($C91=1,start_time&lt;1),-(SUM(B165)*output_kgyear*$E91*percnt_var*start_time+SUM(B165)*output_kgyear*$E91*(1-start_time)),IF($C91&lt;=start_time,-SUM(B165)*output_kgyear*$E91*percnt_var,-SUM(B165)*output_kgyear*$E91))))</f>
        <v>0</v>
      </c>
      <c r="C212" s="195">
        <f t="shared" ca="1" si="98"/>
        <v>0</v>
      </c>
      <c r="D212" s="195">
        <f t="shared" ca="1" si="98"/>
        <v>0</v>
      </c>
      <c r="E212" s="220">
        <f t="shared" ca="1" si="98"/>
        <v>0</v>
      </c>
      <c r="F212" s="194">
        <f t="shared" ca="1" si="98"/>
        <v>-135341580.30095911</v>
      </c>
      <c r="G212" s="195">
        <f t="shared" ca="1" si="98"/>
        <v>0</v>
      </c>
      <c r="H212" s="195">
        <f t="shared" ca="1" si="98"/>
        <v>0</v>
      </c>
      <c r="I212" s="220">
        <f t="shared" ca="1" si="98"/>
        <v>0</v>
      </c>
      <c r="J212" s="573">
        <f t="shared" ca="1" si="98"/>
        <v>0</v>
      </c>
      <c r="K212" s="218">
        <f t="shared" ca="1" si="98"/>
        <v>0</v>
      </c>
      <c r="L212" s="218">
        <f t="shared" ca="1" si="98"/>
        <v>0</v>
      </c>
      <c r="M212" s="195">
        <f t="shared" ca="1" si="98"/>
        <v>0</v>
      </c>
      <c r="N212" s="221">
        <f t="shared" ca="1" si="98"/>
        <v>0</v>
      </c>
    </row>
    <row r="213" spans="1:14">
      <c r="A213" s="193">
        <f t="shared" si="72"/>
        <v>2041</v>
      </c>
      <c r="B213" s="195">
        <f t="shared" ref="B213:N213" ca="1" si="99">IF($C92="","",IF($C92&lt;0,0,IF(AND($C92=1,start_time&lt;1),-(SUM(B166)*output_kgyear*$E92*percnt_var*start_time+SUM(B166)*output_kgyear*$E92*(1-start_time)),IF($C92&lt;=start_time,-SUM(B166)*output_kgyear*$E92*percnt_var,-SUM(B166)*output_kgyear*$E92))))</f>
        <v>0</v>
      </c>
      <c r="C213" s="195">
        <f t="shared" ca="1" si="99"/>
        <v>0</v>
      </c>
      <c r="D213" s="195">
        <f t="shared" ca="1" si="99"/>
        <v>0</v>
      </c>
      <c r="E213" s="220">
        <f t="shared" ca="1" si="99"/>
        <v>0</v>
      </c>
      <c r="F213" s="194">
        <f t="shared" ca="1" si="99"/>
        <v>-137507477.3958312</v>
      </c>
      <c r="G213" s="195">
        <f t="shared" ca="1" si="99"/>
        <v>0</v>
      </c>
      <c r="H213" s="195">
        <f t="shared" ca="1" si="99"/>
        <v>0</v>
      </c>
      <c r="I213" s="220">
        <f t="shared" ca="1" si="99"/>
        <v>0</v>
      </c>
      <c r="J213" s="573">
        <f t="shared" ca="1" si="99"/>
        <v>0</v>
      </c>
      <c r="K213" s="218">
        <f t="shared" ca="1" si="99"/>
        <v>0</v>
      </c>
      <c r="L213" s="218">
        <f t="shared" ca="1" si="99"/>
        <v>0</v>
      </c>
      <c r="M213" s="195">
        <f t="shared" ca="1" si="99"/>
        <v>0</v>
      </c>
      <c r="N213" s="221">
        <f t="shared" ca="1" si="99"/>
        <v>0</v>
      </c>
    </row>
    <row r="214" spans="1:14">
      <c r="A214" s="193">
        <f t="shared" si="72"/>
        <v>2042</v>
      </c>
      <c r="B214" s="195">
        <f t="shared" ref="B214:N214" ca="1" si="100">IF($C93="","",IF($C93&lt;0,0,IF(AND($C93=1,start_time&lt;1),-(SUM(B167)*output_kgyear*$E93*percnt_var*start_time+SUM(B167)*output_kgyear*$E93*(1-start_time)),IF($C93&lt;=start_time,-SUM(B167)*output_kgyear*$E93*percnt_var,-SUM(B167)*output_kgyear*$E93))))</f>
        <v>0</v>
      </c>
      <c r="C214" s="195">
        <f t="shared" ca="1" si="100"/>
        <v>0</v>
      </c>
      <c r="D214" s="195">
        <f t="shared" ca="1" si="100"/>
        <v>0</v>
      </c>
      <c r="E214" s="220">
        <f t="shared" ca="1" si="100"/>
        <v>0</v>
      </c>
      <c r="F214" s="194">
        <f t="shared" ca="1" si="100"/>
        <v>-140282637.30504462</v>
      </c>
      <c r="G214" s="195">
        <f t="shared" ca="1" si="100"/>
        <v>0</v>
      </c>
      <c r="H214" s="195">
        <f t="shared" ca="1" si="100"/>
        <v>0</v>
      </c>
      <c r="I214" s="220">
        <f t="shared" ca="1" si="100"/>
        <v>0</v>
      </c>
      <c r="J214" s="573">
        <f t="shared" ca="1" si="100"/>
        <v>0</v>
      </c>
      <c r="K214" s="218">
        <f t="shared" ca="1" si="100"/>
        <v>0</v>
      </c>
      <c r="L214" s="218">
        <f t="shared" ca="1" si="100"/>
        <v>0</v>
      </c>
      <c r="M214" s="195">
        <f t="shared" ca="1" si="100"/>
        <v>0</v>
      </c>
      <c r="N214" s="221">
        <f t="shared" ca="1" si="100"/>
        <v>0</v>
      </c>
    </row>
    <row r="215" spans="1:14">
      <c r="A215" s="193">
        <f t="shared" si="72"/>
        <v>2043</v>
      </c>
      <c r="B215" s="195">
        <f t="shared" ref="B215:N215" ca="1" si="101">IF($C94="","",IF($C94&lt;0,0,IF(AND($C94=1,start_time&lt;1),-(SUM(B168)*output_kgyear*$E94*percnt_var*start_time+SUM(B168)*output_kgyear*$E94*(1-start_time)),IF($C94&lt;=start_time,-SUM(B168)*output_kgyear*$E94*percnt_var,-SUM(B168)*output_kgyear*$E94))))</f>
        <v>0</v>
      </c>
      <c r="C215" s="195">
        <f t="shared" ca="1" si="101"/>
        <v>0</v>
      </c>
      <c r="D215" s="195">
        <f t="shared" ca="1" si="101"/>
        <v>0</v>
      </c>
      <c r="E215" s="220">
        <f t="shared" ca="1" si="101"/>
        <v>0</v>
      </c>
      <c r="F215" s="194">
        <f t="shared" ca="1" si="101"/>
        <v>-143384253.28382397</v>
      </c>
      <c r="G215" s="195">
        <f t="shared" ca="1" si="101"/>
        <v>0</v>
      </c>
      <c r="H215" s="195">
        <f t="shared" ca="1" si="101"/>
        <v>0</v>
      </c>
      <c r="I215" s="220">
        <f t="shared" ca="1" si="101"/>
        <v>0</v>
      </c>
      <c r="J215" s="573">
        <f t="shared" ca="1" si="101"/>
        <v>0</v>
      </c>
      <c r="K215" s="218">
        <f t="shared" ca="1" si="101"/>
        <v>0</v>
      </c>
      <c r="L215" s="218">
        <f t="shared" ca="1" si="101"/>
        <v>0</v>
      </c>
      <c r="M215" s="195">
        <f t="shared" ca="1" si="101"/>
        <v>0</v>
      </c>
      <c r="N215" s="221">
        <f t="shared" ca="1" si="101"/>
        <v>0</v>
      </c>
    </row>
    <row r="216" spans="1:14">
      <c r="A216" s="193">
        <f t="shared" si="72"/>
        <v>2044</v>
      </c>
      <c r="B216" s="195">
        <f t="shared" ref="B216:N216" ca="1" si="102">IF($C95="","",IF($C95&lt;0,0,IF(AND($C95=1,start_time&lt;1),-(SUM(B169)*output_kgyear*$E95*percnt_var*start_time+SUM(B169)*output_kgyear*$E95*(1-start_time)),IF($C95&lt;=start_time,-SUM(B169)*output_kgyear*$E95*percnt_var,-SUM(B169)*output_kgyear*$E95))))</f>
        <v>0</v>
      </c>
      <c r="C216" s="195">
        <f t="shared" ca="1" si="102"/>
        <v>0</v>
      </c>
      <c r="D216" s="195">
        <f t="shared" ca="1" si="102"/>
        <v>0</v>
      </c>
      <c r="E216" s="220">
        <f t="shared" ca="1" si="102"/>
        <v>0</v>
      </c>
      <c r="F216" s="194">
        <f t="shared" ca="1" si="102"/>
        <v>-146659072.8899048</v>
      </c>
      <c r="G216" s="195">
        <f t="shared" ca="1" si="102"/>
        <v>0</v>
      </c>
      <c r="H216" s="195">
        <f t="shared" ca="1" si="102"/>
        <v>0</v>
      </c>
      <c r="I216" s="220">
        <f t="shared" ca="1" si="102"/>
        <v>0</v>
      </c>
      <c r="J216" s="573">
        <f t="shared" ca="1" si="102"/>
        <v>0</v>
      </c>
      <c r="K216" s="218">
        <f t="shared" ca="1" si="102"/>
        <v>0</v>
      </c>
      <c r="L216" s="218">
        <f t="shared" ca="1" si="102"/>
        <v>0</v>
      </c>
      <c r="M216" s="195">
        <f t="shared" ca="1" si="102"/>
        <v>0</v>
      </c>
      <c r="N216" s="221">
        <f t="shared" ca="1" si="102"/>
        <v>0</v>
      </c>
    </row>
    <row r="217" spans="1:14">
      <c r="A217" s="193">
        <f t="shared" si="72"/>
        <v>2045</v>
      </c>
      <c r="B217" s="195">
        <f t="shared" ref="B217:N217" ca="1" si="103">IF($C96="","",IF($C96&lt;0,0,IF(AND($C96=1,start_time&lt;1),-(SUM(B170)*output_kgyear*$E96*percnt_var*start_time+SUM(B170)*output_kgyear*$E96*(1-start_time)),IF($C96&lt;=start_time,-SUM(B170)*output_kgyear*$E96*percnt_var,-SUM(B170)*output_kgyear*$E96))))</f>
        <v>0</v>
      </c>
      <c r="C217" s="195">
        <f t="shared" ca="1" si="103"/>
        <v>0</v>
      </c>
      <c r="D217" s="195">
        <f t="shared" ca="1" si="103"/>
        <v>0</v>
      </c>
      <c r="E217" s="220">
        <f t="shared" ca="1" si="103"/>
        <v>0</v>
      </c>
      <c r="F217" s="194">
        <f t="shared" ca="1" si="103"/>
        <v>-149991515.54417536</v>
      </c>
      <c r="G217" s="195">
        <f t="shared" ca="1" si="103"/>
        <v>0</v>
      </c>
      <c r="H217" s="195">
        <f t="shared" ca="1" si="103"/>
        <v>0</v>
      </c>
      <c r="I217" s="220">
        <f t="shared" ca="1" si="103"/>
        <v>0</v>
      </c>
      <c r="J217" s="573">
        <f t="shared" ca="1" si="103"/>
        <v>0</v>
      </c>
      <c r="K217" s="218">
        <f t="shared" ca="1" si="103"/>
        <v>0</v>
      </c>
      <c r="L217" s="218">
        <f t="shared" ca="1" si="103"/>
        <v>0</v>
      </c>
      <c r="M217" s="195">
        <f t="shared" ca="1" si="103"/>
        <v>0</v>
      </c>
      <c r="N217" s="221">
        <f t="shared" ca="1" si="103"/>
        <v>0</v>
      </c>
    </row>
    <row r="218" spans="1:14">
      <c r="A218" s="193">
        <f t="shared" si="72"/>
        <v>2046</v>
      </c>
      <c r="B218" s="195">
        <f t="shared" ref="B218:N218" ca="1" si="104">IF($C97="","",IF($C97&lt;0,0,IF(AND($C97=1,start_time&lt;1),-(SUM(B171)*output_kgyear*$E97*percnt_var*start_time+SUM(B171)*output_kgyear*$E97*(1-start_time)),IF($C97&lt;=start_time,-SUM(B171)*output_kgyear*$E97*percnt_var,-SUM(B171)*output_kgyear*$E97))))</f>
        <v>0</v>
      </c>
      <c r="C218" s="195">
        <f t="shared" ca="1" si="104"/>
        <v>0</v>
      </c>
      <c r="D218" s="195">
        <f t="shared" ca="1" si="104"/>
        <v>0</v>
      </c>
      <c r="E218" s="220">
        <f t="shared" ca="1" si="104"/>
        <v>0</v>
      </c>
      <c r="F218" s="194">
        <f t="shared" ca="1" si="104"/>
        <v>-153406941.73770323</v>
      </c>
      <c r="G218" s="195">
        <f t="shared" ca="1" si="104"/>
        <v>0</v>
      </c>
      <c r="H218" s="195">
        <f t="shared" ca="1" si="104"/>
        <v>0</v>
      </c>
      <c r="I218" s="220">
        <f t="shared" ca="1" si="104"/>
        <v>0</v>
      </c>
      <c r="J218" s="573">
        <f t="shared" ca="1" si="104"/>
        <v>0</v>
      </c>
      <c r="K218" s="218">
        <f t="shared" ca="1" si="104"/>
        <v>0</v>
      </c>
      <c r="L218" s="218">
        <f t="shared" ca="1" si="104"/>
        <v>0</v>
      </c>
      <c r="M218" s="195">
        <f t="shared" ca="1" si="104"/>
        <v>0</v>
      </c>
      <c r="N218" s="221">
        <f t="shared" ca="1" si="104"/>
        <v>0</v>
      </c>
    </row>
    <row r="219" spans="1:14">
      <c r="A219" s="193">
        <f t="shared" si="72"/>
        <v>2047</v>
      </c>
      <c r="B219" s="195">
        <f t="shared" ref="B219:N219" ca="1" si="105">IF($C98="","",IF($C98&lt;0,0,IF(AND($C98=1,start_time&lt;1),-(SUM(B172)*output_kgyear*$E98*percnt_var*start_time+SUM(B172)*output_kgyear*$E98*(1-start_time)),IF($C98&lt;=start_time,-SUM(B172)*output_kgyear*$E98*percnt_var,-SUM(B172)*output_kgyear*$E98))))</f>
        <v>0</v>
      </c>
      <c r="C219" s="195">
        <f t="shared" ca="1" si="105"/>
        <v>0</v>
      </c>
      <c r="D219" s="195">
        <f t="shared" ca="1" si="105"/>
        <v>0</v>
      </c>
      <c r="E219" s="220">
        <f t="shared" ca="1" si="105"/>
        <v>0</v>
      </c>
      <c r="F219" s="194">
        <f t="shared" ca="1" si="105"/>
        <v>-156838857.75594607</v>
      </c>
      <c r="G219" s="195">
        <f t="shared" ca="1" si="105"/>
        <v>0</v>
      </c>
      <c r="H219" s="195">
        <f t="shared" ca="1" si="105"/>
        <v>0</v>
      </c>
      <c r="I219" s="220">
        <f t="shared" ca="1" si="105"/>
        <v>0</v>
      </c>
      <c r="J219" s="573">
        <f t="shared" ca="1" si="105"/>
        <v>0</v>
      </c>
      <c r="K219" s="218">
        <f t="shared" ca="1" si="105"/>
        <v>0</v>
      </c>
      <c r="L219" s="218">
        <f t="shared" ca="1" si="105"/>
        <v>0</v>
      </c>
      <c r="M219" s="195">
        <f t="shared" ca="1" si="105"/>
        <v>0</v>
      </c>
      <c r="N219" s="221">
        <f t="shared" ca="1" si="105"/>
        <v>0</v>
      </c>
    </row>
    <row r="220" spans="1:14">
      <c r="A220" s="193">
        <f t="shared" si="72"/>
        <v>2048</v>
      </c>
      <c r="B220" s="195">
        <f t="shared" ref="B220:N220" ca="1" si="106">IF($C99="","",IF($C99&lt;0,0,IF(AND($C99=1,start_time&lt;1),-(SUM(B173)*output_kgyear*$E99*percnt_var*start_time+SUM(B173)*output_kgyear*$E99*(1-start_time)),IF($C99&lt;=start_time,-SUM(B173)*output_kgyear*$E99*percnt_var,-SUM(B173)*output_kgyear*$E99))))</f>
        <v>0</v>
      </c>
      <c r="C220" s="195">
        <f t="shared" ca="1" si="106"/>
        <v>0</v>
      </c>
      <c r="D220" s="195">
        <f t="shared" ca="1" si="106"/>
        <v>0</v>
      </c>
      <c r="E220" s="220">
        <f t="shared" ca="1" si="106"/>
        <v>0</v>
      </c>
      <c r="F220" s="194">
        <f t="shared" ca="1" si="106"/>
        <v>-160411607.76705083</v>
      </c>
      <c r="G220" s="195">
        <f t="shared" ca="1" si="106"/>
        <v>0</v>
      </c>
      <c r="H220" s="195">
        <f t="shared" ca="1" si="106"/>
        <v>0</v>
      </c>
      <c r="I220" s="220">
        <f t="shared" ca="1" si="106"/>
        <v>0</v>
      </c>
      <c r="J220" s="573">
        <f t="shared" ca="1" si="106"/>
        <v>0</v>
      </c>
      <c r="K220" s="218">
        <f t="shared" ca="1" si="106"/>
        <v>0</v>
      </c>
      <c r="L220" s="218">
        <f t="shared" ca="1" si="106"/>
        <v>0</v>
      </c>
      <c r="M220" s="195">
        <f t="shared" ca="1" si="106"/>
        <v>0</v>
      </c>
      <c r="N220" s="221">
        <f t="shared" ca="1" si="106"/>
        <v>0</v>
      </c>
    </row>
    <row r="221" spans="1:14">
      <c r="A221" s="193">
        <f t="shared" si="72"/>
        <v>2049</v>
      </c>
      <c r="B221" s="195">
        <f t="shared" ref="B221:N221" ca="1" si="107">IF($C100="","",IF($C100&lt;0,0,IF(AND($C100=1,start_time&lt;1),-(SUM(B174)*output_kgyear*$E100*percnt_var*start_time+SUM(B174)*output_kgyear*$E100*(1-start_time)),IF($C100&lt;=start_time,-SUM(B174)*output_kgyear*$E100*percnt_var,-SUM(B174)*output_kgyear*$E100))))</f>
        <v>0</v>
      </c>
      <c r="C221" s="195">
        <f t="shared" ca="1" si="107"/>
        <v>0</v>
      </c>
      <c r="D221" s="195">
        <f t="shared" ca="1" si="107"/>
        <v>0</v>
      </c>
      <c r="E221" s="220">
        <f t="shared" ca="1" si="107"/>
        <v>0</v>
      </c>
      <c r="F221" s="194">
        <f t="shared" ca="1" si="107"/>
        <v>-163982796.54244336</v>
      </c>
      <c r="G221" s="195">
        <f t="shared" ca="1" si="107"/>
        <v>0</v>
      </c>
      <c r="H221" s="195">
        <f t="shared" ca="1" si="107"/>
        <v>0</v>
      </c>
      <c r="I221" s="220">
        <f t="shared" ca="1" si="107"/>
        <v>0</v>
      </c>
      <c r="J221" s="573">
        <f t="shared" ca="1" si="107"/>
        <v>0</v>
      </c>
      <c r="K221" s="218">
        <f t="shared" ca="1" si="107"/>
        <v>0</v>
      </c>
      <c r="L221" s="218">
        <f t="shared" ca="1" si="107"/>
        <v>0</v>
      </c>
      <c r="M221" s="195">
        <f t="shared" ca="1" si="107"/>
        <v>0</v>
      </c>
      <c r="N221" s="221">
        <f t="shared" ca="1" si="107"/>
        <v>0</v>
      </c>
    </row>
    <row r="222" spans="1:14">
      <c r="A222" s="193">
        <f t="shared" si="72"/>
        <v>2050</v>
      </c>
      <c r="B222" s="195">
        <f t="shared" ref="B222:N222" ca="1" si="108">IF($C101="","",IF($C101&lt;0,0,IF(AND($C101=1,start_time&lt;1),-(SUM(B175)*output_kgyear*$E101*percnt_var*start_time+SUM(B175)*output_kgyear*$E101*(1-start_time)),IF($C101&lt;=start_time,-SUM(B175)*output_kgyear*$E101*percnt_var,-SUM(B175)*output_kgyear*$E101))))</f>
        <v>0</v>
      </c>
      <c r="C222" s="195">
        <f t="shared" ca="1" si="108"/>
        <v>0</v>
      </c>
      <c r="D222" s="195">
        <f t="shared" ca="1" si="108"/>
        <v>0</v>
      </c>
      <c r="E222" s="220">
        <f t="shared" ca="1" si="108"/>
        <v>0</v>
      </c>
      <c r="F222" s="194">
        <f t="shared" ca="1" si="108"/>
        <v>-167615503.37103453</v>
      </c>
      <c r="G222" s="195">
        <f t="shared" ca="1" si="108"/>
        <v>0</v>
      </c>
      <c r="H222" s="195">
        <f t="shared" ca="1" si="108"/>
        <v>0</v>
      </c>
      <c r="I222" s="220">
        <f t="shared" ca="1" si="108"/>
        <v>0</v>
      </c>
      <c r="J222" s="573">
        <f t="shared" ca="1" si="108"/>
        <v>0</v>
      </c>
      <c r="K222" s="218">
        <f t="shared" ca="1" si="108"/>
        <v>0</v>
      </c>
      <c r="L222" s="218">
        <f t="shared" ca="1" si="108"/>
        <v>0</v>
      </c>
      <c r="M222" s="195">
        <f t="shared" ca="1" si="108"/>
        <v>0</v>
      </c>
      <c r="N222" s="221">
        <f t="shared" ca="1" si="108"/>
        <v>0</v>
      </c>
    </row>
    <row r="223" spans="1:14">
      <c r="A223" s="193">
        <f t="shared" si="72"/>
        <v>2051</v>
      </c>
      <c r="B223" s="195">
        <f t="shared" ref="B223:N223" ca="1" si="109">IF($C102="","",IF($C102&lt;0,0,IF(AND($C102=1,start_time&lt;1),-(SUM(B176)*output_kgyear*$E102*percnt_var*start_time+SUM(B176)*output_kgyear*$E102*(1-start_time)),IF($C102&lt;=start_time,-SUM(B176)*output_kgyear*$E102*percnt_var,-SUM(B176)*output_kgyear*$E102))))</f>
        <v>0</v>
      </c>
      <c r="C223" s="195">
        <f t="shared" ca="1" si="109"/>
        <v>0</v>
      </c>
      <c r="D223" s="195">
        <f t="shared" ca="1" si="109"/>
        <v>0</v>
      </c>
      <c r="E223" s="220">
        <f t="shared" ca="1" si="109"/>
        <v>0</v>
      </c>
      <c r="F223" s="194">
        <f t="shared" ca="1" si="109"/>
        <v>-170955106.0977684</v>
      </c>
      <c r="G223" s="195">
        <f t="shared" ca="1" si="109"/>
        <v>0</v>
      </c>
      <c r="H223" s="195">
        <f t="shared" ca="1" si="109"/>
        <v>0</v>
      </c>
      <c r="I223" s="220">
        <f t="shared" ca="1" si="109"/>
        <v>0</v>
      </c>
      <c r="J223" s="573">
        <f t="shared" ca="1" si="109"/>
        <v>0</v>
      </c>
      <c r="K223" s="218">
        <f t="shared" ca="1" si="109"/>
        <v>0</v>
      </c>
      <c r="L223" s="218">
        <f t="shared" ca="1" si="109"/>
        <v>0</v>
      </c>
      <c r="M223" s="195">
        <f t="shared" ca="1" si="109"/>
        <v>0</v>
      </c>
      <c r="N223" s="221">
        <f t="shared" ca="1" si="109"/>
        <v>0</v>
      </c>
    </row>
    <row r="224" spans="1:14">
      <c r="A224" s="193">
        <f t="shared" si="72"/>
        <v>2052</v>
      </c>
      <c r="B224" s="195">
        <f t="shared" ref="B224:N224" ca="1" si="110">IF($C103="","",IF($C103&lt;0,0,IF(AND($C103=1,start_time&lt;1),-(SUM(B177)*output_kgyear*$E103*percnt_var*start_time+SUM(B177)*output_kgyear*$E103*(1-start_time)),IF($C103&lt;=start_time,-SUM(B177)*output_kgyear*$E103*percnt_var,-SUM(B177)*output_kgyear*$E103))))</f>
        <v>0</v>
      </c>
      <c r="C224" s="195">
        <f t="shared" ca="1" si="110"/>
        <v>0</v>
      </c>
      <c r="D224" s="195">
        <f t="shared" ca="1" si="110"/>
        <v>0</v>
      </c>
      <c r="E224" s="220">
        <f t="shared" ca="1" si="110"/>
        <v>0</v>
      </c>
      <c r="F224" s="194">
        <f t="shared" ca="1" si="110"/>
        <v>-174361247.69559765</v>
      </c>
      <c r="G224" s="195">
        <f t="shared" ca="1" si="110"/>
        <v>0</v>
      </c>
      <c r="H224" s="195">
        <f t="shared" ca="1" si="110"/>
        <v>0</v>
      </c>
      <c r="I224" s="220">
        <f t="shared" ca="1" si="110"/>
        <v>0</v>
      </c>
      <c r="J224" s="573">
        <f t="shared" ca="1" si="110"/>
        <v>0</v>
      </c>
      <c r="K224" s="218">
        <f t="shared" ca="1" si="110"/>
        <v>0</v>
      </c>
      <c r="L224" s="218">
        <f t="shared" ca="1" si="110"/>
        <v>0</v>
      </c>
      <c r="M224" s="195">
        <f t="shared" ca="1" si="110"/>
        <v>0</v>
      </c>
      <c r="N224" s="221">
        <f t="shared" ca="1" si="110"/>
        <v>0</v>
      </c>
    </row>
    <row r="225" spans="1:14">
      <c r="A225" s="193">
        <f t="shared" si="72"/>
        <v>2053</v>
      </c>
      <c r="B225" s="195">
        <f t="shared" ref="B225:N225" ca="1" si="111">IF($C104="","",IF($C104&lt;0,0,IF(AND($C104=1,start_time&lt;1),-(SUM(B178)*output_kgyear*$E104*percnt_var*start_time+SUM(B178)*output_kgyear*$E104*(1-start_time)),IF($C104&lt;=start_time,-SUM(B178)*output_kgyear*$E104*percnt_var,-SUM(B178)*output_kgyear*$E104))))</f>
        <v>0</v>
      </c>
      <c r="C225" s="195">
        <f t="shared" ca="1" si="111"/>
        <v>0</v>
      </c>
      <c r="D225" s="195">
        <f t="shared" ca="1" si="111"/>
        <v>0</v>
      </c>
      <c r="E225" s="220">
        <f t="shared" ca="1" si="111"/>
        <v>0</v>
      </c>
      <c r="F225" s="194">
        <f t="shared" ca="1" si="111"/>
        <v>-177835253.89747006</v>
      </c>
      <c r="G225" s="195">
        <f t="shared" ca="1" si="111"/>
        <v>0</v>
      </c>
      <c r="H225" s="195">
        <f t="shared" ca="1" si="111"/>
        <v>0</v>
      </c>
      <c r="I225" s="220">
        <f t="shared" ca="1" si="111"/>
        <v>0</v>
      </c>
      <c r="J225" s="573">
        <f t="shared" ca="1" si="111"/>
        <v>0</v>
      </c>
      <c r="K225" s="218">
        <f t="shared" ca="1" si="111"/>
        <v>0</v>
      </c>
      <c r="L225" s="218">
        <f t="shared" ca="1" si="111"/>
        <v>0</v>
      </c>
      <c r="M225" s="195">
        <f t="shared" ca="1" si="111"/>
        <v>0</v>
      </c>
      <c r="N225" s="221">
        <f t="shared" ca="1" si="111"/>
        <v>0</v>
      </c>
    </row>
    <row r="226" spans="1:14">
      <c r="A226" s="193">
        <f t="shared" si="72"/>
        <v>2054</v>
      </c>
      <c r="B226" s="195">
        <f t="shared" ref="B226:N226" ca="1" si="112">IF($C105="","",IF($C105&lt;0,0,IF(AND($C105=1,start_time&lt;1),-(SUM(B179)*output_kgyear*$E105*percnt_var*start_time+SUM(B179)*output_kgyear*$E105*(1-start_time)),IF($C105&lt;=start_time,-SUM(B179)*output_kgyear*$E105*percnt_var,-SUM(B179)*output_kgyear*$E105))))</f>
        <v>0</v>
      </c>
      <c r="C226" s="195">
        <f t="shared" ca="1" si="112"/>
        <v>0</v>
      </c>
      <c r="D226" s="195">
        <f t="shared" ca="1" si="112"/>
        <v>0</v>
      </c>
      <c r="E226" s="220">
        <f t="shared" ca="1" si="112"/>
        <v>0</v>
      </c>
      <c r="F226" s="194">
        <f t="shared" ca="1" si="112"/>
        <v>-181378476.850485</v>
      </c>
      <c r="G226" s="195">
        <f t="shared" ca="1" si="112"/>
        <v>0</v>
      </c>
      <c r="H226" s="195">
        <f t="shared" ca="1" si="112"/>
        <v>0</v>
      </c>
      <c r="I226" s="220">
        <f t="shared" ca="1" si="112"/>
        <v>0</v>
      </c>
      <c r="J226" s="573">
        <f t="shared" ca="1" si="112"/>
        <v>0</v>
      </c>
      <c r="K226" s="218">
        <f t="shared" ca="1" si="112"/>
        <v>0</v>
      </c>
      <c r="L226" s="218">
        <f t="shared" ca="1" si="112"/>
        <v>0</v>
      </c>
      <c r="M226" s="195">
        <f t="shared" ca="1" si="112"/>
        <v>0</v>
      </c>
      <c r="N226" s="221">
        <f t="shared" ca="1" si="112"/>
        <v>0</v>
      </c>
    </row>
    <row r="227" spans="1:14">
      <c r="A227" s="193" t="str">
        <f t="shared" si="72"/>
        <v/>
      </c>
      <c r="B227" s="195" t="str">
        <f t="shared" ref="B227:N227" si="113">IF($C106="","",IF($C106&lt;0,0,IF(AND($C106=1,start_time&lt;1),-(SUM(B180)*output_kgyear*$E106*percnt_var*start_time+SUM(B180)*output_kgyear*$E106*(1-start_time)),IF($C106&lt;=start_time,-SUM(B180)*output_kgyear*$E106*percnt_var,-SUM(B180)*output_kgyear*$E106))))</f>
        <v/>
      </c>
      <c r="C227" s="195" t="str">
        <f t="shared" si="113"/>
        <v/>
      </c>
      <c r="D227" s="195" t="str">
        <f t="shared" si="113"/>
        <v/>
      </c>
      <c r="E227" s="220" t="str">
        <f t="shared" si="113"/>
        <v/>
      </c>
      <c r="F227" s="194" t="str">
        <f t="shared" si="113"/>
        <v/>
      </c>
      <c r="G227" s="195" t="str">
        <f t="shared" si="113"/>
        <v/>
      </c>
      <c r="H227" s="195" t="str">
        <f t="shared" si="113"/>
        <v/>
      </c>
      <c r="I227" s="220" t="str">
        <f t="shared" si="113"/>
        <v/>
      </c>
      <c r="J227" s="573" t="str">
        <f t="shared" si="113"/>
        <v/>
      </c>
      <c r="K227" s="218" t="str">
        <f t="shared" si="113"/>
        <v/>
      </c>
      <c r="L227" s="218" t="str">
        <f t="shared" si="113"/>
        <v/>
      </c>
      <c r="M227" s="195" t="str">
        <f t="shared" si="113"/>
        <v/>
      </c>
      <c r="N227" s="221" t="str">
        <f t="shared" si="113"/>
        <v/>
      </c>
    </row>
    <row r="228" spans="1:14">
      <c r="A228" s="193" t="str">
        <f t="shared" si="72"/>
        <v/>
      </c>
      <c r="B228" s="195" t="str">
        <f t="shared" ref="B228:N228" si="114">IF($C107="","",IF($C107&lt;0,0,IF(AND($C107=1,start_time&lt;1),-(SUM(B181)*output_kgyear*$E107*percnt_var*start_time+SUM(B181)*output_kgyear*$E107*(1-start_time)),IF($C107&lt;=start_time,-SUM(B181)*output_kgyear*$E107*percnt_var,-SUM(B181)*output_kgyear*$E107))))</f>
        <v/>
      </c>
      <c r="C228" s="195" t="str">
        <f t="shared" si="114"/>
        <v/>
      </c>
      <c r="D228" s="195" t="str">
        <f t="shared" si="114"/>
        <v/>
      </c>
      <c r="E228" s="220" t="str">
        <f t="shared" si="114"/>
        <v/>
      </c>
      <c r="F228" s="194" t="str">
        <f t="shared" si="114"/>
        <v/>
      </c>
      <c r="G228" s="195" t="str">
        <f t="shared" si="114"/>
        <v/>
      </c>
      <c r="H228" s="195" t="str">
        <f t="shared" si="114"/>
        <v/>
      </c>
      <c r="I228" s="220" t="str">
        <f t="shared" si="114"/>
        <v/>
      </c>
      <c r="J228" s="573" t="str">
        <f t="shared" si="114"/>
        <v/>
      </c>
      <c r="K228" s="218" t="str">
        <f t="shared" si="114"/>
        <v/>
      </c>
      <c r="L228" s="218" t="str">
        <f t="shared" si="114"/>
        <v/>
      </c>
      <c r="M228" s="195" t="str">
        <f t="shared" si="114"/>
        <v/>
      </c>
      <c r="N228" s="221" t="str">
        <f t="shared" si="114"/>
        <v/>
      </c>
    </row>
    <row r="229" spans="1:14">
      <c r="A229" s="193" t="str">
        <f t="shared" si="72"/>
        <v/>
      </c>
      <c r="B229" s="195" t="str">
        <f t="shared" ref="B229:N229" si="115">IF($C108="","",IF($C108&lt;0,0,IF(AND($C108=1,start_time&lt;1),-(SUM(B182)*output_kgyear*$E108*percnt_var*start_time+SUM(B182)*output_kgyear*$E108*(1-start_time)),IF($C108&lt;=start_time,-SUM(B182)*output_kgyear*$E108*percnt_var,-SUM(B182)*output_kgyear*$E108))))</f>
        <v/>
      </c>
      <c r="C229" s="195" t="str">
        <f t="shared" si="115"/>
        <v/>
      </c>
      <c r="D229" s="195" t="str">
        <f t="shared" si="115"/>
        <v/>
      </c>
      <c r="E229" s="220" t="str">
        <f t="shared" si="115"/>
        <v/>
      </c>
      <c r="F229" s="194" t="str">
        <f t="shared" si="115"/>
        <v/>
      </c>
      <c r="G229" s="195" t="str">
        <f t="shared" si="115"/>
        <v/>
      </c>
      <c r="H229" s="195" t="str">
        <f t="shared" si="115"/>
        <v/>
      </c>
      <c r="I229" s="220" t="str">
        <f t="shared" si="115"/>
        <v/>
      </c>
      <c r="J229" s="573" t="str">
        <f t="shared" si="115"/>
        <v/>
      </c>
      <c r="K229" s="218" t="str">
        <f t="shared" si="115"/>
        <v/>
      </c>
      <c r="L229" s="218" t="str">
        <f t="shared" si="115"/>
        <v/>
      </c>
      <c r="M229" s="195" t="str">
        <f t="shared" si="115"/>
        <v/>
      </c>
      <c r="N229" s="221" t="str">
        <f t="shared" si="115"/>
        <v/>
      </c>
    </row>
    <row r="231" spans="1:14">
      <c r="A231" s="195" t="s">
        <v>1186</v>
      </c>
      <c r="B231" s="195">
        <f ca="1">+B186+NPV($X$59,B187:B228)</f>
        <v>0</v>
      </c>
      <c r="C231" s="195">
        <f t="shared" ref="C231:N231" ca="1" si="116">+C186+NPV($X$59,C187:C228)</f>
        <v>0</v>
      </c>
      <c r="D231" s="195">
        <f t="shared" ca="1" si="116"/>
        <v>0</v>
      </c>
      <c r="E231" s="195">
        <f t="shared" ca="1" si="116"/>
        <v>0</v>
      </c>
      <c r="F231" s="195">
        <f t="shared" ca="1" si="116"/>
        <v>-920792260.9909656</v>
      </c>
      <c r="G231" s="195">
        <f t="shared" ca="1" si="116"/>
        <v>0</v>
      </c>
      <c r="H231" s="195">
        <f t="shared" ca="1" si="116"/>
        <v>0</v>
      </c>
      <c r="I231" s="195">
        <f t="shared" ca="1" si="116"/>
        <v>0</v>
      </c>
      <c r="J231" s="195">
        <f t="shared" ca="1" si="116"/>
        <v>0</v>
      </c>
      <c r="K231" s="195">
        <f t="shared" ca="1" si="116"/>
        <v>0</v>
      </c>
      <c r="L231" s="195">
        <f t="shared" ca="1" si="116"/>
        <v>0</v>
      </c>
      <c r="M231" s="195">
        <f t="shared" ca="1" si="116"/>
        <v>0</v>
      </c>
      <c r="N231" s="195">
        <f t="shared" ca="1" si="116"/>
        <v>0</v>
      </c>
    </row>
    <row r="232" spans="1:14">
      <c r="A232" s="195" t="s">
        <v>1185</v>
      </c>
      <c r="B232" s="195">
        <f ca="1">-B231/$AE$116*(1+inflation_rate)^construct/INFLATION_FACTOR</f>
        <v>0</v>
      </c>
      <c r="C232" s="195">
        <f t="shared" ref="C232:N232" ca="1" si="117">-C231/$AE$116*(1+inflation_rate)^construct/INFLATION_FACTOR</f>
        <v>0</v>
      </c>
      <c r="D232" s="195">
        <f t="shared" ca="1" si="117"/>
        <v>0</v>
      </c>
      <c r="E232" s="195">
        <f t="shared" ca="1" si="117"/>
        <v>0</v>
      </c>
      <c r="F232" s="195">
        <f ca="1">-F231/$AE$116*(1+inflation_rate)^construct/INFLATION_FACTOR</f>
        <v>4.1701322235669069</v>
      </c>
      <c r="G232" s="195">
        <f t="shared" ca="1" si="117"/>
        <v>0</v>
      </c>
      <c r="H232" s="195">
        <f t="shared" ca="1" si="117"/>
        <v>0</v>
      </c>
      <c r="I232" s="195">
        <f t="shared" ca="1" si="117"/>
        <v>0</v>
      </c>
      <c r="J232" s="195">
        <f t="shared" ca="1" si="117"/>
        <v>0</v>
      </c>
      <c r="K232" s="195">
        <f t="shared" ca="1" si="117"/>
        <v>0</v>
      </c>
      <c r="L232" s="195">
        <f t="shared" ca="1" si="117"/>
        <v>0</v>
      </c>
      <c r="M232" s="195">
        <f t="shared" ca="1" si="117"/>
        <v>0</v>
      </c>
      <c r="N232" s="195">
        <f t="shared" ca="1" si="117"/>
        <v>0</v>
      </c>
    </row>
    <row r="233" spans="1:14">
      <c r="A233" s="195" t="s">
        <v>1187</v>
      </c>
      <c r="B233" s="195" t="str">
        <f>IF(B132&gt;0,B232/B133*(1+inflation_rate)^construct,"")</f>
        <v/>
      </c>
      <c r="C233" s="195" t="str">
        <f t="shared" ref="C233:N233" si="118">IF(C132&gt;0,C232/C133*(1+inflation_rate)^construct,"")</f>
        <v/>
      </c>
      <c r="D233" s="195" t="str">
        <f t="shared" si="118"/>
        <v/>
      </c>
      <c r="E233" s="195" t="str">
        <f t="shared" si="118"/>
        <v/>
      </c>
      <c r="F233" s="195">
        <f t="shared" ca="1" si="118"/>
        <v>7.6565130375039231E-2</v>
      </c>
      <c r="G233" s="195" t="str">
        <f t="shared" si="118"/>
        <v/>
      </c>
      <c r="H233" s="195" t="str">
        <f t="shared" si="118"/>
        <v/>
      </c>
      <c r="I233" s="195" t="str">
        <f t="shared" si="118"/>
        <v/>
      </c>
      <c r="J233" s="195" t="str">
        <f t="shared" ca="1" si="118"/>
        <v/>
      </c>
      <c r="K233" s="195" t="str">
        <f t="shared" si="118"/>
        <v/>
      </c>
      <c r="L233" s="195" t="str">
        <f t="shared" si="118"/>
        <v/>
      </c>
      <c r="M233" s="195" t="str">
        <f t="shared" si="118"/>
        <v/>
      </c>
      <c r="N233" s="195" t="str">
        <f t="shared" si="118"/>
        <v/>
      </c>
    </row>
    <row r="279" spans="1:5">
      <c r="A279" s="48" t="s">
        <v>193</v>
      </c>
    </row>
    <row r="280" spans="1:5">
      <c r="A280" s="48" t="s">
        <v>1048</v>
      </c>
      <c r="B280" s="48" t="s">
        <v>636</v>
      </c>
      <c r="C280" s="48" t="s">
        <v>194</v>
      </c>
      <c r="D280" s="48" t="s">
        <v>195</v>
      </c>
      <c r="E280" s="48" t="s">
        <v>196</v>
      </c>
    </row>
    <row r="281" spans="1:5">
      <c r="A281" s="48" t="str">
        <f>'HyARC Physical Property Data'!A76</f>
        <v>Commercial Electricity</v>
      </c>
      <c r="B281" s="48">
        <f ca="1">VLOOKUP(A281,MASTER_PROPERTY_TABLE,9,FALSE)</f>
        <v>3.5999999999999995E-3</v>
      </c>
      <c r="C281" s="48">
        <f ca="1">MATCH(startup_year,Feedstock_Year,0)</f>
        <v>19</v>
      </c>
      <c r="D281" s="48">
        <f ca="1">VLOOKUP(A281,FEEDPRICETABLE,C281,FALSE)</f>
        <v>29.932211922183079</v>
      </c>
      <c r="E281" s="48">
        <f ca="1">B281*D281</f>
        <v>0.10775596291985907</v>
      </c>
    </row>
    <row r="282" spans="1:5">
      <c r="A282" s="48" t="str">
        <f>'HyARC Physical Property Data'!A77</f>
        <v>Industrial Electricity</v>
      </c>
      <c r="B282" s="48">
        <f ca="1">VLOOKUP(A282,MASTER_PROPERTY_TABLE,9,FALSE)</f>
        <v>3.5999999999999995E-3</v>
      </c>
      <c r="C282" s="48">
        <f ca="1">MATCH(startup_year,Feedstock_Year,0)+2</f>
        <v>21</v>
      </c>
      <c r="D282" s="48">
        <f ca="1">VLOOKUP(A282,FEEDPRICETABLE,C282,FALSE)</f>
        <v>19.537493744407882</v>
      </c>
      <c r="E282" s="48">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CZ309"/>
  <sheetViews>
    <sheetView zoomScale="55" zoomScaleNormal="55" workbookViewId="0">
      <pane xSplit="1" ySplit="6" topLeftCell="B7" activePane="bottomRight" state="frozen"/>
      <selection pane="topRight" activeCell="B1" sqref="B1"/>
      <selection pane="bottomLeft" activeCell="A7" sqref="A7"/>
      <selection pane="bottomRight" activeCell="B38" sqref="B38"/>
    </sheetView>
  </sheetViews>
  <sheetFormatPr defaultRowHeight="12.75"/>
  <cols>
    <col min="1" max="1" width="30.28515625" customWidth="1"/>
    <col min="2" max="2" width="18.85546875" customWidth="1"/>
    <col min="3" max="3" width="11.28515625" customWidth="1"/>
    <col min="5" max="5" width="12.7109375" customWidth="1"/>
    <col min="6" max="6" width="12.42578125" customWidth="1"/>
    <col min="7" max="7" width="11.7109375" customWidth="1"/>
  </cols>
  <sheetData>
    <row r="3" spans="1:104" ht="13.5" thickBot="1">
      <c r="BW3" s="1299" t="s">
        <v>1290</v>
      </c>
      <c r="BX3" s="1299"/>
      <c r="BY3" s="1299"/>
      <c r="BZ3" s="1299"/>
      <c r="CA3" s="1299"/>
      <c r="CB3" s="1299"/>
      <c r="CC3" s="1299"/>
      <c r="CD3" s="1299"/>
    </row>
    <row r="4" spans="1:104" ht="13.5" thickTop="1">
      <c r="A4" s="805" t="s">
        <v>1113</v>
      </c>
      <c r="B4" s="656" t="str">
        <f>"Prices are in $(" &amp; ref_year&amp;")/GJ LHV"</f>
        <v>Prices are in $(2016)/GJ LHV</v>
      </c>
      <c r="C4" s="806"/>
      <c r="D4" s="806"/>
      <c r="E4" s="806"/>
      <c r="F4" s="806"/>
      <c r="G4" s="806"/>
      <c r="H4" s="806"/>
      <c r="I4" s="806"/>
      <c r="J4" s="806"/>
      <c r="K4" s="806"/>
      <c r="L4" s="806"/>
      <c r="M4" s="806"/>
      <c r="N4" s="806"/>
      <c r="O4" s="806"/>
      <c r="P4" s="806"/>
      <c r="Q4" s="806"/>
      <c r="R4" s="806"/>
      <c r="S4" s="806"/>
      <c r="T4" s="806"/>
      <c r="U4" s="806"/>
      <c r="V4" s="806"/>
      <c r="W4" s="806"/>
      <c r="X4" s="806"/>
      <c r="Y4" s="806"/>
      <c r="Z4" s="806"/>
      <c r="AA4" s="806"/>
      <c r="AB4" s="806"/>
      <c r="AC4" s="806"/>
      <c r="AD4" s="806"/>
      <c r="AE4" s="806"/>
      <c r="AF4" s="806"/>
      <c r="AG4" s="806"/>
      <c r="AH4" s="817" t="s">
        <v>771</v>
      </c>
      <c r="AI4" s="818"/>
      <c r="AJ4" s="818"/>
      <c r="AK4" s="818"/>
      <c r="AL4" s="818"/>
      <c r="AM4" s="818"/>
      <c r="AN4" s="818"/>
      <c r="AO4" s="818"/>
      <c r="AP4" s="818"/>
      <c r="AQ4" s="818"/>
      <c r="AR4" s="818"/>
      <c r="AS4" s="818"/>
      <c r="AT4" s="818"/>
      <c r="AU4" s="818"/>
      <c r="AV4" s="818"/>
      <c r="AW4" s="818"/>
      <c r="AX4" s="818"/>
      <c r="AY4" s="818"/>
      <c r="AZ4" s="818"/>
      <c r="BA4" s="818"/>
      <c r="BB4" s="818"/>
      <c r="BC4" s="818"/>
      <c r="BD4" s="818"/>
      <c r="BE4" s="818"/>
      <c r="BF4" s="818"/>
      <c r="BG4" s="818"/>
      <c r="BH4" s="818"/>
      <c r="BI4" s="818"/>
      <c r="BJ4" s="818"/>
      <c r="BK4" s="818"/>
      <c r="BL4" s="818"/>
      <c r="BM4" s="818"/>
      <c r="BN4" s="818"/>
      <c r="BO4" s="818"/>
      <c r="BP4" s="818"/>
      <c r="BQ4" s="818"/>
      <c r="BR4" s="818"/>
      <c r="BS4" s="818"/>
      <c r="BT4" s="818"/>
      <c r="BU4" s="818"/>
      <c r="BV4" s="819"/>
    </row>
    <row r="5" spans="1:104" ht="51.75" thickBot="1">
      <c r="A5" s="821" t="s">
        <v>1080</v>
      </c>
      <c r="B5" s="822" t="s">
        <v>677</v>
      </c>
      <c r="C5" s="822" t="s">
        <v>678</v>
      </c>
      <c r="D5" s="822" t="s">
        <v>689</v>
      </c>
      <c r="E5" s="822" t="s">
        <v>690</v>
      </c>
      <c r="F5" s="1" t="s">
        <v>679</v>
      </c>
      <c r="G5" s="1" t="s">
        <v>691</v>
      </c>
      <c r="H5" s="1">
        <v>2004</v>
      </c>
      <c r="I5" s="1">
        <v>2005</v>
      </c>
      <c r="J5" s="1">
        <v>2006</v>
      </c>
      <c r="K5" s="1">
        <v>2007</v>
      </c>
      <c r="L5" s="1">
        <v>2008</v>
      </c>
      <c r="M5" s="1">
        <v>2009</v>
      </c>
      <c r="N5" s="1">
        <v>2010</v>
      </c>
      <c r="O5" s="1">
        <v>2011</v>
      </c>
      <c r="P5" s="1">
        <v>2012</v>
      </c>
      <c r="Q5" s="1">
        <v>2013</v>
      </c>
      <c r="R5" s="1">
        <v>2014</v>
      </c>
      <c r="S5" s="1">
        <v>2015</v>
      </c>
      <c r="T5" s="1">
        <v>2016</v>
      </c>
      <c r="U5" s="1">
        <v>2017</v>
      </c>
      <c r="V5" s="1">
        <v>2018</v>
      </c>
      <c r="W5" s="1">
        <v>2019</v>
      </c>
      <c r="X5" s="1">
        <v>2020</v>
      </c>
      <c r="Y5" s="1">
        <v>2021</v>
      </c>
      <c r="Z5" s="1">
        <v>2022</v>
      </c>
      <c r="AA5" s="1">
        <v>2023</v>
      </c>
      <c r="AB5" s="1">
        <v>2024</v>
      </c>
      <c r="AC5" s="1">
        <v>2025</v>
      </c>
      <c r="AD5" s="1">
        <v>2026</v>
      </c>
      <c r="AE5" s="1">
        <v>2027</v>
      </c>
      <c r="AF5" s="1">
        <v>2028</v>
      </c>
      <c r="AG5" s="1">
        <v>2029</v>
      </c>
      <c r="AH5" s="1">
        <v>2030</v>
      </c>
      <c r="AI5" s="1">
        <v>2031</v>
      </c>
      <c r="AJ5" s="1">
        <v>2032</v>
      </c>
      <c r="AK5" s="1">
        <v>2033</v>
      </c>
      <c r="AL5" s="1">
        <v>2034</v>
      </c>
      <c r="AM5" s="1">
        <v>2035</v>
      </c>
      <c r="AN5" s="1">
        <v>2036</v>
      </c>
      <c r="AO5" s="1">
        <v>2037</v>
      </c>
      <c r="AP5" s="1">
        <v>2038</v>
      </c>
      <c r="AQ5" s="1">
        <v>2039</v>
      </c>
      <c r="AR5" s="1">
        <v>2040</v>
      </c>
      <c r="AS5" s="1">
        <v>2041</v>
      </c>
      <c r="AT5" s="1">
        <v>2042</v>
      </c>
      <c r="AU5" s="1">
        <v>2043</v>
      </c>
      <c r="AV5" s="1">
        <v>2044</v>
      </c>
      <c r="AW5" s="1">
        <v>2045</v>
      </c>
      <c r="AX5" s="1">
        <v>2046</v>
      </c>
      <c r="AY5" s="1">
        <v>2047</v>
      </c>
      <c r="AZ5" s="1">
        <v>2048</v>
      </c>
      <c r="BA5" s="1">
        <v>2049</v>
      </c>
      <c r="BB5" s="1">
        <v>2050</v>
      </c>
      <c r="BC5" s="1">
        <v>2051</v>
      </c>
      <c r="BD5" s="1">
        <v>2052</v>
      </c>
      <c r="BE5" s="1">
        <v>2053</v>
      </c>
      <c r="BF5" s="1">
        <v>2054</v>
      </c>
      <c r="BG5" s="1">
        <v>2055</v>
      </c>
      <c r="BH5" s="1">
        <v>2056</v>
      </c>
      <c r="BI5" s="1">
        <v>2057</v>
      </c>
      <c r="BJ5" s="1">
        <v>2058</v>
      </c>
      <c r="BK5" s="1">
        <v>2059</v>
      </c>
      <c r="BL5" s="1">
        <v>2060</v>
      </c>
      <c r="BM5" s="1">
        <v>2061</v>
      </c>
      <c r="BN5" s="1">
        <v>2062</v>
      </c>
      <c r="BO5" s="1">
        <v>2063</v>
      </c>
      <c r="BP5" s="1">
        <v>2064</v>
      </c>
      <c r="BQ5" s="1">
        <v>2065</v>
      </c>
      <c r="BR5" s="1">
        <v>2066</v>
      </c>
      <c r="BS5" s="1">
        <v>2067</v>
      </c>
      <c r="BT5" s="1">
        <v>2068</v>
      </c>
      <c r="BU5" s="1">
        <v>2069</v>
      </c>
      <c r="BV5" s="823">
        <v>2070</v>
      </c>
      <c r="BW5" s="1299">
        <f t="shared" ref="BW5" si="0">+BV5+1</f>
        <v>2071</v>
      </c>
      <c r="BX5" s="1299">
        <f t="shared" ref="BX5" si="1">+BW5+1</f>
        <v>2072</v>
      </c>
      <c r="BY5" s="1299">
        <f t="shared" ref="BY5" si="2">+BX5+1</f>
        <v>2073</v>
      </c>
      <c r="BZ5" s="1299">
        <f t="shared" ref="BZ5" si="3">+BY5+1</f>
        <v>2074</v>
      </c>
      <c r="CA5" s="1299">
        <f t="shared" ref="CA5" si="4">+BZ5+1</f>
        <v>2075</v>
      </c>
      <c r="CB5" s="1299">
        <f t="shared" ref="CB5" si="5">+CA5+1</f>
        <v>2076</v>
      </c>
      <c r="CC5" s="1299">
        <f t="shared" ref="CC5" si="6">+CB5+1</f>
        <v>2077</v>
      </c>
      <c r="CD5" s="1299">
        <f t="shared" ref="CD5" si="7">+CC5+1</f>
        <v>2078</v>
      </c>
      <c r="CE5" s="1299">
        <f t="shared" ref="CE5" si="8">+CD5+1</f>
        <v>2079</v>
      </c>
      <c r="CF5" s="1299">
        <f t="shared" ref="CF5" si="9">+CE5+1</f>
        <v>2080</v>
      </c>
      <c r="CG5" s="1299">
        <f t="shared" ref="CG5" si="10">+CF5+1</f>
        <v>2081</v>
      </c>
      <c r="CH5" s="1299">
        <f t="shared" ref="CH5" si="11">+CG5+1</f>
        <v>2082</v>
      </c>
      <c r="CI5" s="1299">
        <f t="shared" ref="CI5" si="12">+CH5+1</f>
        <v>2083</v>
      </c>
      <c r="CJ5" s="1299">
        <f t="shared" ref="CJ5" si="13">+CI5+1</f>
        <v>2084</v>
      </c>
      <c r="CK5" s="1299">
        <f t="shared" ref="CK5" si="14">+CJ5+1</f>
        <v>2085</v>
      </c>
      <c r="CL5" s="1299">
        <f t="shared" ref="CL5" si="15">+CK5+1</f>
        <v>2086</v>
      </c>
      <c r="CM5" s="1299">
        <f t="shared" ref="CM5" si="16">+CL5+1</f>
        <v>2087</v>
      </c>
      <c r="CN5" s="1299">
        <f t="shared" ref="CN5" si="17">+CM5+1</f>
        <v>2088</v>
      </c>
      <c r="CO5" s="1299">
        <f t="shared" ref="CO5" si="18">+CN5+1</f>
        <v>2089</v>
      </c>
      <c r="CP5" s="1299">
        <f t="shared" ref="CP5" si="19">+CO5+1</f>
        <v>2090</v>
      </c>
      <c r="CQ5" s="1299">
        <f t="shared" ref="CQ5" si="20">+CP5+1</f>
        <v>2091</v>
      </c>
      <c r="CR5" s="1299">
        <f t="shared" ref="CR5" si="21">+CQ5+1</f>
        <v>2092</v>
      </c>
      <c r="CS5" s="1299">
        <f t="shared" ref="CS5" si="22">+CR5+1</f>
        <v>2093</v>
      </c>
      <c r="CT5" s="1299">
        <f t="shared" ref="CT5" si="23">+CS5+1</f>
        <v>2094</v>
      </c>
      <c r="CU5" s="1299">
        <f t="shared" ref="CU5" si="24">+CT5+1</f>
        <v>2095</v>
      </c>
      <c r="CV5" s="1299">
        <f t="shared" ref="CV5" si="25">+CU5+1</f>
        <v>2096</v>
      </c>
      <c r="CW5" s="1299">
        <f t="shared" ref="CW5" si="26">+CV5+1</f>
        <v>2097</v>
      </c>
      <c r="CX5" s="1299">
        <f t="shared" ref="CX5" si="27">+CW5+1</f>
        <v>2098</v>
      </c>
      <c r="CY5" s="1299">
        <f t="shared" ref="CY5" si="28">+CX5+1</f>
        <v>2099</v>
      </c>
      <c r="CZ5" s="1299">
        <f t="shared" ref="CZ5" si="29">+CY5+1</f>
        <v>2100</v>
      </c>
    </row>
    <row r="6" spans="1:104" ht="13.5" thickBot="1">
      <c r="A6" s="884" t="s">
        <v>1086</v>
      </c>
      <c r="B6" s="885"/>
      <c r="C6" s="885"/>
      <c r="D6" s="885"/>
      <c r="E6" s="885"/>
      <c r="F6" s="808"/>
      <c r="G6" s="885"/>
      <c r="H6" s="885"/>
      <c r="I6" s="885"/>
      <c r="J6" s="885"/>
      <c r="K6" s="885"/>
      <c r="L6" s="885"/>
      <c r="M6" s="885"/>
      <c r="N6" s="885"/>
      <c r="O6" s="885"/>
      <c r="P6" s="885"/>
      <c r="Q6" s="885"/>
      <c r="R6" s="885"/>
      <c r="S6" s="885"/>
      <c r="T6" s="885"/>
      <c r="U6" s="885"/>
      <c r="V6" s="885"/>
      <c r="W6" s="885"/>
      <c r="X6" s="885"/>
      <c r="Y6" s="885"/>
      <c r="Z6" s="885"/>
      <c r="AA6" s="885"/>
      <c r="AB6" s="885"/>
      <c r="AC6" s="885"/>
      <c r="AD6" s="885"/>
      <c r="AE6" s="885"/>
      <c r="AF6" s="885"/>
      <c r="AG6" s="885"/>
      <c r="AH6" s="885"/>
      <c r="AI6" s="885"/>
      <c r="AJ6" s="885"/>
      <c r="AK6" s="885"/>
      <c r="AL6" s="885"/>
      <c r="AM6" s="885"/>
      <c r="AN6" s="885"/>
      <c r="AO6" s="885"/>
      <c r="AP6" s="885"/>
      <c r="AQ6" s="885"/>
      <c r="AR6" s="885"/>
      <c r="AS6" s="885"/>
      <c r="AT6" s="885"/>
      <c r="AU6" s="885"/>
      <c r="AV6" s="885"/>
      <c r="AW6" s="885"/>
      <c r="AX6" s="885"/>
      <c r="AY6" s="885"/>
      <c r="AZ6" s="885"/>
      <c r="BA6" s="885"/>
      <c r="BC6" s="885"/>
      <c r="BD6" s="885"/>
      <c r="BE6" s="885"/>
      <c r="BF6" s="885"/>
      <c r="BG6" s="885"/>
      <c r="BH6" s="885"/>
      <c r="BI6" s="885"/>
      <c r="BJ6" s="885"/>
      <c r="BK6" s="885"/>
      <c r="BL6" s="885"/>
      <c r="BM6" s="885"/>
      <c r="BN6" s="885"/>
      <c r="BO6" s="885"/>
      <c r="BP6" s="885"/>
      <c r="BR6" s="885"/>
      <c r="BS6" s="885"/>
      <c r="BT6" s="885"/>
      <c r="BU6" s="885"/>
    </row>
    <row r="7" spans="1:104">
      <c r="A7" s="902" t="str">
        <f>'HyARC Physical Property Data'!A73</f>
        <v>Residential Natural Gas</v>
      </c>
      <c r="B7" s="885">
        <v>2007</v>
      </c>
      <c r="C7" s="886">
        <f>VLOOKUP(ref_year,DeflatorTable,2,FALSE)/VLOOKUP(B7,DeflatorTable,2,FALSE)</f>
        <v>1.1446359956438654</v>
      </c>
      <c r="D7" s="902" t="str">
        <f>'HyARC Physical Property Data'!H73</f>
        <v>mmBtu</v>
      </c>
      <c r="E7" s="886" t="s">
        <v>1054</v>
      </c>
      <c r="F7" s="885">
        <f>'HyARC Physical Property Data'!$E$6</f>
        <v>47.141269049911173</v>
      </c>
      <c r="G7" s="885">
        <f>'HyARC Physical Property Data'!$I$6</f>
        <v>52.224661236371581</v>
      </c>
      <c r="H7" s="885">
        <f>((13.7000589370728/(mmBTU_to_GJ))*($C$7))*($G$7/$F$7)</f>
        <v>16.46689578317423</v>
      </c>
      <c r="I7" s="885">
        <f>((13.7000589370728/(mmBTU_to_GJ))*($C$7))*($G$7/$F$7)</f>
        <v>16.46689578317423</v>
      </c>
      <c r="J7" s="885">
        <f>((13.7000589370728/(mmBTU_to_GJ))*($C$7))*($G$7/$F$7)</f>
        <v>16.46689578317423</v>
      </c>
      <c r="K7" s="885">
        <f>((12.6911582946777/(mmBTU_to_GJ))*($C$7))*($G$7/$F$7)</f>
        <v>15.254239559561855</v>
      </c>
      <c r="L7" s="885">
        <f>((12.9778490066528/(mmBTU_to_GJ))*($C$7))*($G$7/$F$7)</f>
        <v>15.59882976152975</v>
      </c>
      <c r="M7" s="885">
        <f>((10.7176141738892/(mmBTU_to_GJ))*($C$7))*($G$7/$F$7)</f>
        <v>12.882122365775233</v>
      </c>
      <c r="N7" s="885">
        <f>((11.192774772644/(mmBTU_to_GJ))*($C$7))*($G$7/$F$7)</f>
        <v>13.453245460639653</v>
      </c>
      <c r="O7" s="885">
        <f>((11.4872808456421/(mmBTU_to_GJ))*($C$7))*($G$7/$F$7)</f>
        <v>13.807229398507864</v>
      </c>
      <c r="P7" s="885">
        <f>((11.3991556167603/(mmBTU_to_GJ))*($C$7))*($G$7/$F$7)</f>
        <v>13.701306572443364</v>
      </c>
      <c r="Q7" s="885">
        <f>((11.3077983856201/(mmBTU_to_GJ))*($C$7))*($G$7/$F$7)</f>
        <v>13.591499015327374</v>
      </c>
      <c r="R7" s="885">
        <f>((11.2896461486816/(mmBTU_to_GJ))*($C$7))*($G$7/$F$7)</f>
        <v>13.569680788466401</v>
      </c>
      <c r="S7" s="885">
        <f>((11.3454151153564/(mmBTU_to_GJ))*($C$7))*($G$7/$F$7)</f>
        <v>13.636712745510335</v>
      </c>
      <c r="T7" s="885">
        <f>((11.5382986068726/(mmBTU_to_GJ))*($C$7))*($G$7/$F$7)</f>
        <v>13.868550606039326</v>
      </c>
      <c r="U7" s="885">
        <f>((11.7583208084106/(mmBTU_to_GJ))*($C$7))*($G$7/$F$7)</f>
        <v>14.133008056868725</v>
      </c>
      <c r="V7" s="885">
        <f>((11.9751005172729/(mmBTU_to_GJ))*($C$7))*($G$7/$F$7)</f>
        <v>14.393568167605377</v>
      </c>
      <c r="W7" s="885">
        <f>((12.23952293396/(mmBTU_to_GJ))*($C$7))*($G$7/$F$7)</f>
        <v>14.711392813347514</v>
      </c>
      <c r="X7" s="885">
        <f>((12.557071685791/(mmBTU_to_GJ))*($C$7))*($G$7/$F$7)</f>
        <v>15.093073083957748</v>
      </c>
      <c r="Y7" s="885">
        <f>((12.7957820892334/(mmBTU_to_GJ))*($C$7))*($G$7/$F$7)</f>
        <v>15.379992969040035</v>
      </c>
      <c r="Z7" s="885">
        <f>((12.8716516494751/(mmBTU_to_GJ))*($C$7))*($G$7/$F$7)</f>
        <v>15.471184995830123</v>
      </c>
      <c r="AA7" s="885">
        <f>((12.6602811813354/(mmBTU_to_GJ))*($C$7))*($G$7/$F$7)</f>
        <v>15.217126565389467</v>
      </c>
      <c r="AB7" s="885">
        <f>((12.6240320205688/(mmBTU_to_GJ))*($C$7))*($G$7/$F$7)</f>
        <v>15.173556595704456</v>
      </c>
      <c r="AC7" s="885">
        <f>((12.5992183685303/(mmBTU_to_GJ))*($C$7))*($G$7/$F$7)</f>
        <v>15.143731627505801</v>
      </c>
      <c r="AD7" s="885">
        <f>((12.7868556976318/(mmBTU_to_GJ))*($C$7))*($G$7/$F$7)</f>
        <v>15.369263821019688</v>
      </c>
      <c r="AE7" s="885">
        <f>((13.07555103302/(mmBTU_to_GJ))*($C$7))*($G$7/$F$7)</f>
        <v>15.716263496186178</v>
      </c>
      <c r="AF7" s="885">
        <f>((13.407883644104/(mmBTU_to_GJ))*($C$7))*($G$7/$F$7)</f>
        <v>16.115713345066876</v>
      </c>
      <c r="AG7" s="885">
        <f>((13.6725673675537/(mmBTU_to_GJ))*($C$7))*($G$7/$F$7)</f>
        <v>16.433852070569323</v>
      </c>
      <c r="AH7" s="885">
        <f>((13.9620389938354/(mmBTU_to_GJ))*($C$7))*($G$7/$F$7)</f>
        <v>16.781784814805029</v>
      </c>
      <c r="AI7" s="885">
        <f>($BB7-$AH7)/20+AH7</f>
        <v>16.924252919684925</v>
      </c>
      <c r="AJ7" s="885">
        <f t="shared" ref="AJ7:AY10" si="30">($BB7-$AH7)/20+AI7</f>
        <v>17.066721024564821</v>
      </c>
      <c r="AK7" s="885">
        <f t="shared" si="30"/>
        <v>17.209189129444717</v>
      </c>
      <c r="AL7" s="885">
        <f t="shared" si="30"/>
        <v>17.351657234324612</v>
      </c>
      <c r="AM7" s="885">
        <f t="shared" si="30"/>
        <v>17.494125339204508</v>
      </c>
      <c r="AN7" s="885">
        <f t="shared" si="30"/>
        <v>17.636593444084404</v>
      </c>
      <c r="AO7" s="885">
        <f t="shared" si="30"/>
        <v>17.7790615489643</v>
      </c>
      <c r="AP7" s="885">
        <f t="shared" si="30"/>
        <v>17.921529653844196</v>
      </c>
      <c r="AQ7" s="885">
        <f t="shared" si="30"/>
        <v>18.063997758724092</v>
      </c>
      <c r="AR7" s="885">
        <f t="shared" si="30"/>
        <v>18.206465863603988</v>
      </c>
      <c r="AS7" s="885">
        <f t="shared" si="30"/>
        <v>18.348933968483884</v>
      </c>
      <c r="AT7" s="885">
        <f t="shared" si="30"/>
        <v>18.49140207336378</v>
      </c>
      <c r="AU7" s="885">
        <f t="shared" si="30"/>
        <v>18.633870178243676</v>
      </c>
      <c r="AV7" s="885">
        <f t="shared" si="30"/>
        <v>18.776338283123572</v>
      </c>
      <c r="AW7" s="885">
        <f t="shared" si="30"/>
        <v>18.918806388003468</v>
      </c>
      <c r="AX7" s="885">
        <f t="shared" si="30"/>
        <v>19.061274492883364</v>
      </c>
      <c r="AY7" s="885">
        <f t="shared" si="30"/>
        <v>19.203742597763259</v>
      </c>
      <c r="AZ7" s="885">
        <f t="shared" ref="AY7:BA10" si="31">($BB7-$AH7)/20+AY7</f>
        <v>19.346210702643155</v>
      </c>
      <c r="BA7" s="885">
        <f t="shared" si="31"/>
        <v>19.488678807523051</v>
      </c>
      <c r="BB7" s="992">
        <f>1.16978897829057*AH7</f>
        <v>19.631146912402976</v>
      </c>
      <c r="BC7" s="885">
        <f>($BQ7-$BB7)/15+BB7</f>
        <v>19.82552968566489</v>
      </c>
      <c r="BD7" s="885">
        <f t="shared" ref="BD7:BP7" si="32">($BQ7-$BB7)/15+BC7</f>
        <v>20.019912458926804</v>
      </c>
      <c r="BE7" s="885">
        <f t="shared" si="32"/>
        <v>20.214295232188718</v>
      </c>
      <c r="BF7" s="885">
        <f t="shared" si="32"/>
        <v>20.408678005450632</v>
      </c>
      <c r="BG7" s="885">
        <f t="shared" si="32"/>
        <v>20.603060778712546</v>
      </c>
      <c r="BH7" s="885">
        <f t="shared" si="32"/>
        <v>20.79744355197446</v>
      </c>
      <c r="BI7" s="885">
        <f t="shared" si="32"/>
        <v>20.991826325236374</v>
      </c>
      <c r="BJ7" s="885">
        <f t="shared" si="32"/>
        <v>21.186209098498288</v>
      </c>
      <c r="BK7" s="885">
        <f t="shared" si="32"/>
        <v>21.380591871760203</v>
      </c>
      <c r="BL7" s="885">
        <f t="shared" si="32"/>
        <v>21.574974645022117</v>
      </c>
      <c r="BM7" s="885">
        <f t="shared" si="32"/>
        <v>21.769357418284031</v>
      </c>
      <c r="BN7" s="885">
        <f t="shared" si="32"/>
        <v>21.963740191545945</v>
      </c>
      <c r="BO7" s="885">
        <f t="shared" si="32"/>
        <v>22.158122964807859</v>
      </c>
      <c r="BP7" s="885">
        <f t="shared" si="32"/>
        <v>22.352505738069773</v>
      </c>
      <c r="BQ7" s="992">
        <f>1.14852629914794*BB7</f>
        <v>22.546888511331698</v>
      </c>
      <c r="BR7" s="885">
        <f>($BV7-$BQ7)/5+BQ7</f>
        <v>22.770142238524333</v>
      </c>
      <c r="BS7" s="885">
        <f>($BV7-$BQ7)/5+BR7</f>
        <v>22.993395965716967</v>
      </c>
      <c r="BT7" s="885">
        <f>($BV7-$BQ7)/5+BS7</f>
        <v>23.216649692909602</v>
      </c>
      <c r="BU7" s="885">
        <f>($BV7-$BQ7)/5+BT7</f>
        <v>23.439903420102237</v>
      </c>
      <c r="BV7" s="993">
        <f>1.04950876638265*BQ7</f>
        <v>23.663157147294871</v>
      </c>
      <c r="BW7" s="1298">
        <f>+BV7*BW$133/BV$133</f>
        <v>23.741725786947789</v>
      </c>
      <c r="BX7" s="1298">
        <f t="shared" ref="BX7:CZ7" si="33">+BW7*BX$133/BW$133</f>
        <v>23.820555297586708</v>
      </c>
      <c r="BY7" s="1298">
        <f t="shared" si="33"/>
        <v>23.899646545380008</v>
      </c>
      <c r="BZ7" s="1298">
        <f t="shared" si="33"/>
        <v>23.979000399372005</v>
      </c>
      <c r="CA7" s="1298">
        <f t="shared" si="33"/>
        <v>24.058617731492493</v>
      </c>
      <c r="CB7" s="1298">
        <f t="shared" si="33"/>
        <v>24.109957095304743</v>
      </c>
      <c r="CC7" s="1298">
        <f t="shared" si="33"/>
        <v>24.1614060136353</v>
      </c>
      <c r="CD7" s="1298">
        <f t="shared" si="33"/>
        <v>24.212964720265646</v>
      </c>
      <c r="CE7" s="1298">
        <f t="shared" si="33"/>
        <v>24.264633449476126</v>
      </c>
      <c r="CF7" s="1298">
        <f t="shared" si="33"/>
        <v>24.316412436047038</v>
      </c>
      <c r="CG7" s="1298">
        <f t="shared" si="33"/>
        <v>24.333224744531737</v>
      </c>
      <c r="CH7" s="1298">
        <f t="shared" si="33"/>
        <v>24.350048677005677</v>
      </c>
      <c r="CI7" s="1298">
        <f t="shared" si="33"/>
        <v>24.366884241505659</v>
      </c>
      <c r="CJ7" s="1298">
        <f t="shared" si="33"/>
        <v>24.383731446074034</v>
      </c>
      <c r="CK7" s="1298">
        <f t="shared" si="33"/>
        <v>24.400590298758722</v>
      </c>
      <c r="CL7" s="1298">
        <f t="shared" si="33"/>
        <v>24.406304701449077</v>
      </c>
      <c r="CM7" s="1298">
        <f t="shared" si="33"/>
        <v>24.41202044240206</v>
      </c>
      <c r="CN7" s="1298">
        <f t="shared" si="33"/>
        <v>24.41773752193108</v>
      </c>
      <c r="CO7" s="1298">
        <f t="shared" si="33"/>
        <v>24.423455940349619</v>
      </c>
      <c r="CP7" s="1298">
        <f t="shared" si="33"/>
        <v>24.429175697971235</v>
      </c>
      <c r="CQ7" s="1298">
        <f t="shared" si="33"/>
        <v>24.437844539812179</v>
      </c>
      <c r="CR7" s="1298">
        <f t="shared" si="33"/>
        <v>24.446516457844467</v>
      </c>
      <c r="CS7" s="1298">
        <f t="shared" si="33"/>
        <v>24.455191453159703</v>
      </c>
      <c r="CT7" s="1298">
        <f t="shared" si="33"/>
        <v>24.463869526849884</v>
      </c>
      <c r="CU7" s="1298">
        <f t="shared" si="33"/>
        <v>24.472550680007387</v>
      </c>
      <c r="CV7" s="1298">
        <f t="shared" si="33"/>
        <v>24.485911011470357</v>
      </c>
      <c r="CW7" s="1298">
        <f t="shared" si="33"/>
        <v>24.499278636756479</v>
      </c>
      <c r="CX7" s="1298">
        <f t="shared" si="33"/>
        <v>24.512653559847685</v>
      </c>
      <c r="CY7" s="1298">
        <f t="shared" si="33"/>
        <v>24.526035784728073</v>
      </c>
      <c r="CZ7" s="1298">
        <f t="shared" si="33"/>
        <v>24.539425315383912</v>
      </c>
    </row>
    <row r="8" spans="1:104">
      <c r="A8" s="812" t="str">
        <f>'HyARC Physical Property Data'!A71</f>
        <v>Commercial Natural Gas</v>
      </c>
      <c r="B8">
        <v>2007</v>
      </c>
      <c r="C8" s="811">
        <f>VLOOKUP(ref_year,DeflatorTable,2,FALSE)/VLOOKUP(B8,DeflatorTable,2,FALSE)</f>
        <v>1.1446359956438654</v>
      </c>
      <c r="D8" s="812" t="str">
        <f>'HyARC Physical Property Data'!H71</f>
        <v>mmBtu</v>
      </c>
      <c r="E8" s="811" t="s">
        <v>1054</v>
      </c>
      <c r="F8">
        <f>'HyARC Physical Property Data'!$E$6</f>
        <v>47.141269049911173</v>
      </c>
      <c r="G8">
        <f>'HyARC Physical Property Data'!$I$6</f>
        <v>52.224661236371581</v>
      </c>
      <c r="H8">
        <f>((11.8960943222046/(mmBTU_to_GJ))*($C$8))*($G$8/$F$8)</f>
        <v>14.298606037413785</v>
      </c>
      <c r="I8">
        <f>((11.8960943222046/(mmBTU_to_GJ))*($C$8))*($G$8/$F$8)</f>
        <v>14.298606037413785</v>
      </c>
      <c r="J8">
        <f>((11.8960943222046/(mmBTU_to_GJ))*($C$8))*($G$8/$F$8)</f>
        <v>14.298606037413785</v>
      </c>
      <c r="K8">
        <f>((10.9898433685303/(mmBTU_to_GJ))*($C$8))*($G$8/$F$8)</f>
        <v>13.209330430929022</v>
      </c>
      <c r="L8">
        <f>((11.3387994766235/(mmBTU_to_GJ))*($C$8))*($G$8/$F$8)</f>
        <v>13.628761025444446</v>
      </c>
      <c r="M8">
        <f>((8.90759468078613/(mmBTU_to_GJ))*($C$8))*($G$8/$F$8)</f>
        <v>10.706554910529642</v>
      </c>
      <c r="N8">
        <f>((9.46560573577881/(mmBTU_to_GJ))*($C$8))*($G$8/$F$8)</f>
        <v>11.377260776148852</v>
      </c>
      <c r="O8">
        <f>((9.74632167816162/(mmBTU_to_GJ))*($C$8))*($G$8/$F$8)</f>
        <v>11.714669555857421</v>
      </c>
      <c r="P8">
        <f>((9.72109222412109/(mmBTU_to_GJ))*($C$8))*($G$8/$F$8)</f>
        <v>11.684344811105591</v>
      </c>
      <c r="Q8">
        <f>((9.67193412780762/(mmBTU_to_GJ))*($C$8))*($G$8/$F$8)</f>
        <v>11.625258842745071</v>
      </c>
      <c r="R8">
        <f>((9.71388721466064/(mmBTU_to_GJ))*($C$8))*($G$8/$F$8)</f>
        <v>11.675684692163989</v>
      </c>
      <c r="S8">
        <f>((9.83065605163574/(mmBTU_to_GJ))*($C$8))*($G$8/$F$8)</f>
        <v>11.816035932842832</v>
      </c>
      <c r="T8">
        <f>((10.0382099151611/(mmBTU_to_GJ))*($C$8))*($G$8/$F$8)</f>
        <v>12.065506964738809</v>
      </c>
      <c r="U8">
        <f>((10.2545003890991/(mmBTU_to_GJ))*($C$8))*($G$8/$F$8)</f>
        <v>12.32547903563206</v>
      </c>
      <c r="V8">
        <f>((10.476261138916/(mmBTU_to_GJ))*($C$8))*($G$8/$F$8)</f>
        <v>12.592026148517233</v>
      </c>
      <c r="W8">
        <f>((10.746561050415/(mmBTU_to_GJ))*($C$8))*($G$8/$F$8)</f>
        <v>12.916915296315764</v>
      </c>
      <c r="X8">
        <f>((11.0803880691528/(mmBTU_to_GJ))*($C$8))*($G$8/$F$8)</f>
        <v>13.318161360468658</v>
      </c>
      <c r="Y8">
        <f>((11.3143692016602/(mmBTU_to_GJ))*($C$8))*($G$8/$F$8)</f>
        <v>13.599396860397949</v>
      </c>
      <c r="Z8">
        <f>((11.4017143249512/(mmBTU_to_GJ))*($C$8))*($G$8/$F$8)</f>
        <v>13.704382032287196</v>
      </c>
      <c r="AA8">
        <f>((11.2125005722046/(mmBTU_to_GJ))*($C$8))*($G$8/$F$8)</f>
        <v>13.476955043722189</v>
      </c>
      <c r="AB8">
        <f>((11.1975994110107/(mmBTU_to_GJ))*($C$8))*($G$8/$F$8)</f>
        <v>13.459044473442507</v>
      </c>
      <c r="AC8">
        <f>((11.159740447998/(mmBTU_to_GJ))*($C$8))*($G$8/$F$8)</f>
        <v>13.413539589029041</v>
      </c>
      <c r="AD8">
        <f>((11.3503875732422/(mmBTU_to_GJ))*($C$8))*($G$8/$F$8)</f>
        <v>13.642689431170433</v>
      </c>
      <c r="AE8">
        <f>((11.6409521102905/(mmBTU_to_GJ))*($C$8))*($G$8/$F$8)</f>
        <v>13.99193580827273</v>
      </c>
      <c r="AF8">
        <f>((11.9785671234131/(mmBTU_to_GJ))*($C$8))*($G$8/$F$8)</f>
        <v>14.397734882675305</v>
      </c>
      <c r="AG8">
        <f>((12.2332496643066/(mmBTU_to_GJ))*($C$8))*($G$8/$F$8)</f>
        <v>14.703852606544261</v>
      </c>
      <c r="AH8">
        <f>((12.5188312530518/(mmBTU_to_GJ))*($C$8))*($G$8/$F$8)</f>
        <v>15.0471096889452</v>
      </c>
      <c r="AI8">
        <f>($BB8-$AH8)/20+AH8</f>
        <v>15.174851357960808</v>
      </c>
      <c r="AJ8">
        <f t="shared" si="30"/>
        <v>15.302593026976416</v>
      </c>
      <c r="AK8">
        <f t="shared" si="30"/>
        <v>15.430334695992023</v>
      </c>
      <c r="AL8">
        <f t="shared" si="30"/>
        <v>15.558076365007631</v>
      </c>
      <c r="AM8">
        <f t="shared" si="30"/>
        <v>15.685818034023239</v>
      </c>
      <c r="AN8">
        <f t="shared" si="30"/>
        <v>15.813559703038846</v>
      </c>
      <c r="AO8">
        <f t="shared" si="30"/>
        <v>15.941301372054454</v>
      </c>
      <c r="AP8">
        <f t="shared" si="30"/>
        <v>16.06904304107006</v>
      </c>
      <c r="AQ8">
        <f t="shared" si="30"/>
        <v>16.196784710085666</v>
      </c>
      <c r="AR8">
        <f t="shared" si="30"/>
        <v>16.324526379101272</v>
      </c>
      <c r="AS8">
        <f t="shared" si="30"/>
        <v>16.452268048116878</v>
      </c>
      <c r="AT8">
        <f t="shared" si="30"/>
        <v>16.580009717132484</v>
      </c>
      <c r="AU8">
        <f t="shared" si="30"/>
        <v>16.70775138614809</v>
      </c>
      <c r="AV8">
        <f t="shared" si="30"/>
        <v>16.835493055163695</v>
      </c>
      <c r="AW8">
        <f t="shared" si="30"/>
        <v>16.963234724179301</v>
      </c>
      <c r="AX8">
        <f t="shared" si="30"/>
        <v>17.090976393194907</v>
      </c>
      <c r="AY8">
        <f t="shared" si="31"/>
        <v>17.218718062210513</v>
      </c>
      <c r="AZ8">
        <f t="shared" si="31"/>
        <v>17.346459731226119</v>
      </c>
      <c r="BA8">
        <f t="shared" si="31"/>
        <v>17.474201400241725</v>
      </c>
      <c r="BB8" s="991">
        <f>1.16978897829057*AH8</f>
        <v>17.601943069257342</v>
      </c>
      <c r="BC8">
        <f t="shared" ref="BC8:BP10" si="34">($BQ8-$BB8)/15+BB8</f>
        <v>17.776233166716644</v>
      </c>
      <c r="BD8">
        <f t="shared" si="34"/>
        <v>17.950523264175946</v>
      </c>
      <c r="BE8">
        <f t="shared" si="34"/>
        <v>18.124813361635248</v>
      </c>
      <c r="BF8">
        <f t="shared" si="34"/>
        <v>18.29910345909455</v>
      </c>
      <c r="BG8">
        <f t="shared" si="34"/>
        <v>18.473393556553852</v>
      </c>
      <c r="BH8">
        <f t="shared" si="34"/>
        <v>18.647683654013154</v>
      </c>
      <c r="BI8">
        <f t="shared" si="34"/>
        <v>18.821973751472456</v>
      </c>
      <c r="BJ8">
        <f t="shared" si="34"/>
        <v>18.996263848931758</v>
      </c>
      <c r="BK8">
        <f t="shared" si="34"/>
        <v>19.17055394639106</v>
      </c>
      <c r="BL8">
        <f t="shared" si="34"/>
        <v>19.344844043850362</v>
      </c>
      <c r="BM8">
        <f t="shared" si="34"/>
        <v>19.519134141309664</v>
      </c>
      <c r="BN8">
        <f t="shared" si="34"/>
        <v>19.693424238768966</v>
      </c>
      <c r="BO8">
        <f t="shared" si="34"/>
        <v>19.867714336228268</v>
      </c>
      <c r="BP8">
        <f t="shared" si="34"/>
        <v>20.04200443368757</v>
      </c>
      <c r="BQ8" s="991">
        <f>1.14852629914794*BB8</f>
        <v>20.216294531146865</v>
      </c>
      <c r="BR8">
        <f t="shared" ref="BR8:BU10" si="35">($BV8-$BQ8)/5+BQ8</f>
        <v>20.416471291759944</v>
      </c>
      <c r="BS8">
        <f t="shared" si="35"/>
        <v>20.616648052373023</v>
      </c>
      <c r="BT8">
        <f t="shared" si="35"/>
        <v>20.816824812986102</v>
      </c>
      <c r="BU8">
        <f t="shared" si="35"/>
        <v>21.017001573599181</v>
      </c>
      <c r="BV8" s="994">
        <f>1.04950876638265*BQ8</f>
        <v>21.217178334212257</v>
      </c>
      <c r="BW8" s="1298">
        <f>+BV8*BW$134/BV$134</f>
        <v>21.287625604989181</v>
      </c>
      <c r="BX8" s="1298">
        <f t="shared" ref="BX8:CZ8" si="36">+BW8*BX$134/BW$134</f>
        <v>21.358306781419426</v>
      </c>
      <c r="BY8" s="1298">
        <f t="shared" si="36"/>
        <v>21.429222640138541</v>
      </c>
      <c r="BZ8" s="1298">
        <f t="shared" si="36"/>
        <v>21.500373960360729</v>
      </c>
      <c r="CA8" s="1298">
        <f t="shared" si="36"/>
        <v>21.571761523887421</v>
      </c>
      <c r="CB8" s="1298">
        <f t="shared" si="36"/>
        <v>21.617794115007417</v>
      </c>
      <c r="CC8" s="1298">
        <f t="shared" si="36"/>
        <v>21.663924936373601</v>
      </c>
      <c r="CD8" s="1298">
        <f t="shared" si="36"/>
        <v>21.710154197602268</v>
      </c>
      <c r="CE8" s="1298">
        <f t="shared" si="36"/>
        <v>21.756482108757027</v>
      </c>
      <c r="CF8" s="1298">
        <f t="shared" si="36"/>
        <v>21.802908880349733</v>
      </c>
      <c r="CG8" s="1298">
        <f t="shared" si="36"/>
        <v>21.817983358582254</v>
      </c>
      <c r="CH8" s="1298">
        <f t="shared" si="36"/>
        <v>21.833068259272402</v>
      </c>
      <c r="CI8" s="1298">
        <f t="shared" si="36"/>
        <v>21.848163589626239</v>
      </c>
      <c r="CJ8" s="1298">
        <f t="shared" si="36"/>
        <v>21.863269356854815</v>
      </c>
      <c r="CK8" s="1298">
        <f t="shared" si="36"/>
        <v>21.878385568174153</v>
      </c>
      <c r="CL8" s="1298">
        <f t="shared" si="36"/>
        <v>21.883509292798049</v>
      </c>
      <c r="CM8" s="1298">
        <f t="shared" si="36"/>
        <v>21.888634217352987</v>
      </c>
      <c r="CN8" s="1298">
        <f t="shared" si="36"/>
        <v>21.893760342119982</v>
      </c>
      <c r="CO8" s="1298">
        <f t="shared" si="36"/>
        <v>21.898887667380112</v>
      </c>
      <c r="CP8" s="1298">
        <f t="shared" si="36"/>
        <v>21.904016193414524</v>
      </c>
      <c r="CQ8" s="1298">
        <f t="shared" si="36"/>
        <v>21.911788967019731</v>
      </c>
      <c r="CR8" s="1298">
        <f t="shared" si="36"/>
        <v>21.919564498841009</v>
      </c>
      <c r="CS8" s="1298">
        <f t="shared" si="36"/>
        <v>21.927342789857128</v>
      </c>
      <c r="CT8" s="1298">
        <f t="shared" si="36"/>
        <v>21.935123841047208</v>
      </c>
      <c r="CU8" s="1298">
        <f t="shared" si="36"/>
        <v>21.942907653390712</v>
      </c>
      <c r="CV8" s="1298">
        <f t="shared" si="36"/>
        <v>21.954886973541843</v>
      </c>
      <c r="CW8" s="1298">
        <f t="shared" si="36"/>
        <v>21.966872833578826</v>
      </c>
      <c r="CX8" s="1298">
        <f t="shared" si="36"/>
        <v>21.978865237071986</v>
      </c>
      <c r="CY8" s="1298">
        <f t="shared" si="36"/>
        <v>21.990864187593605</v>
      </c>
      <c r="CZ8" s="1298">
        <f t="shared" si="36"/>
        <v>22.002869688717904</v>
      </c>
    </row>
    <row r="9" spans="1:104">
      <c r="A9" s="812" t="str">
        <f>'HyARC Physical Property Data'!A72</f>
        <v>Industrial Natural Gas</v>
      </c>
      <c r="B9">
        <v>2007</v>
      </c>
      <c r="C9" s="811">
        <f t="shared" ref="C9:C18" si="37">VLOOKUP(ref_year,DeflatorTable,2,FALSE)/VLOOKUP(B9,DeflatorTable,2,FALSE)</f>
        <v>1.1446359956438654</v>
      </c>
      <c r="D9" s="1171" t="str">
        <f>'HyARC Physical Property Data'!H72</f>
        <v>mmBtu</v>
      </c>
      <c r="E9" s="811" t="s">
        <v>1054</v>
      </c>
      <c r="F9">
        <f>'HyARC Physical Property Data'!$E$6</f>
        <v>47.141269049911173</v>
      </c>
      <c r="G9">
        <f>'HyARC Physical Property Data'!$I$6</f>
        <v>52.224661236371581</v>
      </c>
      <c r="H9">
        <f>((7.95407009124756/(mmBTU_to_GJ))*($C$9))*($G$9/$F$9)</f>
        <v>9.5604583780441796</v>
      </c>
      <c r="I9">
        <f>((7.95407009124756/(mmBTU_to_GJ))*($C$9))*($G$9/$F$9)</f>
        <v>9.5604583780441796</v>
      </c>
      <c r="J9">
        <f>((7.95407009124756/(mmBTU_to_GJ))*($C$9))*($G$9/$F$9)</f>
        <v>9.5604583780441796</v>
      </c>
      <c r="K9">
        <f>((7.51525163650513/(mmBTU_to_GJ))*($C$9))*($G$9/$F$9)</f>
        <v>9.0330170148232209</v>
      </c>
      <c r="L9">
        <f>((8.80127239227294/(mmBTU_to_GJ))*($C$9))*($G$9/$F$9)</f>
        <v>10.578759982608744</v>
      </c>
      <c r="M9">
        <f>((4.84856796264648/(mmBTU_to_GJ))*($C$9))*($G$9/$F$9)</f>
        <v>5.8277751727392237</v>
      </c>
      <c r="N9">
        <f>((5.49891996383666/(mmBTU_to_GJ))*($C$9))*($G$9/$F$9)</f>
        <v>6.6094709796819098</v>
      </c>
      <c r="O9">
        <f>((5.82616424560547/(mmBTU_to_GJ))*($C$9))*($G$9/$F$9)</f>
        <v>7.002804870308081</v>
      </c>
      <c r="P9">
        <f>((5.87778615951538/(mmBTU_to_GJ))*($C$9))*($G$9/$F$9)</f>
        <v>7.0648522440009209</v>
      </c>
      <c r="Q9">
        <f>((5.95383930206299/(mmBTU_to_GJ))*($C$9))*($G$9/$F$9)</f>
        <v>7.1562649290168574</v>
      </c>
      <c r="R9">
        <f>((6.10985708236694/(mmBTU_to_GJ))*($C$9))*($G$9/$F$9)</f>
        <v>7.3437917521048339</v>
      </c>
      <c r="S9">
        <f>((6.32948446273804/(mmBTU_to_GJ))*($C$9))*($G$9/$F$9)</f>
        <v>7.6077746444642154</v>
      </c>
      <c r="T9">
        <f>((6.51258134841919/(mmBTU_to_GJ))*($C$9))*($G$9/$F$9)</f>
        <v>7.8278494155716949</v>
      </c>
      <c r="U9">
        <f>((6.70273017883301/(mmBTU_to_GJ))*($C$9))*($G$9/$F$9)</f>
        <v>8.0564003282428658</v>
      </c>
      <c r="V9">
        <f>((6.89887094497681/(mmBTU_to_GJ))*($C$9))*($G$9/$F$9)</f>
        <v>8.2921532961503175</v>
      </c>
      <c r="W9">
        <f>((7.15282821655273/(mmBTU_to_GJ))*($C$9))*($G$9/$F$9)</f>
        <v>8.5973992767426797</v>
      </c>
      <c r="X9">
        <f>((7.46860218048096/(mmBTU_to_GJ))*($C$9))*($G$9/$F$9)</f>
        <v>8.9769463267904062</v>
      </c>
      <c r="Y9">
        <f>((7.67867755889893/(mmBTU_to_GJ))*($C$9))*($G$9/$F$9)</f>
        <v>9.2294481137468605</v>
      </c>
      <c r="Z9">
        <f>((7.75380706787109/(mmBTU_to_GJ))*($C$9))*($G$9/$F$9)</f>
        <v>9.3197506299745712</v>
      </c>
      <c r="AA9">
        <f>((7.55847835540771/(mmBTU_to_GJ))*($C$9))*($G$9/$F$9)</f>
        <v>9.084973716505079</v>
      </c>
      <c r="AB9">
        <f>((7.54617786407471/(mmBTU_to_GJ))*($C$9))*($G$9/$F$9)</f>
        <v>9.0701890422352296</v>
      </c>
      <c r="AC9">
        <f>((7.45927095413208/(mmBTU_to_GJ))*($C$9))*($G$9/$F$9)</f>
        <v>8.9657305843967432</v>
      </c>
      <c r="AD9">
        <f>((7.60022306442261/(mmBTU_to_GJ))*($C$9))*($G$9/$F$9)</f>
        <v>9.1351491045092246</v>
      </c>
      <c r="AE9">
        <f>((7.85960483551025/(mmBTU_to_GJ))*($C$9))*($G$9/$F$9)</f>
        <v>9.4469151058216188</v>
      </c>
      <c r="AF9">
        <f>((8.19417572021484/(mmBTU_to_GJ))*($C$9))*($G$9/$F$9)</f>
        <v>9.8490552656428605</v>
      </c>
      <c r="AG9">
        <f>((8.42161273956299/(mmBTU_to_GJ))*($C$9))*($G$9/$F$9)</f>
        <v>10.122425016243508</v>
      </c>
      <c r="AH9">
        <f>((8.69355010986328/(mmBTU_to_GJ))*($C$9))*($G$9/$F$9)</f>
        <v>10.449282320788951</v>
      </c>
      <c r="AI9">
        <f>($BB9-$AH9)/20+AH9</f>
        <v>10.537990969244774</v>
      </c>
      <c r="AJ9">
        <f t="shared" si="30"/>
        <v>10.626699617700597</v>
      </c>
      <c r="AK9">
        <f t="shared" si="30"/>
        <v>10.71540826615642</v>
      </c>
      <c r="AL9">
        <f t="shared" si="30"/>
        <v>10.804116914612242</v>
      </c>
      <c r="AM9">
        <f t="shared" si="30"/>
        <v>10.892825563068065</v>
      </c>
      <c r="AN9">
        <f t="shared" si="30"/>
        <v>10.981534211523888</v>
      </c>
      <c r="AO9">
        <f t="shared" si="30"/>
        <v>11.070242859979711</v>
      </c>
      <c r="AP9">
        <f t="shared" si="30"/>
        <v>11.158951508435534</v>
      </c>
      <c r="AQ9">
        <f t="shared" si="30"/>
        <v>11.247660156891357</v>
      </c>
      <c r="AR9">
        <f t="shared" si="30"/>
        <v>11.336368805347179</v>
      </c>
      <c r="AS9">
        <f t="shared" si="30"/>
        <v>11.425077453803002</v>
      </c>
      <c r="AT9">
        <f t="shared" si="30"/>
        <v>11.513786102258825</v>
      </c>
      <c r="AU9">
        <f t="shared" si="30"/>
        <v>11.602494750714648</v>
      </c>
      <c r="AV9">
        <f t="shared" si="30"/>
        <v>11.691203399170471</v>
      </c>
      <c r="AW9">
        <f t="shared" si="30"/>
        <v>11.779912047626294</v>
      </c>
      <c r="AX9">
        <f t="shared" si="30"/>
        <v>11.868620696082116</v>
      </c>
      <c r="AY9">
        <f t="shared" si="30"/>
        <v>11.957329344537939</v>
      </c>
      <c r="AZ9">
        <f t="shared" si="31"/>
        <v>12.046037992993762</v>
      </c>
      <c r="BA9">
        <f t="shared" si="31"/>
        <v>12.134746641449585</v>
      </c>
      <c r="BB9" s="991">
        <f>1.16978897829057*AH9</f>
        <v>12.223455289905422</v>
      </c>
      <c r="BC9">
        <f t="shared" si="34"/>
        <v>12.344488928372753</v>
      </c>
      <c r="BD9">
        <f t="shared" si="34"/>
        <v>12.465522566840084</v>
      </c>
      <c r="BE9">
        <f t="shared" si="34"/>
        <v>12.586556205307415</v>
      </c>
      <c r="BF9">
        <f t="shared" si="34"/>
        <v>12.707589843774747</v>
      </c>
      <c r="BG9">
        <f t="shared" si="34"/>
        <v>12.828623482242078</v>
      </c>
      <c r="BH9">
        <f t="shared" si="34"/>
        <v>12.949657120709409</v>
      </c>
      <c r="BI9">
        <f t="shared" si="34"/>
        <v>13.07069075917674</v>
      </c>
      <c r="BJ9">
        <f t="shared" si="34"/>
        <v>13.191724397644071</v>
      </c>
      <c r="BK9">
        <f t="shared" si="34"/>
        <v>13.312758036111402</v>
      </c>
      <c r="BL9">
        <f t="shared" si="34"/>
        <v>13.433791674578734</v>
      </c>
      <c r="BM9">
        <f t="shared" si="34"/>
        <v>13.554825313046065</v>
      </c>
      <c r="BN9">
        <f t="shared" si="34"/>
        <v>13.675858951513396</v>
      </c>
      <c r="BO9">
        <f t="shared" si="34"/>
        <v>13.796892589980727</v>
      </c>
      <c r="BP9">
        <f t="shared" si="34"/>
        <v>13.917926228448058</v>
      </c>
      <c r="BQ9" s="991">
        <f>1.14852629914794*BB9</f>
        <v>14.038959866915382</v>
      </c>
      <c r="BR9">
        <f t="shared" si="35"/>
        <v>14.177970183776685</v>
      </c>
      <c r="BS9">
        <f t="shared" si="35"/>
        <v>14.316980500637987</v>
      </c>
      <c r="BT9">
        <f t="shared" si="35"/>
        <v>14.455990817499289</v>
      </c>
      <c r="BU9">
        <f t="shared" si="35"/>
        <v>14.595001134360592</v>
      </c>
      <c r="BV9" s="994">
        <f>1.04950876638265*BQ9</f>
        <v>14.734011451221894</v>
      </c>
      <c r="BW9" s="1298">
        <f>+BV9*BW$135/BV$135</f>
        <v>14.78293270163439</v>
      </c>
      <c r="BX9" s="1298">
        <f t="shared" ref="BX9:CZ9" si="38">+BW9*BX$135/BW$135</f>
        <v>14.832016384983078</v>
      </c>
      <c r="BY9" s="1298">
        <f t="shared" si="38"/>
        <v>14.881263040593069</v>
      </c>
      <c r="BZ9" s="1298">
        <f t="shared" si="38"/>
        <v>14.93067320958019</v>
      </c>
      <c r="CA9" s="1298">
        <f t="shared" si="38"/>
        <v>14.980247434856935</v>
      </c>
      <c r="CB9" s="1298">
        <f t="shared" si="38"/>
        <v>15.012214207912603</v>
      </c>
      <c r="CC9" s="1298">
        <f t="shared" si="38"/>
        <v>15.044249195768062</v>
      </c>
      <c r="CD9" s="1298">
        <f t="shared" si="38"/>
        <v>15.076352543988799</v>
      </c>
      <c r="CE9" s="1298">
        <f t="shared" si="38"/>
        <v>15.10852439845093</v>
      </c>
      <c r="CF9" s="1298">
        <f t="shared" si="38"/>
        <v>15.140764905341857</v>
      </c>
      <c r="CG9" s="1298">
        <f t="shared" si="38"/>
        <v>15.151233193414877</v>
      </c>
      <c r="CH9" s="1298">
        <f t="shared" si="38"/>
        <v>15.16170871923684</v>
      </c>
      <c r="CI9" s="1298">
        <f t="shared" si="38"/>
        <v>15.172191487811906</v>
      </c>
      <c r="CJ9" s="1298">
        <f t="shared" si="38"/>
        <v>15.182681504147698</v>
      </c>
      <c r="CK9" s="1298">
        <f t="shared" si="38"/>
        <v>15.193178773255301</v>
      </c>
      <c r="CL9" s="1298">
        <f t="shared" si="38"/>
        <v>15.196736881505712</v>
      </c>
      <c r="CM9" s="1298">
        <f t="shared" si="38"/>
        <v>15.200295823033644</v>
      </c>
      <c r="CN9" s="1298">
        <f t="shared" si="38"/>
        <v>15.20385559803424</v>
      </c>
      <c r="CO9" s="1298">
        <f t="shared" si="38"/>
        <v>15.207416206702694</v>
      </c>
      <c r="CP9" s="1298">
        <f t="shared" si="38"/>
        <v>15.210977649234243</v>
      </c>
      <c r="CQ9" s="1298">
        <f t="shared" si="38"/>
        <v>15.216375357332034</v>
      </c>
      <c r="CR9" s="1298">
        <f t="shared" si="38"/>
        <v>15.221774980839431</v>
      </c>
      <c r="CS9" s="1298">
        <f t="shared" si="38"/>
        <v>15.22717652043613</v>
      </c>
      <c r="CT9" s="1298">
        <f t="shared" si="38"/>
        <v>15.232579976802066</v>
      </c>
      <c r="CU9" s="1298">
        <f t="shared" si="38"/>
        <v>15.237985350617416</v>
      </c>
      <c r="CV9" s="1298">
        <f t="shared" si="38"/>
        <v>15.246304243804076</v>
      </c>
      <c r="CW9" s="1298">
        <f t="shared" si="38"/>
        <v>15.254627678534927</v>
      </c>
      <c r="CX9" s="1298">
        <f t="shared" si="38"/>
        <v>15.262955657289339</v>
      </c>
      <c r="CY9" s="1298">
        <f t="shared" si="38"/>
        <v>15.271288182548037</v>
      </c>
      <c r="CZ9" s="1298">
        <f t="shared" si="38"/>
        <v>15.279625256793102</v>
      </c>
    </row>
    <row r="10" spans="1:104">
      <c r="A10" s="812" t="str">
        <f>'HyARC Physical Property Data'!A74</f>
        <v>Electric Utility Natural Gas</v>
      </c>
      <c r="B10">
        <v>2007</v>
      </c>
      <c r="C10" s="811">
        <f t="shared" si="37"/>
        <v>1.1446359956438654</v>
      </c>
      <c r="D10" s="1171" t="str">
        <f>'HyARC Physical Property Data'!H74</f>
        <v>mmBtu</v>
      </c>
      <c r="E10" s="811" t="s">
        <v>1054</v>
      </c>
      <c r="F10">
        <f>'HyARC Physical Property Data'!$E$6</f>
        <v>47.141269049911173</v>
      </c>
      <c r="G10">
        <f>'HyARC Physical Property Data'!$I$6</f>
        <v>52.224661236371581</v>
      </c>
      <c r="H10">
        <f>((7.05463790893555/(mmBTU_to_GJ))*($C$10))*($G$10/$F$10)</f>
        <v>8.4793786485193543</v>
      </c>
      <c r="I10">
        <f>((7.05463790893555/(mmBTU_to_GJ))*($C$10))*($G$10/$F$10)</f>
        <v>8.4793786485193543</v>
      </c>
      <c r="J10">
        <f>((7.05463790893555/(mmBTU_to_GJ))*($C$10))*($G$10/$F$10)</f>
        <v>8.4793786485193543</v>
      </c>
      <c r="K10">
        <f>((7.01915979385375/(mmBTU_to_GJ))*($C$10))*($G$10/$F$10)</f>
        <v>8.4367354433828741</v>
      </c>
      <c r="L10">
        <f>((8.87161254882813/(mmBTU_to_GJ))*($C$10))*($G$10/$F$10)</f>
        <v>10.663305898264051</v>
      </c>
      <c r="M10">
        <f>((4.55562210083008/(mmBTU_to_GJ))*($C$10))*($G$10/$F$10)</f>
        <v>5.4756665432216405</v>
      </c>
      <c r="N10">
        <f>((5.12931346893311/(mmBTU_to_GJ))*($C$10))*($G$10/$F$10)</f>
        <v>6.1652194870192449</v>
      </c>
      <c r="O10">
        <f>((5.45354604721069/(mmBTU_to_GJ))*($C$10))*($G$10/$F$10)</f>
        <v>6.5549334364650393</v>
      </c>
      <c r="P10">
        <f>((5.51876354217529/(mmBTU_to_GJ))*($C$10))*($G$10/$F$10)</f>
        <v>6.6333221279118835</v>
      </c>
      <c r="Q10">
        <f>((5.53977298736572/(mmBTU_to_GJ))*($C$10))*($G$10/$F$10)</f>
        <v>6.6585745991605227</v>
      </c>
      <c r="R10">
        <f>((5.68350362777709/(mmBTU_to_GJ))*($C$10))*($G$10/$F$10)</f>
        <v>6.8313327958496117</v>
      </c>
      <c r="S10">
        <f>((5.8920464515686/(mmBTU_to_GJ))*($C$10))*($G$10/$F$10)</f>
        <v>7.0819925164739512</v>
      </c>
      <c r="T10">
        <f>((6.08193254470825/(mmBTU_to_GJ))*($C$10))*($G$10/$F$10)</f>
        <v>7.3102276299699529</v>
      </c>
      <c r="U10">
        <f>((6.26939964294434/(mmBTU_to_GJ))*($C$10))*($G$10/$F$10)</f>
        <v>7.5355552131290491</v>
      </c>
      <c r="V10">
        <f>((6.47751331329346/(mmBTU_to_GJ))*($C$10))*($G$10/$F$10)</f>
        <v>7.785699109329328</v>
      </c>
      <c r="W10">
        <f>((6.73541975021362/(mmBTU_to_GJ))*($C$10))*($G$10/$F$10)</f>
        <v>8.0956918208994786</v>
      </c>
      <c r="X10">
        <f>((7.02784395217896/(mmBTU_to_GJ))*($C$10))*($G$10/$F$10)</f>
        <v>8.4471734371727294</v>
      </c>
      <c r="Y10">
        <f>((7.25390911102295/(mmBTU_to_GJ))*($C$10))*($G$10/$F$10)</f>
        <v>8.7188942690311428</v>
      </c>
      <c r="Z10">
        <f>((7.3283839225769/(mmBTU_to_GJ))*($C$10))*($G$10/$F$10)</f>
        <v>8.8084098664430517</v>
      </c>
      <c r="AA10">
        <f>((7.15062761306763/(mmBTU_to_GJ))*($C$10))*($G$10/$F$10)</f>
        <v>8.5947542437237932</v>
      </c>
      <c r="AB10">
        <f>((7.19241189956665/(mmBTU_to_GJ))*($C$10))*($G$10/$F$10)</f>
        <v>8.6449772022025897</v>
      </c>
      <c r="AC10">
        <f>((7.13988399505615/(mmBTU_to_GJ))*($C$10))*($G$10/$F$10)</f>
        <v>8.5818408658367442</v>
      </c>
      <c r="AD10">
        <f>((7.28062534332275/(mmBTU_to_GJ))*($C$10))*($G$10/$F$10)</f>
        <v>8.7510060588431848</v>
      </c>
      <c r="AE10">
        <f>((7.5354790687561/(mmBTU_to_GJ))*($C$10))*($G$10/$F$10)</f>
        <v>9.0573295393435789</v>
      </c>
      <c r="AF10">
        <f>((7.86007928848267/(mmBTU_to_GJ))*($C$10))*($G$10/$F$10)</f>
        <v>9.44748537837933</v>
      </c>
      <c r="AG10">
        <f>((8.07421207427979/(mmBTU_to_GJ))*($C$10))*($G$10/$F$10)</f>
        <v>9.7048639986960801</v>
      </c>
      <c r="AH10">
        <f>((8.33951759338379/(mmBTU_to_GJ))*($C$10))*($G$10/$F$10)</f>
        <v>10.023750096475156</v>
      </c>
      <c r="AI10">
        <f>($BB10-$AH10)/20+AH10</f>
        <v>10.108846210851182</v>
      </c>
      <c r="AJ10">
        <f t="shared" si="30"/>
        <v>10.193942325227207</v>
      </c>
      <c r="AK10">
        <f t="shared" si="30"/>
        <v>10.279038439603232</v>
      </c>
      <c r="AL10">
        <f t="shared" si="30"/>
        <v>10.364134553979257</v>
      </c>
      <c r="AM10">
        <f t="shared" si="30"/>
        <v>10.449230668355282</v>
      </c>
      <c r="AN10">
        <f t="shared" si="30"/>
        <v>10.534326782731307</v>
      </c>
      <c r="AO10">
        <f t="shared" si="30"/>
        <v>10.619422897107333</v>
      </c>
      <c r="AP10">
        <f t="shared" si="30"/>
        <v>10.704519011483358</v>
      </c>
      <c r="AQ10">
        <f t="shared" si="30"/>
        <v>10.789615125859383</v>
      </c>
      <c r="AR10">
        <f t="shared" si="30"/>
        <v>10.874711240235408</v>
      </c>
      <c r="AS10">
        <f t="shared" si="30"/>
        <v>10.959807354611433</v>
      </c>
      <c r="AT10">
        <f t="shared" si="30"/>
        <v>11.044903468987458</v>
      </c>
      <c r="AU10">
        <f t="shared" si="30"/>
        <v>11.129999583363483</v>
      </c>
      <c r="AV10">
        <f t="shared" si="30"/>
        <v>11.215095697739509</v>
      </c>
      <c r="AW10">
        <f t="shared" si="30"/>
        <v>11.300191812115534</v>
      </c>
      <c r="AX10">
        <f t="shared" si="30"/>
        <v>11.385287926491559</v>
      </c>
      <c r="AY10">
        <f t="shared" si="30"/>
        <v>11.470384040867584</v>
      </c>
      <c r="AZ10">
        <f t="shared" si="31"/>
        <v>11.555480155243609</v>
      </c>
      <c r="BA10">
        <f t="shared" si="31"/>
        <v>11.640576269619634</v>
      </c>
      <c r="BB10" s="991">
        <f>1.16978897829057*AH10</f>
        <v>11.725672383995676</v>
      </c>
      <c r="BC10">
        <f t="shared" si="34"/>
        <v>11.841777098943414</v>
      </c>
      <c r="BD10">
        <f t="shared" si="34"/>
        <v>11.957881813891152</v>
      </c>
      <c r="BE10">
        <f t="shared" si="34"/>
        <v>12.073986528838891</v>
      </c>
      <c r="BF10">
        <f t="shared" si="34"/>
        <v>12.190091243786629</v>
      </c>
      <c r="BG10">
        <f t="shared" si="34"/>
        <v>12.306195958734367</v>
      </c>
      <c r="BH10">
        <f t="shared" si="34"/>
        <v>12.422300673682106</v>
      </c>
      <c r="BI10">
        <f t="shared" si="34"/>
        <v>12.538405388629844</v>
      </c>
      <c r="BJ10">
        <f t="shared" si="34"/>
        <v>12.654510103577582</v>
      </c>
      <c r="BK10">
        <f t="shared" si="34"/>
        <v>12.770614818525321</v>
      </c>
      <c r="BL10">
        <f t="shared" si="34"/>
        <v>12.886719533473059</v>
      </c>
      <c r="BM10">
        <f t="shared" si="34"/>
        <v>13.002824248420797</v>
      </c>
      <c r="BN10">
        <f t="shared" si="34"/>
        <v>13.118928963368536</v>
      </c>
      <c r="BO10">
        <f t="shared" si="34"/>
        <v>13.235033678316274</v>
      </c>
      <c r="BP10">
        <f t="shared" si="34"/>
        <v>13.351138393264012</v>
      </c>
      <c r="BQ10" s="991">
        <f>1.14852629914794*BB10</f>
        <v>13.467243108211756</v>
      </c>
      <c r="BR10">
        <f t="shared" si="35"/>
        <v>13.600592426784317</v>
      </c>
      <c r="BS10">
        <f t="shared" si="35"/>
        <v>13.733941745356878</v>
      </c>
      <c r="BT10">
        <f t="shared" si="35"/>
        <v>13.867291063929439</v>
      </c>
      <c r="BU10">
        <f t="shared" si="35"/>
        <v>14.000640382502</v>
      </c>
      <c r="BV10" s="994">
        <f>1.04950876638265*BQ10</f>
        <v>14.133989701074563</v>
      </c>
      <c r="BW10" s="1298">
        <f>+BV10*BW$136/BV$136</f>
        <v>14.180918702845942</v>
      </c>
      <c r="BX10" s="1298">
        <f t="shared" ref="BX10:CZ10" si="39">+BW10*BX$136/BW$136</f>
        <v>14.22800352270222</v>
      </c>
      <c r="BY10" s="1298">
        <f t="shared" si="39"/>
        <v>14.275244678005262</v>
      </c>
      <c r="BZ10" s="1298">
        <f t="shared" si="39"/>
        <v>14.322642687834716</v>
      </c>
      <c r="CA10" s="1298">
        <f t="shared" si="39"/>
        <v>14.370198072993734</v>
      </c>
      <c r="CB10" s="1298">
        <f t="shared" si="39"/>
        <v>14.400863044487831</v>
      </c>
      <c r="CC10" s="1298">
        <f t="shared" si="39"/>
        <v>14.431593452830604</v>
      </c>
      <c r="CD10" s="1298">
        <f t="shared" si="39"/>
        <v>14.46238943765959</v>
      </c>
      <c r="CE10" s="1298">
        <f t="shared" si="39"/>
        <v>14.493251138910308</v>
      </c>
      <c r="CF10" s="1298">
        <f t="shared" si="39"/>
        <v>14.524178696816882</v>
      </c>
      <c r="CG10" s="1298">
        <f t="shared" si="39"/>
        <v>14.534220678683244</v>
      </c>
      <c r="CH10" s="1298">
        <f t="shared" si="39"/>
        <v>14.54426960355147</v>
      </c>
      <c r="CI10" s="1298">
        <f t="shared" si="39"/>
        <v>14.554325476221939</v>
      </c>
      <c r="CJ10" s="1298">
        <f t="shared" si="39"/>
        <v>14.564388301498344</v>
      </c>
      <c r="CK10" s="1298">
        <f t="shared" si="39"/>
        <v>14.574458084187699</v>
      </c>
      <c r="CL10" s="1298">
        <f t="shared" si="39"/>
        <v>14.577871293518578</v>
      </c>
      <c r="CM10" s="1298">
        <f t="shared" si="39"/>
        <v>14.581285302192933</v>
      </c>
      <c r="CN10" s="1298">
        <f t="shared" si="39"/>
        <v>14.584700110397959</v>
      </c>
      <c r="CO10" s="1298">
        <f t="shared" si="39"/>
        <v>14.5881157183209</v>
      </c>
      <c r="CP10" s="1298">
        <f t="shared" si="39"/>
        <v>14.591532126149042</v>
      </c>
      <c r="CQ10" s="1298">
        <f t="shared" si="39"/>
        <v>14.596710020228747</v>
      </c>
      <c r="CR10" s="1298">
        <f t="shared" si="39"/>
        <v>14.601889751715715</v>
      </c>
      <c r="CS10" s="1298">
        <f t="shared" si="39"/>
        <v>14.607071321261961</v>
      </c>
      <c r="CT10" s="1298">
        <f t="shared" si="39"/>
        <v>14.61225472951973</v>
      </c>
      <c r="CU10" s="1298">
        <f t="shared" si="39"/>
        <v>14.617439977141501</v>
      </c>
      <c r="CV10" s="1298">
        <f t="shared" si="39"/>
        <v>14.625420095184293</v>
      </c>
      <c r="CW10" s="1298">
        <f t="shared" si="39"/>
        <v>14.633404569823321</v>
      </c>
      <c r="CX10" s="1298">
        <f t="shared" si="39"/>
        <v>14.641393403436986</v>
      </c>
      <c r="CY10" s="1298">
        <f t="shared" si="39"/>
        <v>14.649386598404989</v>
      </c>
      <c r="CZ10" s="1298">
        <f t="shared" si="39"/>
        <v>14.65738415710833</v>
      </c>
    </row>
    <row r="11" spans="1:104">
      <c r="A11" s="812" t="str">
        <f>'HyARC Physical Property Data'!A75</f>
        <v>Bio Methane</v>
      </c>
      <c r="B11">
        <v>2007</v>
      </c>
      <c r="C11" s="811">
        <f t="shared" si="37"/>
        <v>1.1446359956438654</v>
      </c>
      <c r="D11" s="1171" t="str">
        <f>'HyARC Physical Property Data'!H75</f>
        <v>mmBtu</v>
      </c>
      <c r="E11" s="811" t="s">
        <v>1054</v>
      </c>
      <c r="F11">
        <f>'HyARC Physical Property Data'!$E$6</f>
        <v>47.141269049911173</v>
      </c>
      <c r="G11">
        <f>'HyARC Physical Property Data'!$I$6</f>
        <v>52.224661236371581</v>
      </c>
      <c r="H11">
        <f t="shared" ref="H11:AM11" si="40">13.11*($C$11/mmBTU_to_GJ)</f>
        <v>14.223865310797228</v>
      </c>
      <c r="I11">
        <f t="shared" si="40"/>
        <v>14.223865310797228</v>
      </c>
      <c r="J11">
        <f t="shared" si="40"/>
        <v>14.223865310797228</v>
      </c>
      <c r="K11">
        <f t="shared" si="40"/>
        <v>14.223865310797228</v>
      </c>
      <c r="L11">
        <f t="shared" si="40"/>
        <v>14.223865310797228</v>
      </c>
      <c r="M11">
        <f t="shared" si="40"/>
        <v>14.223865310797228</v>
      </c>
      <c r="N11">
        <f t="shared" si="40"/>
        <v>14.223865310797228</v>
      </c>
      <c r="O11">
        <f t="shared" si="40"/>
        <v>14.223865310797228</v>
      </c>
      <c r="P11">
        <f t="shared" si="40"/>
        <v>14.223865310797228</v>
      </c>
      <c r="Q11">
        <f t="shared" si="40"/>
        <v>14.223865310797228</v>
      </c>
      <c r="R11">
        <f t="shared" si="40"/>
        <v>14.223865310797228</v>
      </c>
      <c r="S11">
        <f t="shared" si="40"/>
        <v>14.223865310797228</v>
      </c>
      <c r="T11">
        <f t="shared" si="40"/>
        <v>14.223865310797228</v>
      </c>
      <c r="U11">
        <f t="shared" si="40"/>
        <v>14.223865310797228</v>
      </c>
      <c r="V11">
        <f t="shared" si="40"/>
        <v>14.223865310797228</v>
      </c>
      <c r="W11">
        <f t="shared" si="40"/>
        <v>14.223865310797228</v>
      </c>
      <c r="X11">
        <f t="shared" si="40"/>
        <v>14.223865310797228</v>
      </c>
      <c r="Y11">
        <f t="shared" si="40"/>
        <v>14.223865310797228</v>
      </c>
      <c r="Z11">
        <f t="shared" si="40"/>
        <v>14.223865310797228</v>
      </c>
      <c r="AA11">
        <f t="shared" si="40"/>
        <v>14.223865310797228</v>
      </c>
      <c r="AB11">
        <f t="shared" si="40"/>
        <v>14.223865310797228</v>
      </c>
      <c r="AC11">
        <f t="shared" si="40"/>
        <v>14.223865310797228</v>
      </c>
      <c r="AD11">
        <f t="shared" si="40"/>
        <v>14.223865310797228</v>
      </c>
      <c r="AE11">
        <f t="shared" si="40"/>
        <v>14.223865310797228</v>
      </c>
      <c r="AF11">
        <f t="shared" si="40"/>
        <v>14.223865310797228</v>
      </c>
      <c r="AG11">
        <f t="shared" si="40"/>
        <v>14.223865310797228</v>
      </c>
      <c r="AH11">
        <f t="shared" si="40"/>
        <v>14.223865310797228</v>
      </c>
      <c r="AI11">
        <f t="shared" si="40"/>
        <v>14.223865310797228</v>
      </c>
      <c r="AJ11">
        <f t="shared" si="40"/>
        <v>14.223865310797228</v>
      </c>
      <c r="AK11">
        <f t="shared" si="40"/>
        <v>14.223865310797228</v>
      </c>
      <c r="AL11">
        <f t="shared" si="40"/>
        <v>14.223865310797228</v>
      </c>
      <c r="AM11">
        <f t="shared" si="40"/>
        <v>14.223865310797228</v>
      </c>
      <c r="AN11">
        <f t="shared" ref="AN11:BV11" si="41">13.11*($C$11/mmBTU_to_GJ)</f>
        <v>14.223865310797228</v>
      </c>
      <c r="AO11">
        <f t="shared" si="41"/>
        <v>14.223865310797228</v>
      </c>
      <c r="AP11">
        <f t="shared" si="41"/>
        <v>14.223865310797228</v>
      </c>
      <c r="AQ11">
        <f t="shared" si="41"/>
        <v>14.223865310797228</v>
      </c>
      <c r="AR11">
        <f t="shared" si="41"/>
        <v>14.223865310797228</v>
      </c>
      <c r="AS11">
        <f t="shared" si="41"/>
        <v>14.223865310797228</v>
      </c>
      <c r="AT11">
        <f t="shared" si="41"/>
        <v>14.223865310797228</v>
      </c>
      <c r="AU11">
        <f t="shared" si="41"/>
        <v>14.223865310797228</v>
      </c>
      <c r="AV11">
        <f t="shared" si="41"/>
        <v>14.223865310797228</v>
      </c>
      <c r="AW11">
        <f t="shared" si="41"/>
        <v>14.223865310797228</v>
      </c>
      <c r="AX11">
        <f t="shared" si="41"/>
        <v>14.223865310797228</v>
      </c>
      <c r="AY11">
        <f t="shared" si="41"/>
        <v>14.223865310797228</v>
      </c>
      <c r="AZ11">
        <f t="shared" si="41"/>
        <v>14.223865310797228</v>
      </c>
      <c r="BA11">
        <f t="shared" si="41"/>
        <v>14.223865310797228</v>
      </c>
      <c r="BB11">
        <f t="shared" si="41"/>
        <v>14.223865310797228</v>
      </c>
      <c r="BC11">
        <f t="shared" si="41"/>
        <v>14.223865310797228</v>
      </c>
      <c r="BD11">
        <f t="shared" si="41"/>
        <v>14.223865310797228</v>
      </c>
      <c r="BE11">
        <f t="shared" si="41"/>
        <v>14.223865310797228</v>
      </c>
      <c r="BF11">
        <f t="shared" si="41"/>
        <v>14.223865310797228</v>
      </c>
      <c r="BG11">
        <f t="shared" si="41"/>
        <v>14.223865310797228</v>
      </c>
      <c r="BH11">
        <f t="shared" si="41"/>
        <v>14.223865310797228</v>
      </c>
      <c r="BI11">
        <f t="shared" si="41"/>
        <v>14.223865310797228</v>
      </c>
      <c r="BJ11">
        <f t="shared" si="41"/>
        <v>14.223865310797228</v>
      </c>
      <c r="BK11">
        <f t="shared" si="41"/>
        <v>14.223865310797228</v>
      </c>
      <c r="BL11">
        <f t="shared" si="41"/>
        <v>14.223865310797228</v>
      </c>
      <c r="BM11">
        <f t="shared" si="41"/>
        <v>14.223865310797228</v>
      </c>
      <c r="BN11">
        <f t="shared" si="41"/>
        <v>14.223865310797228</v>
      </c>
      <c r="BO11">
        <f t="shared" si="41"/>
        <v>14.223865310797228</v>
      </c>
      <c r="BP11">
        <f t="shared" si="41"/>
        <v>14.223865310797228</v>
      </c>
      <c r="BQ11">
        <f t="shared" si="41"/>
        <v>14.223865310797228</v>
      </c>
      <c r="BR11">
        <f t="shared" si="41"/>
        <v>14.223865310797228</v>
      </c>
      <c r="BS11">
        <f t="shared" si="41"/>
        <v>14.223865310797228</v>
      </c>
      <c r="BT11">
        <f t="shared" si="41"/>
        <v>14.223865310797228</v>
      </c>
      <c r="BU11">
        <f t="shared" si="41"/>
        <v>14.223865310797228</v>
      </c>
      <c r="BV11">
        <f t="shared" si="41"/>
        <v>14.223865310797228</v>
      </c>
      <c r="BW11" s="1298">
        <f>+BV11*BW$136/BV$136</f>
        <v>14.271092726019944</v>
      </c>
      <c r="BX11" s="1298">
        <f t="shared" ref="BX11:CZ11" si="42">+BW11*BX$136/BW$136</f>
        <v>14.318476950147966</v>
      </c>
      <c r="BY11" s="1298">
        <f t="shared" si="42"/>
        <v>14.366018503832969</v>
      </c>
      <c r="BZ11" s="1298">
        <f t="shared" si="42"/>
        <v>14.413717909455341</v>
      </c>
      <c r="CA11" s="1298">
        <f t="shared" si="42"/>
        <v>14.461575691129934</v>
      </c>
      <c r="CB11" s="1298">
        <f t="shared" si="42"/>
        <v>14.49243565590395</v>
      </c>
      <c r="CC11" s="1298">
        <f t="shared" si="42"/>
        <v>14.523361473628309</v>
      </c>
      <c r="CD11" s="1298">
        <f t="shared" si="42"/>
        <v>14.554353284828478</v>
      </c>
      <c r="CE11" s="1298">
        <f t="shared" si="42"/>
        <v>14.585411230329802</v>
      </c>
      <c r="CF11" s="1298">
        <f t="shared" si="42"/>
        <v>14.616535451258134</v>
      </c>
      <c r="CG11" s="1298">
        <f t="shared" si="42"/>
        <v>14.626641288360148</v>
      </c>
      <c r="CH11" s="1298">
        <f t="shared" si="42"/>
        <v>14.636754112613382</v>
      </c>
      <c r="CI11" s="1298">
        <f t="shared" si="42"/>
        <v>14.646873928848736</v>
      </c>
      <c r="CJ11" s="1298">
        <f t="shared" si="42"/>
        <v>14.657000741900452</v>
      </c>
      <c r="CK11" s="1298">
        <f t="shared" si="42"/>
        <v>14.667134556606111</v>
      </c>
      <c r="CL11" s="1298">
        <f t="shared" si="42"/>
        <v>14.670569469948116</v>
      </c>
      <c r="CM11" s="1298">
        <f t="shared" si="42"/>
        <v>14.674005187716483</v>
      </c>
      <c r="CN11" s="1298">
        <f t="shared" si="42"/>
        <v>14.6774417100996</v>
      </c>
      <c r="CO11" s="1298">
        <f t="shared" si="42"/>
        <v>14.6808790372859</v>
      </c>
      <c r="CP11" s="1298">
        <f t="shared" si="42"/>
        <v>14.684317169463862</v>
      </c>
      <c r="CQ11" s="1298">
        <f t="shared" si="42"/>
        <v>14.689527988881515</v>
      </c>
      <c r="CR11" s="1298">
        <f t="shared" si="42"/>
        <v>14.69474065739019</v>
      </c>
      <c r="CS11" s="1298">
        <f t="shared" si="42"/>
        <v>14.699955175646044</v>
      </c>
      <c r="CT11" s="1298">
        <f t="shared" si="42"/>
        <v>14.705171544305472</v>
      </c>
      <c r="CU11" s="1298">
        <f t="shared" si="42"/>
        <v>14.710389764025104</v>
      </c>
      <c r="CV11" s="1298">
        <f t="shared" si="42"/>
        <v>14.718420626266095</v>
      </c>
      <c r="CW11" s="1298">
        <f t="shared" si="42"/>
        <v>14.726455872806168</v>
      </c>
      <c r="CX11" s="1298">
        <f t="shared" si="42"/>
        <v>14.734495506038849</v>
      </c>
      <c r="CY11" s="1298">
        <f t="shared" si="42"/>
        <v>14.74253952835897</v>
      </c>
      <c r="CZ11" s="1298">
        <f t="shared" si="42"/>
        <v>14.750587942162673</v>
      </c>
    </row>
    <row r="12" spans="1:104">
      <c r="A12" s="890" t="str">
        <f>'HyARC Physical Property Data'!A85</f>
        <v>Woody Biomass</v>
      </c>
      <c r="B12">
        <v>2005</v>
      </c>
      <c r="C12" s="811">
        <f>VLOOKUP(ref_year,DeflatorTable,2,FALSE)/VLOOKUP(B12,DeflatorTable,2,FALSE)</f>
        <v>1.2112501494873942</v>
      </c>
      <c r="D12" s="1171" t="str">
        <f>+'HyARC Physical Property Data'!$H$85</f>
        <v>kg</v>
      </c>
      <c r="E12" s="834" t="s">
        <v>1048</v>
      </c>
      <c r="F12">
        <f>'HyARC Physical Property Data'!$E$45</f>
        <v>19.551069237418005</v>
      </c>
      <c r="G12">
        <f>'HyARC Physical Property Data'!$I$45</f>
        <v>20.588656379262464</v>
      </c>
      <c r="H12" s="891">
        <f t="shared" ref="H12:O12" si="43">1.27*($C$12)</f>
        <v>1.5382876898489906</v>
      </c>
      <c r="I12" s="891">
        <f t="shared" si="43"/>
        <v>1.5382876898489906</v>
      </c>
      <c r="J12" s="891">
        <f t="shared" si="43"/>
        <v>1.5382876898489906</v>
      </c>
      <c r="K12" s="891">
        <f t="shared" si="43"/>
        <v>1.5382876898489906</v>
      </c>
      <c r="L12" s="891">
        <f t="shared" si="43"/>
        <v>1.5382876898489906</v>
      </c>
      <c r="M12" s="891">
        <f t="shared" si="43"/>
        <v>1.5382876898489906</v>
      </c>
      <c r="N12" s="891">
        <f t="shared" si="43"/>
        <v>1.5382876898489906</v>
      </c>
      <c r="O12" s="891">
        <f t="shared" si="43"/>
        <v>1.5382876898489906</v>
      </c>
      <c r="P12" s="891">
        <f>1.28*($C$12)</f>
        <v>1.5504001913438645</v>
      </c>
      <c r="Q12" s="891">
        <f>1.32*($C$12)</f>
        <v>1.5988501973233604</v>
      </c>
      <c r="R12" s="891">
        <f>1.32*($C$12)</f>
        <v>1.5988501973233604</v>
      </c>
      <c r="S12" s="891">
        <f>1.34*($C$12)</f>
        <v>1.6230752003131084</v>
      </c>
      <c r="T12" s="891">
        <f>1.34*($C$12)</f>
        <v>1.6230752003131084</v>
      </c>
      <c r="U12" s="891">
        <f>1.36*($C$12)</f>
        <v>1.6473002033028561</v>
      </c>
      <c r="V12" s="891">
        <f>1.36*($C$12)</f>
        <v>1.6473002033028561</v>
      </c>
      <c r="W12" s="891">
        <f>1.38*($C$12)</f>
        <v>1.6715252062926038</v>
      </c>
      <c r="X12" s="891">
        <f>1.4*($C$12)</f>
        <v>1.6957502092823518</v>
      </c>
      <c r="Y12" s="891">
        <f>1.46*($C$12)</f>
        <v>1.7684252182515954</v>
      </c>
      <c r="Z12" s="891">
        <f>1.48*($C$12)</f>
        <v>1.7926502212413433</v>
      </c>
      <c r="AA12" s="891">
        <f>1.48*($C$12)</f>
        <v>1.7926502212413433</v>
      </c>
      <c r="AB12" s="891">
        <f>1.51*($C$12)</f>
        <v>1.8289877257259652</v>
      </c>
      <c r="AC12" s="891">
        <f>1.52*($C$12)</f>
        <v>1.8411002272208392</v>
      </c>
      <c r="AD12" s="891">
        <f>1.62*($C$12)</f>
        <v>1.9622252421695787</v>
      </c>
      <c r="AE12" s="891">
        <f>1.72*($C$12)</f>
        <v>2.083350257118318</v>
      </c>
      <c r="AF12" s="891">
        <f>1.82*($C$12)</f>
        <v>2.2044752720670573</v>
      </c>
      <c r="AG12" s="891">
        <f>1.91*($C$12)</f>
        <v>2.3134877855209228</v>
      </c>
      <c r="AH12" s="891">
        <f>2.01*($C$12)</f>
        <v>2.4346128004696621</v>
      </c>
      <c r="AI12" s="891">
        <f>2.11*($C$12)</f>
        <v>2.5557378154184014</v>
      </c>
      <c r="AJ12" s="891">
        <f>2.2*($C$12)</f>
        <v>2.6647503288722674</v>
      </c>
      <c r="AK12" s="891">
        <f>2.3*($C$12)</f>
        <v>2.7858753438210062</v>
      </c>
      <c r="AL12" s="891">
        <f>2.4*($C$12)</f>
        <v>2.9070003587697459</v>
      </c>
      <c r="AM12" s="891">
        <f>2.5*($C$12)</f>
        <v>3.0281253737184857</v>
      </c>
      <c r="AN12" s="891">
        <f>2.57*($C$12)</f>
        <v>3.1129128841826028</v>
      </c>
      <c r="AO12" s="891">
        <f>2.64*($C$12)</f>
        <v>3.1977003946467208</v>
      </c>
      <c r="AP12" s="891">
        <f>2.71*($C$12)</f>
        <v>3.282487905110838</v>
      </c>
      <c r="AQ12" s="891">
        <f>2.78*($C$12)</f>
        <v>3.3672754155749556</v>
      </c>
      <c r="AR12" s="891">
        <f>2.85*($C$12)</f>
        <v>3.4520629260390736</v>
      </c>
      <c r="AS12" s="891">
        <f>2.92*($C$12)</f>
        <v>3.5368504365031908</v>
      </c>
      <c r="AT12" s="891">
        <f>2.99*($C$12)</f>
        <v>3.6216379469673088</v>
      </c>
      <c r="AU12" s="891">
        <f>3.07*($C$12)</f>
        <v>3.7185379589263001</v>
      </c>
      <c r="AV12" s="891">
        <f>3.14*($C$12)</f>
        <v>3.8033254693904177</v>
      </c>
      <c r="AW12" s="891">
        <f>3.21*($C$12)</f>
        <v>3.8881129798545353</v>
      </c>
      <c r="AX12" s="891">
        <f>3.28*($C$12)</f>
        <v>3.9729004903186529</v>
      </c>
      <c r="AY12" s="891">
        <f>3.35*($C$12)</f>
        <v>4.0576880007827709</v>
      </c>
      <c r="AZ12" s="891">
        <f>3.42*($C$12)</f>
        <v>4.1424755112468876</v>
      </c>
      <c r="BA12" s="891">
        <f>3.49*($C$12)</f>
        <v>4.2272630217110061</v>
      </c>
      <c r="BB12" s="891">
        <f>3.56*($C$12)</f>
        <v>4.3120505321751237</v>
      </c>
      <c r="BC12" s="891">
        <f>3.64*($C$12)</f>
        <v>4.4089505441341146</v>
      </c>
      <c r="BD12" s="891">
        <f>3.71*($C$12)</f>
        <v>4.4937380545982322</v>
      </c>
      <c r="BE12" s="891">
        <f>3.78*($C$12)</f>
        <v>4.5785255650623498</v>
      </c>
      <c r="BF12" s="891">
        <f>3.85*($C$12)</f>
        <v>4.6633130755264673</v>
      </c>
      <c r="BG12" s="891">
        <f>3.92*($C$12)</f>
        <v>4.7481005859905849</v>
      </c>
      <c r="BH12" s="891">
        <f>3.99*($C$12)</f>
        <v>4.8328880964547034</v>
      </c>
      <c r="BI12" s="891">
        <f>4.06*($C$12)</f>
        <v>4.9176756069188201</v>
      </c>
      <c r="BJ12" s="891">
        <f>4.14*($C$12)</f>
        <v>5.0145756188778119</v>
      </c>
      <c r="BK12" s="891">
        <f>4.21*($C$12)</f>
        <v>5.0993631293419295</v>
      </c>
      <c r="BL12" s="891">
        <f>4.28*($C$12)</f>
        <v>5.1841506398060471</v>
      </c>
      <c r="BM12" s="891">
        <f>4.35*($C$12)</f>
        <v>5.2689381502701647</v>
      </c>
      <c r="BN12" s="891">
        <f>4.42*($C$12)</f>
        <v>5.3537256607342822</v>
      </c>
      <c r="BO12" s="891">
        <f>4.49*($C$12)</f>
        <v>5.4385131711983998</v>
      </c>
      <c r="BP12" s="891">
        <f>4.56*($C$12)</f>
        <v>5.5233006816625174</v>
      </c>
      <c r="BQ12" s="891">
        <f>4.63*($C$12)</f>
        <v>5.608088192126635</v>
      </c>
      <c r="BR12" s="891">
        <f>4.71*($C$12)</f>
        <v>5.7049882040856268</v>
      </c>
      <c r="BS12" s="891">
        <f>4.78*($C$12)</f>
        <v>5.7897757145497444</v>
      </c>
      <c r="BT12" s="891">
        <f>4.85*($C$12)</f>
        <v>5.8745632250138611</v>
      </c>
      <c r="BU12" s="891">
        <f>4.92*($C$12)</f>
        <v>5.9593507354779796</v>
      </c>
      <c r="BV12" s="892">
        <f>4.99*($C$12)</f>
        <v>6.0441382459420971</v>
      </c>
      <c r="BW12" s="1298">
        <f>+BV12*BW$137/BV$137</f>
        <v>6.0586659764672328</v>
      </c>
      <c r="BX12" s="1298">
        <f t="shared" ref="BX12:CZ12" si="44">+BW12*BX$137/BW$137</f>
        <v>6.0732286259412112</v>
      </c>
      <c r="BY12" s="1298">
        <f t="shared" si="44"/>
        <v>6.0878262782954495</v>
      </c>
      <c r="BZ12" s="1298">
        <f t="shared" si="44"/>
        <v>6.1024590176630999</v>
      </c>
      <c r="CA12" s="1298">
        <f t="shared" si="44"/>
        <v>6.1171269283795393</v>
      </c>
      <c r="CB12" s="1298">
        <f t="shared" si="44"/>
        <v>6.1299667153690152</v>
      </c>
      <c r="CC12" s="1298">
        <f t="shared" si="44"/>
        <v>6.1428334529403346</v>
      </c>
      <c r="CD12" s="1298">
        <f t="shared" si="44"/>
        <v>6.155727197662495</v>
      </c>
      <c r="CE12" s="1298">
        <f t="shared" si="44"/>
        <v>6.1686480062232301</v>
      </c>
      <c r="CF12" s="1298">
        <f t="shared" si="44"/>
        <v>6.18159593542926</v>
      </c>
      <c r="CG12" s="1298">
        <f t="shared" si="44"/>
        <v>6.197524392005751</v>
      </c>
      <c r="CH12" s="1298">
        <f t="shared" si="44"/>
        <v>6.2134938923080965</v>
      </c>
      <c r="CI12" s="1298">
        <f t="shared" si="44"/>
        <v>6.229504542095909</v>
      </c>
      <c r="CJ12" s="1298">
        <f t="shared" si="44"/>
        <v>6.245556447401321</v>
      </c>
      <c r="CK12" s="1298">
        <f t="shared" si="44"/>
        <v>6.2616497145296828</v>
      </c>
      <c r="CL12" s="1298">
        <f t="shared" si="44"/>
        <v>6.2750522655841658</v>
      </c>
      <c r="CM12" s="1298">
        <f t="shared" si="44"/>
        <v>6.2884835037072264</v>
      </c>
      <c r="CN12" s="1298">
        <f t="shared" si="44"/>
        <v>6.3019434903011975</v>
      </c>
      <c r="CO12" s="1298">
        <f t="shared" si="44"/>
        <v>6.3154322868998385</v>
      </c>
      <c r="CP12" s="1298">
        <f t="shared" si="44"/>
        <v>6.3289499551686168</v>
      </c>
      <c r="CQ12" s="1298">
        <f t="shared" si="44"/>
        <v>6.3413225489579119</v>
      </c>
      <c r="CR12" s="1298">
        <f t="shared" si="44"/>
        <v>6.3537193301840116</v>
      </c>
      <c r="CS12" s="1298">
        <f t="shared" si="44"/>
        <v>6.3661403461314299</v>
      </c>
      <c r="CT12" s="1298">
        <f t="shared" si="44"/>
        <v>6.3785856441771198</v>
      </c>
      <c r="CU12" s="1298">
        <f t="shared" si="44"/>
        <v>6.3910552717906537</v>
      </c>
      <c r="CV12" s="1298">
        <f t="shared" si="44"/>
        <v>6.4057772391562917</v>
      </c>
      <c r="CW12" s="1298">
        <f t="shared" si="44"/>
        <v>6.4205331189689208</v>
      </c>
      <c r="CX12" s="1298">
        <f t="shared" si="44"/>
        <v>6.4353229893467718</v>
      </c>
      <c r="CY12" s="1298">
        <f t="shared" si="44"/>
        <v>6.4501469285880244</v>
      </c>
      <c r="CZ12" s="1298">
        <f t="shared" si="44"/>
        <v>6.4650050151712186</v>
      </c>
    </row>
    <row r="13" spans="1:104">
      <c r="A13" s="890" t="str">
        <f>'HyARC Physical Property Data'!A86</f>
        <v>Woody Biomass B2A</v>
      </c>
      <c r="B13">
        <v>2007</v>
      </c>
      <c r="C13" s="811">
        <f>VLOOKUP(ref_year,DeflatorTable,2,FALSE)/VLOOKUP(B13,DeflatorTable,2,FALSE)</f>
        <v>1.1446359956438654</v>
      </c>
      <c r="D13" s="1171" t="str">
        <f>+'HyARC Physical Property Data'!$H$86</f>
        <v>kg</v>
      </c>
      <c r="E13" s="834" t="s">
        <v>1048</v>
      </c>
      <c r="F13">
        <f>'HyARC Physical Property Data'!$E$45</f>
        <v>19.551069237418005</v>
      </c>
      <c r="G13">
        <f>'HyARC Physical Property Data'!$I$45</f>
        <v>20.588656379262464</v>
      </c>
      <c r="H13" s="891">
        <f>3.80872262322035*($C$13)</f>
        <v>4.3596010119611401</v>
      </c>
      <c r="I13" s="891">
        <f>3.80872262322035*($C$13)</f>
        <v>4.3596010119611401</v>
      </c>
      <c r="J13" s="891">
        <f>3.80872262322035*($C$13)</f>
        <v>4.3596010119611401</v>
      </c>
      <c r="K13" s="891">
        <f>3.80872262322035*($C$13)</f>
        <v>4.3596010119611401</v>
      </c>
      <c r="L13" s="891">
        <f>3.58036841709093*($C$13)</f>
        <v>4.0982185678687273</v>
      </c>
      <c r="M13" s="891">
        <f>3.28153451771169*($C$13)</f>
        <v>3.756162529920632</v>
      </c>
      <c r="N13" s="891">
        <f>3.05599949931226*($C$13)</f>
        <v>3.498007029582443</v>
      </c>
      <c r="O13" s="891">
        <f>2.9206784882726*($C$13)</f>
        <v>3.3431137293795268</v>
      </c>
      <c r="P13" s="891">
        <f t="shared" ref="P13:BV13" si="45">2.85865635821276*($C$13)</f>
        <v>3.2721209667865292</v>
      </c>
      <c r="Q13" s="891">
        <f t="shared" si="45"/>
        <v>3.2721209667865292</v>
      </c>
      <c r="R13" s="891">
        <f t="shared" si="45"/>
        <v>3.2721209667865292</v>
      </c>
      <c r="S13" s="891">
        <f t="shared" si="45"/>
        <v>3.2721209667865292</v>
      </c>
      <c r="T13" s="891">
        <f t="shared" si="45"/>
        <v>3.2721209667865292</v>
      </c>
      <c r="U13" s="891">
        <f t="shared" si="45"/>
        <v>3.2721209667865292</v>
      </c>
      <c r="V13" s="891">
        <f t="shared" si="45"/>
        <v>3.2721209667865292</v>
      </c>
      <c r="W13" s="891">
        <f t="shared" si="45"/>
        <v>3.2721209667865292</v>
      </c>
      <c r="X13" s="891">
        <f t="shared" si="45"/>
        <v>3.2721209667865292</v>
      </c>
      <c r="Y13" s="891">
        <f t="shared" si="45"/>
        <v>3.2721209667865292</v>
      </c>
      <c r="Z13" s="891">
        <f t="shared" si="45"/>
        <v>3.2721209667865292</v>
      </c>
      <c r="AA13" s="891">
        <f t="shared" si="45"/>
        <v>3.2721209667865292</v>
      </c>
      <c r="AB13" s="891">
        <f t="shared" si="45"/>
        <v>3.2721209667865292</v>
      </c>
      <c r="AC13" s="891">
        <f t="shared" si="45"/>
        <v>3.2721209667865292</v>
      </c>
      <c r="AD13" s="891">
        <f t="shared" si="45"/>
        <v>3.2721209667865292</v>
      </c>
      <c r="AE13" s="891">
        <f t="shared" si="45"/>
        <v>3.2721209667865292</v>
      </c>
      <c r="AF13" s="891">
        <f t="shared" si="45"/>
        <v>3.2721209667865292</v>
      </c>
      <c r="AG13" s="891">
        <f t="shared" si="45"/>
        <v>3.2721209667865292</v>
      </c>
      <c r="AH13" s="891">
        <f t="shared" si="45"/>
        <v>3.2721209667865292</v>
      </c>
      <c r="AI13" s="891">
        <f t="shared" si="45"/>
        <v>3.2721209667865292</v>
      </c>
      <c r="AJ13" s="891">
        <f t="shared" si="45"/>
        <v>3.2721209667865292</v>
      </c>
      <c r="AK13" s="891">
        <f t="shared" si="45"/>
        <v>3.2721209667865292</v>
      </c>
      <c r="AL13" s="891">
        <f t="shared" si="45"/>
        <v>3.2721209667865292</v>
      </c>
      <c r="AM13" s="891">
        <f t="shared" si="45"/>
        <v>3.2721209667865292</v>
      </c>
      <c r="AN13" s="891">
        <f t="shared" si="45"/>
        <v>3.2721209667865292</v>
      </c>
      <c r="AO13" s="891">
        <f t="shared" si="45"/>
        <v>3.2721209667865292</v>
      </c>
      <c r="AP13" s="891">
        <f t="shared" si="45"/>
        <v>3.2721209667865292</v>
      </c>
      <c r="AQ13" s="891">
        <f t="shared" si="45"/>
        <v>3.2721209667865292</v>
      </c>
      <c r="AR13" s="891">
        <f t="shared" si="45"/>
        <v>3.2721209667865292</v>
      </c>
      <c r="AS13" s="891">
        <f t="shared" si="45"/>
        <v>3.2721209667865292</v>
      </c>
      <c r="AT13" s="891">
        <f t="shared" si="45"/>
        <v>3.2721209667865292</v>
      </c>
      <c r="AU13" s="891">
        <f t="shared" si="45"/>
        <v>3.2721209667865292</v>
      </c>
      <c r="AV13" s="891">
        <f t="shared" si="45"/>
        <v>3.2721209667865292</v>
      </c>
      <c r="AW13" s="891">
        <f t="shared" si="45"/>
        <v>3.2721209667865292</v>
      </c>
      <c r="AX13" s="891">
        <f t="shared" si="45"/>
        <v>3.2721209667865292</v>
      </c>
      <c r="AY13" s="891">
        <f t="shared" si="45"/>
        <v>3.2721209667865292</v>
      </c>
      <c r="AZ13" s="891">
        <f t="shared" si="45"/>
        <v>3.2721209667865292</v>
      </c>
      <c r="BA13" s="891">
        <f t="shared" si="45"/>
        <v>3.2721209667865292</v>
      </c>
      <c r="BB13" s="891">
        <f t="shared" si="45"/>
        <v>3.2721209667865292</v>
      </c>
      <c r="BC13" s="891">
        <f t="shared" si="45"/>
        <v>3.2721209667865292</v>
      </c>
      <c r="BD13" s="891">
        <f t="shared" si="45"/>
        <v>3.2721209667865292</v>
      </c>
      <c r="BE13" s="891">
        <f t="shared" si="45"/>
        <v>3.2721209667865292</v>
      </c>
      <c r="BF13" s="891">
        <f t="shared" si="45"/>
        <v>3.2721209667865292</v>
      </c>
      <c r="BG13" s="891">
        <f t="shared" si="45"/>
        <v>3.2721209667865292</v>
      </c>
      <c r="BH13" s="891">
        <f t="shared" si="45"/>
        <v>3.2721209667865292</v>
      </c>
      <c r="BI13" s="891">
        <f t="shared" si="45"/>
        <v>3.2721209667865292</v>
      </c>
      <c r="BJ13" s="891">
        <f t="shared" si="45"/>
        <v>3.2721209667865292</v>
      </c>
      <c r="BK13" s="891">
        <f t="shared" si="45"/>
        <v>3.2721209667865292</v>
      </c>
      <c r="BL13" s="891">
        <f t="shared" si="45"/>
        <v>3.2721209667865292</v>
      </c>
      <c r="BM13" s="891">
        <f t="shared" si="45"/>
        <v>3.2721209667865292</v>
      </c>
      <c r="BN13" s="891">
        <f t="shared" si="45"/>
        <v>3.2721209667865292</v>
      </c>
      <c r="BO13" s="891">
        <f t="shared" si="45"/>
        <v>3.2721209667865292</v>
      </c>
      <c r="BP13" s="891">
        <f t="shared" si="45"/>
        <v>3.2721209667865292</v>
      </c>
      <c r="BQ13" s="891">
        <f t="shared" si="45"/>
        <v>3.2721209667865292</v>
      </c>
      <c r="BR13" s="891">
        <f t="shared" si="45"/>
        <v>3.2721209667865292</v>
      </c>
      <c r="BS13" s="891">
        <f t="shared" si="45"/>
        <v>3.2721209667865292</v>
      </c>
      <c r="BT13" s="891">
        <f t="shared" si="45"/>
        <v>3.2721209667865292</v>
      </c>
      <c r="BU13" s="891">
        <f t="shared" si="45"/>
        <v>3.2721209667865292</v>
      </c>
      <c r="BV13" s="892">
        <f t="shared" si="45"/>
        <v>3.2721209667865292</v>
      </c>
      <c r="BW13" s="1298">
        <f>+BV13*BW$137/BV$137</f>
        <v>3.2799858583089949</v>
      </c>
      <c r="BX13" s="1298">
        <f t="shared" ref="BX13:CZ13" si="46">+BW13*BX$137/BW$137</f>
        <v>3.2878696539365619</v>
      </c>
      <c r="BY13" s="1298">
        <f t="shared" si="46"/>
        <v>3.2957723991072623</v>
      </c>
      <c r="BZ13" s="1298">
        <f t="shared" si="46"/>
        <v>3.3036941393683414</v>
      </c>
      <c r="CA13" s="1298">
        <f t="shared" si="46"/>
        <v>3.3116349203765254</v>
      </c>
      <c r="CB13" s="1298">
        <f t="shared" si="46"/>
        <v>3.3185860082748779</v>
      </c>
      <c r="CC13" s="1298">
        <f t="shared" si="46"/>
        <v>3.3255516864357837</v>
      </c>
      <c r="CD13" s="1298">
        <f t="shared" si="46"/>
        <v>3.332531985484056</v>
      </c>
      <c r="CE13" s="1298">
        <f t="shared" si="46"/>
        <v>3.3395269361087871</v>
      </c>
      <c r="CF13" s="1298">
        <f t="shared" si="46"/>
        <v>3.3465365690634874</v>
      </c>
      <c r="CG13" s="1298">
        <f t="shared" si="46"/>
        <v>3.3551597730028546</v>
      </c>
      <c r="CH13" s="1298">
        <f t="shared" si="46"/>
        <v>3.3638051968237757</v>
      </c>
      <c r="CI13" s="1298">
        <f t="shared" si="46"/>
        <v>3.3724728977814351</v>
      </c>
      <c r="CJ13" s="1298">
        <f t="shared" si="46"/>
        <v>3.3811629332785507</v>
      </c>
      <c r="CK13" s="1298">
        <f t="shared" si="46"/>
        <v>3.3898753608657524</v>
      </c>
      <c r="CL13" s="1298">
        <f t="shared" si="46"/>
        <v>3.3971311128901611</v>
      </c>
      <c r="CM13" s="1298">
        <f t="shared" si="46"/>
        <v>3.4044023952606257</v>
      </c>
      <c r="CN13" s="1298">
        <f t="shared" si="46"/>
        <v>3.4116892412185864</v>
      </c>
      <c r="CO13" s="1298">
        <f t="shared" si="46"/>
        <v>3.4189916840766337</v>
      </c>
      <c r="CP13" s="1298">
        <f t="shared" si="46"/>
        <v>3.4263097572186623</v>
      </c>
      <c r="CQ13" s="1298">
        <f t="shared" si="46"/>
        <v>3.4330079202824653</v>
      </c>
      <c r="CR13" s="1298">
        <f t="shared" si="46"/>
        <v>3.4397191777223193</v>
      </c>
      <c r="CS13" s="1298">
        <f t="shared" si="46"/>
        <v>3.4464435551366885</v>
      </c>
      <c r="CT13" s="1298">
        <f t="shared" si="46"/>
        <v>3.453181078174079</v>
      </c>
      <c r="CU13" s="1298">
        <f t="shared" si="46"/>
        <v>3.4599317725331393</v>
      </c>
      <c r="CV13" s="1298">
        <f t="shared" si="46"/>
        <v>3.467901818241772</v>
      </c>
      <c r="CW13" s="1298">
        <f t="shared" si="46"/>
        <v>3.4758902231646247</v>
      </c>
      <c r="CX13" s="1298">
        <f t="shared" si="46"/>
        <v>3.4838970295926392</v>
      </c>
      <c r="CY13" s="1298">
        <f t="shared" si="46"/>
        <v>3.4919222799141783</v>
      </c>
      <c r="CZ13" s="1298">
        <f t="shared" si="46"/>
        <v>3.4999660166152444</v>
      </c>
    </row>
    <row r="14" spans="1:104">
      <c r="A14" s="890" t="str">
        <f>'HyARC Physical Property Data'!$A$87</f>
        <v>Woody Biomass MYPP</v>
      </c>
      <c r="B14">
        <v>2007</v>
      </c>
      <c r="C14" s="811">
        <f>VLOOKUP(ref_year,DeflatorTable,2,FALSE)/VLOOKUP(B14,DeflatorTable,2,FALSE)</f>
        <v>1.1446359956438654</v>
      </c>
      <c r="D14" s="1171" t="str">
        <f>+'HyARC Physical Property Data'!$H$87</f>
        <v>kg</v>
      </c>
      <c r="E14" s="834" t="s">
        <v>1048</v>
      </c>
      <c r="F14">
        <v>18.608000000000001</v>
      </c>
      <c r="H14">
        <f>4.44432502149613*$C$14</f>
        <v>5.0871343959451663</v>
      </c>
      <c r="I14">
        <f t="shared" ref="I14:N14" si="47">4.44432502149613*$C$14</f>
        <v>5.0871343959451663</v>
      </c>
      <c r="J14">
        <f t="shared" si="47"/>
        <v>5.0871343959451663</v>
      </c>
      <c r="K14">
        <f t="shared" si="47"/>
        <v>5.0871343959451663</v>
      </c>
      <c r="L14">
        <f t="shared" si="47"/>
        <v>5.0871343959451663</v>
      </c>
      <c r="M14">
        <f t="shared" si="47"/>
        <v>5.0871343959451663</v>
      </c>
      <c r="N14">
        <f t="shared" si="47"/>
        <v>5.0871343959451663</v>
      </c>
      <c r="O14" s="891">
        <f t="shared" ref="O14:T14" si="48">N14-($N$14-$U$14)/7</f>
        <v>4.9664808197552768</v>
      </c>
      <c r="P14" s="891">
        <f t="shared" si="48"/>
        <v>4.8458272435653873</v>
      </c>
      <c r="Q14" s="891">
        <f t="shared" si="48"/>
        <v>4.7251736673754978</v>
      </c>
      <c r="R14" s="891">
        <f t="shared" si="48"/>
        <v>4.6045200911856083</v>
      </c>
      <c r="S14" s="891">
        <f t="shared" si="48"/>
        <v>4.4838665149957189</v>
      </c>
      <c r="T14" s="891">
        <f t="shared" si="48"/>
        <v>4.3632129388058294</v>
      </c>
      <c r="U14" s="891">
        <f>3.70647033533964*$C$14</f>
        <v>4.2425593626159408</v>
      </c>
      <c r="V14" s="891">
        <f t="shared" ref="V14:BV14" si="49">3.70647033533964*$C$14</f>
        <v>4.2425593626159408</v>
      </c>
      <c r="W14" s="891">
        <f t="shared" si="49"/>
        <v>4.2425593626159408</v>
      </c>
      <c r="X14" s="891">
        <f t="shared" si="49"/>
        <v>4.2425593626159408</v>
      </c>
      <c r="Y14" s="891">
        <f t="shared" si="49"/>
        <v>4.2425593626159408</v>
      </c>
      <c r="Z14" s="891">
        <f t="shared" si="49"/>
        <v>4.2425593626159408</v>
      </c>
      <c r="AA14" s="891">
        <f t="shared" si="49"/>
        <v>4.2425593626159408</v>
      </c>
      <c r="AB14" s="891">
        <f t="shared" si="49"/>
        <v>4.2425593626159408</v>
      </c>
      <c r="AC14" s="891">
        <f t="shared" si="49"/>
        <v>4.2425593626159408</v>
      </c>
      <c r="AD14" s="891">
        <f t="shared" si="49"/>
        <v>4.2425593626159408</v>
      </c>
      <c r="AE14" s="891">
        <f t="shared" si="49"/>
        <v>4.2425593626159408</v>
      </c>
      <c r="AF14" s="891">
        <f t="shared" si="49"/>
        <v>4.2425593626159408</v>
      </c>
      <c r="AG14" s="891">
        <f t="shared" si="49"/>
        <v>4.2425593626159408</v>
      </c>
      <c r="AH14" s="891">
        <f t="shared" si="49"/>
        <v>4.2425593626159408</v>
      </c>
      <c r="AI14" s="891">
        <f t="shared" si="49"/>
        <v>4.2425593626159408</v>
      </c>
      <c r="AJ14" s="891">
        <f t="shared" si="49"/>
        <v>4.2425593626159408</v>
      </c>
      <c r="AK14" s="891">
        <f t="shared" si="49"/>
        <v>4.2425593626159408</v>
      </c>
      <c r="AL14" s="891">
        <f t="shared" si="49"/>
        <v>4.2425593626159408</v>
      </c>
      <c r="AM14" s="891">
        <f t="shared" si="49"/>
        <v>4.2425593626159408</v>
      </c>
      <c r="AN14" s="891">
        <f t="shared" si="49"/>
        <v>4.2425593626159408</v>
      </c>
      <c r="AO14" s="891">
        <f t="shared" si="49"/>
        <v>4.2425593626159408</v>
      </c>
      <c r="AP14" s="891">
        <f t="shared" si="49"/>
        <v>4.2425593626159408</v>
      </c>
      <c r="AQ14" s="891">
        <f t="shared" si="49"/>
        <v>4.2425593626159408</v>
      </c>
      <c r="AR14" s="891">
        <f t="shared" si="49"/>
        <v>4.2425593626159408</v>
      </c>
      <c r="AS14" s="891">
        <f t="shared" si="49"/>
        <v>4.2425593626159408</v>
      </c>
      <c r="AT14" s="891">
        <f t="shared" si="49"/>
        <v>4.2425593626159408</v>
      </c>
      <c r="AU14" s="891">
        <f t="shared" si="49"/>
        <v>4.2425593626159408</v>
      </c>
      <c r="AV14" s="891">
        <f t="shared" si="49"/>
        <v>4.2425593626159408</v>
      </c>
      <c r="AW14" s="891">
        <f t="shared" si="49"/>
        <v>4.2425593626159408</v>
      </c>
      <c r="AX14" s="891">
        <f t="shared" si="49"/>
        <v>4.2425593626159408</v>
      </c>
      <c r="AY14" s="891">
        <f t="shared" si="49"/>
        <v>4.2425593626159408</v>
      </c>
      <c r="AZ14" s="891">
        <f t="shared" si="49"/>
        <v>4.2425593626159408</v>
      </c>
      <c r="BA14" s="891">
        <f t="shared" si="49"/>
        <v>4.2425593626159408</v>
      </c>
      <c r="BB14" s="891">
        <f t="shared" si="49"/>
        <v>4.2425593626159408</v>
      </c>
      <c r="BC14" s="891">
        <f t="shared" si="49"/>
        <v>4.2425593626159408</v>
      </c>
      <c r="BD14" s="891">
        <f t="shared" si="49"/>
        <v>4.2425593626159408</v>
      </c>
      <c r="BE14" s="891">
        <f t="shared" si="49"/>
        <v>4.2425593626159408</v>
      </c>
      <c r="BF14" s="891">
        <f t="shared" si="49"/>
        <v>4.2425593626159408</v>
      </c>
      <c r="BG14" s="891">
        <f t="shared" si="49"/>
        <v>4.2425593626159408</v>
      </c>
      <c r="BH14" s="891">
        <f t="shared" si="49"/>
        <v>4.2425593626159408</v>
      </c>
      <c r="BI14" s="891">
        <f t="shared" si="49"/>
        <v>4.2425593626159408</v>
      </c>
      <c r="BJ14" s="891">
        <f t="shared" si="49"/>
        <v>4.2425593626159408</v>
      </c>
      <c r="BK14" s="891">
        <f t="shared" si="49"/>
        <v>4.2425593626159408</v>
      </c>
      <c r="BL14" s="891">
        <f t="shared" si="49"/>
        <v>4.2425593626159408</v>
      </c>
      <c r="BM14" s="891">
        <f t="shared" si="49"/>
        <v>4.2425593626159408</v>
      </c>
      <c r="BN14" s="891">
        <f t="shared" si="49"/>
        <v>4.2425593626159408</v>
      </c>
      <c r="BO14" s="891">
        <f t="shared" si="49"/>
        <v>4.2425593626159408</v>
      </c>
      <c r="BP14" s="891">
        <f t="shared" si="49"/>
        <v>4.2425593626159408</v>
      </c>
      <c r="BQ14" s="891">
        <f t="shared" si="49"/>
        <v>4.2425593626159408</v>
      </c>
      <c r="BR14" s="891">
        <f t="shared" si="49"/>
        <v>4.2425593626159408</v>
      </c>
      <c r="BS14" s="891">
        <f t="shared" si="49"/>
        <v>4.2425593626159408</v>
      </c>
      <c r="BT14" s="891">
        <f t="shared" si="49"/>
        <v>4.2425593626159408</v>
      </c>
      <c r="BU14" s="891">
        <f t="shared" si="49"/>
        <v>4.2425593626159408</v>
      </c>
      <c r="BV14" s="891">
        <f t="shared" si="49"/>
        <v>4.2425593626159408</v>
      </c>
      <c r="BW14" s="1298">
        <f>+BV14*BW$137/BV$137</f>
        <v>4.2527568062628252</v>
      </c>
      <c r="BX14" s="1298">
        <f t="shared" ref="BX14:CZ14" si="50">+BW14*BX$137/BW$137</f>
        <v>4.2629787605524712</v>
      </c>
      <c r="BY14" s="1298">
        <f t="shared" si="50"/>
        <v>4.2732252843988219</v>
      </c>
      <c r="BZ14" s="1298">
        <f t="shared" si="50"/>
        <v>4.2834964368574244</v>
      </c>
      <c r="CA14" s="1298">
        <f t="shared" si="50"/>
        <v>4.2937922771257746</v>
      </c>
      <c r="CB14" s="1298">
        <f t="shared" si="50"/>
        <v>4.302804903291757</v>
      </c>
      <c r="CC14" s="1298">
        <f t="shared" si="50"/>
        <v>4.3118364468680763</v>
      </c>
      <c r="CD14" s="1298">
        <f t="shared" si="50"/>
        <v>4.3208869475621841</v>
      </c>
      <c r="CE14" s="1298">
        <f t="shared" si="50"/>
        <v>4.3299564451648767</v>
      </c>
      <c r="CF14" s="1298">
        <f t="shared" si="50"/>
        <v>4.3390449795504713</v>
      </c>
      <c r="CG14" s="1298">
        <f t="shared" si="50"/>
        <v>4.3502256342328796</v>
      </c>
      <c r="CH14" s="1298">
        <f t="shared" si="50"/>
        <v>4.361435098720146</v>
      </c>
      <c r="CI14" s="1298">
        <f t="shared" si="50"/>
        <v>4.3726734472480695</v>
      </c>
      <c r="CJ14" s="1298">
        <f t="shared" si="50"/>
        <v>4.3839407542437394</v>
      </c>
      <c r="CK14" s="1298">
        <f t="shared" si="50"/>
        <v>4.3952370943260251</v>
      </c>
      <c r="CL14" s="1298">
        <f t="shared" si="50"/>
        <v>4.4046447412304142</v>
      </c>
      <c r="CM14" s="1298">
        <f t="shared" si="50"/>
        <v>4.4140725244365262</v>
      </c>
      <c r="CN14" s="1298">
        <f t="shared" si="50"/>
        <v>4.4235204870444758</v>
      </c>
      <c r="CO14" s="1298">
        <f t="shared" si="50"/>
        <v>4.4329886722466272</v>
      </c>
      <c r="CP14" s="1298">
        <f t="shared" si="50"/>
        <v>4.4424771233277953</v>
      </c>
      <c r="CQ14" s="1298">
        <f t="shared" si="50"/>
        <v>4.4511618127714661</v>
      </c>
      <c r="CR14" s="1298">
        <f t="shared" si="50"/>
        <v>4.4598634800922632</v>
      </c>
      <c r="CS14" s="1298">
        <f t="shared" si="50"/>
        <v>4.4685821584805847</v>
      </c>
      <c r="CT14" s="1298">
        <f t="shared" si="50"/>
        <v>4.4773178811917154</v>
      </c>
      <c r="CU14" s="1298">
        <f t="shared" si="50"/>
        <v>4.486070681545951</v>
      </c>
      <c r="CV14" s="1298">
        <f t="shared" si="50"/>
        <v>4.4964044657748525</v>
      </c>
      <c r="CW14" s="1298">
        <f t="shared" si="50"/>
        <v>4.5067620541531026</v>
      </c>
      <c r="CX14" s="1298">
        <f t="shared" si="50"/>
        <v>4.5171435015141972</v>
      </c>
      <c r="CY14" s="1298">
        <f t="shared" si="50"/>
        <v>4.5275488628179446</v>
      </c>
      <c r="CZ14" s="1298">
        <f t="shared" si="50"/>
        <v>4.537978193150753</v>
      </c>
    </row>
    <row r="15" spans="1:104">
      <c r="A15" s="896" t="str">
        <f>'HyARC Physical Property Data'!A79</f>
        <v>Electric Utility Steam Coal</v>
      </c>
      <c r="B15">
        <v>2007</v>
      </c>
      <c r="C15" s="811">
        <f>VLOOKUP(ref_year,DeflatorTable,2,FALSE)/VLOOKUP(B15,DeflatorTable,2,FALSE)</f>
        <v>1.1446359956438654</v>
      </c>
      <c r="D15" s="1171" t="str">
        <f>+'HyARC Physical Property Data'!$H$79</f>
        <v>kg</v>
      </c>
      <c r="E15" s="834" t="s">
        <v>1048</v>
      </c>
      <c r="F15">
        <f>'HyARC Physical Property Data'!E42</f>
        <v>22.7322030001394</v>
      </c>
      <c r="G15">
        <f>'HyARC Physical Property Data'!I42</f>
        <v>23.967615189707661</v>
      </c>
      <c r="H15">
        <f>1.73552525043488*($C$15/mmBTU_to_GJ*$G$15/$F$15)</f>
        <v>1.9853138567637905</v>
      </c>
      <c r="I15">
        <f>1.73552525043488*($C$15/mmBTU_to_GJ*$G$15/$F$15)</f>
        <v>1.9853138567637905</v>
      </c>
      <c r="J15">
        <f>1.73552525043488*($C$15/mmBTU_to_GJ*$G$15/$F$15)</f>
        <v>1.9853138567637905</v>
      </c>
      <c r="K15">
        <f>1.78000020980835*($C$15/mmBTU_to_GJ*$G$15/$F$15)</f>
        <v>2.0361899549945894</v>
      </c>
      <c r="L15">
        <f>1.9310736656189*($C$15/mmBTU_to_GJ*$G$15/$F$15)</f>
        <v>2.2090069307975759</v>
      </c>
      <c r="M15">
        <f>1.98230564594269*($C$15/mmBTU_to_GJ*$G$15/$F$15)</f>
        <v>2.2676125664233231</v>
      </c>
      <c r="N15">
        <f>1.86225914955139*($C$15/mmBTU_to_GJ*$G$15/$F$15)</f>
        <v>2.13028816121408</v>
      </c>
      <c r="O15">
        <f>1.87335216999054*($C$15/mmBTU_to_GJ*$G$15/$F$15)</f>
        <v>2.1429777646558565</v>
      </c>
      <c r="P15">
        <f>1.85759365558624*($C$15/mmBTU_to_GJ*$G$15/$F$15)</f>
        <v>2.1249511776033034</v>
      </c>
      <c r="Q15">
        <f>1.88174879550934*($C$15/mmBTU_to_GJ*$G$15/$F$15)</f>
        <v>2.152582889668214</v>
      </c>
      <c r="R15">
        <f>1.90431761741638*($C$15/mmBTU_to_GJ*$G$15/$F$15)</f>
        <v>2.1783999700314376</v>
      </c>
      <c r="S15">
        <f>1.90719401836395*($C$15/mmBTU_to_GJ*$G$15/$F$15)</f>
        <v>2.1816903621806665</v>
      </c>
      <c r="T15">
        <f>1.91704928874969*($C$15/mmBTU_to_GJ*$G$15/$F$15)</f>
        <v>2.1929640701570041</v>
      </c>
      <c r="U15">
        <f>1.92595064640045*($C$15/mmBTU_to_GJ*$G$15/$F$15)</f>
        <v>2.203146571785048</v>
      </c>
      <c r="V15">
        <f>1.94080138206482*($C$15/mmBTU_to_GJ*$G$15/$F$15)</f>
        <v>2.2201347264029208</v>
      </c>
      <c r="W15">
        <f>1.94636797904968*($C$15/mmBTU_to_GJ*$G$15/$F$15)</f>
        <v>2.2265025059130679</v>
      </c>
      <c r="X15">
        <f>1.95628917217255*($C$15/mmBTU_to_GJ*$G$15/$F$15)</f>
        <v>2.2378516246755447</v>
      </c>
      <c r="Y15">
        <f>1.96225011348724*($C$15/mmBTU_to_GJ*$G$15/$F$15)</f>
        <v>2.2446705052354474</v>
      </c>
      <c r="Z15">
        <f>1.97535526752472*($C$15/mmBTU_to_GJ*$G$15/$F$15)</f>
        <v>2.2596618422379557</v>
      </c>
      <c r="AA15">
        <f>1.98115420341492*($C$15/mmBTU_to_GJ*$G$15/$F$15)</f>
        <v>2.2662954004500389</v>
      </c>
      <c r="AB15">
        <f>1.98549652099609*($C$15/mmBTU_to_GJ*$G$15/$F$15)</f>
        <v>2.2712626939320582</v>
      </c>
      <c r="AC15">
        <f>1.98988306522369*($C$15/mmBTU_to_GJ*$G$15/$F$15)</f>
        <v>2.2762805794604768</v>
      </c>
      <c r="AD15">
        <f>1.99634909629822*($C$15/mmBTU_to_GJ*$G$15/$F$15)</f>
        <v>2.2836772457361834</v>
      </c>
      <c r="AE15">
        <f>2.00744533538818*($C$15/mmBTU_to_GJ*$G$15/$F$15)</f>
        <v>2.2963705310789013</v>
      </c>
      <c r="AF15">
        <f>2.02021908760071*($C$15/mmBTU_to_GJ*$G$15/$F$15)</f>
        <v>2.3109827686502347</v>
      </c>
      <c r="AG15">
        <f>2.03361201286316*($C$15/mmBTU_to_GJ*$G$15/$F$15)</f>
        <v>2.3263032948710327</v>
      </c>
      <c r="AH15">
        <f>2.04451942443848*($C$15/mmBTU_to_GJ*$G$15/$F$15)</f>
        <v>2.3387805753580104</v>
      </c>
      <c r="AI15">
        <f>(($BB$15-$AH$15)/20+AH15)</f>
        <v>2.3439232584530902</v>
      </c>
      <c r="AJ15">
        <f t="shared" ref="AJ15:BA15" si="51">(($BB$15-$AH$15)/20+AI15)</f>
        <v>2.3490659415481701</v>
      </c>
      <c r="AK15">
        <f t="shared" si="51"/>
        <v>2.3542086246432499</v>
      </c>
      <c r="AL15">
        <f t="shared" si="51"/>
        <v>2.3593513077383297</v>
      </c>
      <c r="AM15">
        <f t="shared" si="51"/>
        <v>2.3644939908334095</v>
      </c>
      <c r="AN15">
        <f t="shared" si="51"/>
        <v>2.3696366739284893</v>
      </c>
      <c r="AO15">
        <f t="shared" si="51"/>
        <v>2.3747793570235691</v>
      </c>
      <c r="AP15">
        <f t="shared" si="51"/>
        <v>2.3799220401186489</v>
      </c>
      <c r="AQ15">
        <f t="shared" si="51"/>
        <v>2.3850647232137288</v>
      </c>
      <c r="AR15">
        <f t="shared" si="51"/>
        <v>2.3902074063088086</v>
      </c>
      <c r="AS15">
        <f t="shared" si="51"/>
        <v>2.3953500894038884</v>
      </c>
      <c r="AT15">
        <f t="shared" si="51"/>
        <v>2.4004927724989682</v>
      </c>
      <c r="AU15">
        <f t="shared" si="51"/>
        <v>2.405635455594048</v>
      </c>
      <c r="AV15">
        <f t="shared" si="51"/>
        <v>2.4107781386891278</v>
      </c>
      <c r="AW15">
        <f t="shared" si="51"/>
        <v>2.4159208217842076</v>
      </c>
      <c r="AX15">
        <f t="shared" si="51"/>
        <v>2.4210635048792875</v>
      </c>
      <c r="AY15">
        <f t="shared" si="51"/>
        <v>2.4262061879743673</v>
      </c>
      <c r="AZ15">
        <f t="shared" si="51"/>
        <v>2.4313488710694471</v>
      </c>
      <c r="BA15">
        <f t="shared" si="51"/>
        <v>2.4364915541645269</v>
      </c>
      <c r="BB15" s="991">
        <f>(1.04397747398165*AH15)</f>
        <v>2.4416342372596058</v>
      </c>
      <c r="BC15">
        <f>(($BQ$15-$BB$15)/15+BB15)</f>
        <v>2.4462649790511035</v>
      </c>
      <c r="BD15">
        <f t="shared" ref="BD15:BP15" si="52">(($BQ$15-$BB$15)/15+BC15)</f>
        <v>2.4508957208426012</v>
      </c>
      <c r="BE15">
        <f t="shared" si="52"/>
        <v>2.4555264626340989</v>
      </c>
      <c r="BF15">
        <f t="shared" si="52"/>
        <v>2.4601572044255966</v>
      </c>
      <c r="BG15">
        <f t="shared" si="52"/>
        <v>2.4647879462170943</v>
      </c>
      <c r="BH15">
        <f t="shared" si="52"/>
        <v>2.469418688008592</v>
      </c>
      <c r="BI15">
        <f t="shared" si="52"/>
        <v>2.4740494298000897</v>
      </c>
      <c r="BJ15">
        <f t="shared" si="52"/>
        <v>2.4786801715915874</v>
      </c>
      <c r="BK15">
        <f t="shared" si="52"/>
        <v>2.4833109133830851</v>
      </c>
      <c r="BL15">
        <f t="shared" si="52"/>
        <v>2.4879416551745828</v>
      </c>
      <c r="BM15">
        <f t="shared" si="52"/>
        <v>2.4925723969660805</v>
      </c>
      <c r="BN15">
        <f t="shared" si="52"/>
        <v>2.4972031387575782</v>
      </c>
      <c r="BO15">
        <f t="shared" si="52"/>
        <v>2.5018338805490759</v>
      </c>
      <c r="BP15">
        <f t="shared" si="52"/>
        <v>2.5064646223405735</v>
      </c>
      <c r="BQ15" s="991">
        <f>(1.02844862093285*BB15)</f>
        <v>2.511095364132073</v>
      </c>
      <c r="BR15">
        <f>(($BV$15-$BQ$15)/5+BQ15)</f>
        <v>2.5158578441414332</v>
      </c>
      <c r="BS15">
        <f>(($BV$15-$BQ$15)/5+BR15)</f>
        <v>2.5206203241507934</v>
      </c>
      <c r="BT15">
        <f>(($BV$15-$BQ$15)/5+BS15)</f>
        <v>2.5253828041601536</v>
      </c>
      <c r="BU15">
        <f>(($BV$15-$BQ$15)/5+BT15)</f>
        <v>2.5301452841695138</v>
      </c>
      <c r="BV15" s="994">
        <f>(1.00948287364428*BQ15)</f>
        <v>2.5349077641788749</v>
      </c>
      <c r="BW15" s="1298">
        <f>+BV15*BW$138/BV$138</f>
        <v>2.5434781738814416</v>
      </c>
      <c r="BX15" s="1298">
        <f t="shared" ref="BX15:CZ15" si="53">+BW15*BX$138/BW$138</f>
        <v>2.5520775597556495</v>
      </c>
      <c r="BY15" s="1298">
        <f t="shared" si="53"/>
        <v>2.5607060197686384</v>
      </c>
      <c r="BZ15" s="1298">
        <f t="shared" si="53"/>
        <v>2.5693636522187702</v>
      </c>
      <c r="CA15" s="1298">
        <f t="shared" si="53"/>
        <v>2.5780505557367492</v>
      </c>
      <c r="CB15" s="1298">
        <f t="shared" si="53"/>
        <v>2.5854319192311639</v>
      </c>
      <c r="CC15" s="1298">
        <f t="shared" si="53"/>
        <v>2.592834416728135</v>
      </c>
      <c r="CD15" s="1298">
        <f t="shared" si="53"/>
        <v>2.6002581087376306</v>
      </c>
      <c r="CE15" s="1298">
        <f t="shared" si="53"/>
        <v>2.6077030559428676</v>
      </c>
      <c r="CF15" s="1298">
        <f t="shared" si="53"/>
        <v>2.6151693192008074</v>
      </c>
      <c r="CG15" s="1298">
        <f t="shared" si="53"/>
        <v>2.620869818974227</v>
      </c>
      <c r="CH15" s="1298">
        <f t="shared" si="53"/>
        <v>2.6265827445961101</v>
      </c>
      <c r="CI15" s="1298">
        <f t="shared" si="53"/>
        <v>2.6323081231521006</v>
      </c>
      <c r="CJ15" s="1298">
        <f t="shared" si="53"/>
        <v>2.6380459817868847</v>
      </c>
      <c r="CK15" s="1298">
        <f t="shared" si="53"/>
        <v>2.6437963477043169</v>
      </c>
      <c r="CL15" s="1298">
        <f t="shared" si="53"/>
        <v>2.6476946163242814</v>
      </c>
      <c r="CM15" s="1298">
        <f t="shared" si="53"/>
        <v>2.6515986329279162</v>
      </c>
      <c r="CN15" s="1298">
        <f t="shared" si="53"/>
        <v>2.6555084059906031</v>
      </c>
      <c r="CO15" s="1298">
        <f t="shared" si="53"/>
        <v>2.6594239440002214</v>
      </c>
      <c r="CP15" s="1298">
        <f t="shared" si="53"/>
        <v>2.6633452554571648</v>
      </c>
      <c r="CQ15" s="1298">
        <f t="shared" si="53"/>
        <v>2.6646584413422429</v>
      </c>
      <c r="CR15" s="1298">
        <f t="shared" si="53"/>
        <v>2.6659722747052119</v>
      </c>
      <c r="CS15" s="1298">
        <f t="shared" si="53"/>
        <v>2.6672867558653164</v>
      </c>
      <c r="CT15" s="1298">
        <f t="shared" si="53"/>
        <v>2.6686018851419582</v>
      </c>
      <c r="CU15" s="1298">
        <f t="shared" si="53"/>
        <v>2.6699176628546981</v>
      </c>
      <c r="CV15" s="1298">
        <f t="shared" si="53"/>
        <v>2.6680266065225413</v>
      </c>
      <c r="CW15" s="1298">
        <f t="shared" si="53"/>
        <v>2.6661368895927571</v>
      </c>
      <c r="CX15" s="1298">
        <f t="shared" si="53"/>
        <v>2.6642485111166696</v>
      </c>
      <c r="CY15" s="1298">
        <f t="shared" si="53"/>
        <v>2.662361470146275</v>
      </c>
      <c r="CZ15" s="1298">
        <f t="shared" si="53"/>
        <v>2.6604757657342417</v>
      </c>
    </row>
    <row r="16" spans="1:104">
      <c r="A16" s="890" t="str">
        <f>'HyARC Physical Property Data'!A76</f>
        <v>Commercial Electricity</v>
      </c>
      <c r="B16">
        <v>2007</v>
      </c>
      <c r="C16" s="811">
        <f t="shared" si="37"/>
        <v>1.1446359956438654</v>
      </c>
      <c r="D16" s="1171" t="str">
        <f>'HyARC Physical Property Data'!$H$76</f>
        <v>kWh</v>
      </c>
      <c r="E16" s="811" t="s">
        <v>1067</v>
      </c>
      <c r="F16" s="811"/>
      <c r="G16" s="811"/>
      <c r="H16">
        <f>(28.3762531280518/(mmBTU_to_GJ))*($C$16)</f>
        <v>30.787185546796138</v>
      </c>
      <c r="I16">
        <f>(28.3762531280518/(mmBTU_to_GJ))*($C$16)</f>
        <v>30.787185546796138</v>
      </c>
      <c r="J16">
        <f>(28.3762531280518/(mmBTU_to_GJ))*($C$16)</f>
        <v>30.787185546796138</v>
      </c>
      <c r="K16">
        <f>(28.0297355651855/(mmBTU_to_GJ))*($C$16)</f>
        <v>30.411226802170969</v>
      </c>
      <c r="L16">
        <f>(29.057315826416/(mmBTU_to_GJ))*($C$16)</f>
        <v>31.52611339498382</v>
      </c>
      <c r="M16">
        <f>(27.6067714691162/(mmBTU_to_GJ))*($C$16)</f>
        <v>29.952326395321784</v>
      </c>
      <c r="N16">
        <f>(24.8355846405029/(mmBTU_to_GJ))*($C$16)</f>
        <v>26.94569113969624</v>
      </c>
      <c r="O16">
        <f>(25.5812511444092/(mmBTU_to_GJ))*($C$16)</f>
        <v>27.754711728432792</v>
      </c>
      <c r="P16">
        <f>(25.4402256011963/(mmBTU_to_GJ))*($C$16)</f>
        <v>27.601704227895624</v>
      </c>
      <c r="Q16">
        <f>(25.4701290130615/(mmBTU_to_GJ))*($C$16)</f>
        <v>27.634148324211708</v>
      </c>
      <c r="R16">
        <f>(25.6722831726074/(mmBTU_to_GJ))*($C$16)</f>
        <v>27.853478113486943</v>
      </c>
      <c r="S16">
        <f>(25.7632827758789/(mmBTU_to_GJ))*($C$16)</f>
        <v>27.952209318694404</v>
      </c>
      <c r="T16">
        <f>(26.1006698608398/(mmBTU_to_GJ))*($C$16)</f>
        <v>28.31826183235469</v>
      </c>
      <c r="U16">
        <f>(26.4680442810059/(mmBTU_to_GJ))*($C$16)</f>
        <v>28.716849496052234</v>
      </c>
      <c r="V16">
        <f>(26.885612487793/(mmBTU_to_GJ))*($C$16)</f>
        <v>29.169895562521408</v>
      </c>
      <c r="W16">
        <f>(27.1694507598877/(mmBTU_to_GJ))*($C$16)</f>
        <v>29.477849593972547</v>
      </c>
      <c r="X16">
        <f>(27.6201095581055/(mmBTU_to_GJ))*($C$16)</f>
        <v>29.966797728753303</v>
      </c>
      <c r="Y16">
        <f>(28.0024471282958/(mmBTU_to_GJ))*($C$16)</f>
        <v>30.381619857025179</v>
      </c>
      <c r="Z16">
        <f>(28.2454071044922/(mmBTU_to_GJ))*($C$16)</f>
        <v>30.645222448736249</v>
      </c>
      <c r="AA16">
        <f>(28.1863746643066/(mmBTU_to_GJ))*($C$16)</f>
        <v>30.581174433620486</v>
      </c>
      <c r="AB16">
        <f>(28.2032489776611/(mmBTU_to_GJ))*($C$16)</f>
        <v>30.599482439750659</v>
      </c>
      <c r="AC16">
        <f>(28.1397113800049/(mmBTU_to_GJ))*($C$16)</f>
        <v>30.530546495339259</v>
      </c>
      <c r="AD16">
        <f>(28.178466796875/(mmBTU_to_GJ))*($C$16)</f>
        <v>30.572594689818597</v>
      </c>
      <c r="AE16">
        <f>(28.4951820373535/(mmBTU_to_GJ))*($C$16)</f>
        <v>30.916219016473285</v>
      </c>
      <c r="AF16">
        <f>(28.9155654907227/(mmBTU_to_GJ))*($C$16)</f>
        <v>31.372319521401678</v>
      </c>
      <c r="AG16">
        <f>(29.2894115447998/(mmBTU_to_GJ))*($C$16)</f>
        <v>31.777928668630185</v>
      </c>
      <c r="AH16">
        <f>(29.6516952514648/(mmBTU_to_GJ))*($C$16)</f>
        <v>32.170993096387576</v>
      </c>
      <c r="AI16">
        <f t="shared" ref="AI16:BA18" si="54">($BB16-$AH16)/20+AH16</f>
        <v>32.16150778317737</v>
      </c>
      <c r="AJ16">
        <f t="shared" si="54"/>
        <v>32.152022469967164</v>
      </c>
      <c r="AK16">
        <f t="shared" si="54"/>
        <v>32.142537156756958</v>
      </c>
      <c r="AL16">
        <f t="shared" si="54"/>
        <v>32.133051843546752</v>
      </c>
      <c r="AM16">
        <f t="shared" si="54"/>
        <v>32.123566530336547</v>
      </c>
      <c r="AN16">
        <f t="shared" si="54"/>
        <v>32.114081217126341</v>
      </c>
      <c r="AO16">
        <f t="shared" si="54"/>
        <v>32.104595903916135</v>
      </c>
      <c r="AP16">
        <f t="shared" si="54"/>
        <v>32.095110590705929</v>
      </c>
      <c r="AQ16">
        <f t="shared" si="54"/>
        <v>32.085625277495723</v>
      </c>
      <c r="AR16">
        <f t="shared" si="54"/>
        <v>32.076139964285517</v>
      </c>
      <c r="AS16">
        <f t="shared" si="54"/>
        <v>32.066654651075311</v>
      </c>
      <c r="AT16">
        <f t="shared" si="54"/>
        <v>32.057169337865105</v>
      </c>
      <c r="AU16">
        <f t="shared" si="54"/>
        <v>32.047684024654899</v>
      </c>
      <c r="AV16">
        <f t="shared" si="54"/>
        <v>32.038198711444693</v>
      </c>
      <c r="AW16">
        <f t="shared" si="54"/>
        <v>32.028713398234487</v>
      </c>
      <c r="AX16">
        <f t="shared" si="54"/>
        <v>32.019228085024281</v>
      </c>
      <c r="AY16">
        <f t="shared" si="54"/>
        <v>32.009742771814075</v>
      </c>
      <c r="AZ16">
        <f t="shared" si="54"/>
        <v>32.000257458603869</v>
      </c>
      <c r="BA16">
        <f t="shared" si="54"/>
        <v>31.990772145393663</v>
      </c>
      <c r="BB16" s="991">
        <f>0.994103189054944*AH16</f>
        <v>31.981286832183478</v>
      </c>
      <c r="BC16">
        <f t="shared" ref="BC16:BP18" si="55">($BQ16-$BB16)/15+BB16</f>
        <v>32.001602863802262</v>
      </c>
      <c r="BD16">
        <f t="shared" si="55"/>
        <v>32.021918895421045</v>
      </c>
      <c r="BE16">
        <f t="shared" si="55"/>
        <v>32.042234927039829</v>
      </c>
      <c r="BF16">
        <f t="shared" si="55"/>
        <v>32.062550958658612</v>
      </c>
      <c r="BG16">
        <f t="shared" si="55"/>
        <v>32.082866990277395</v>
      </c>
      <c r="BH16">
        <f t="shared" si="55"/>
        <v>32.103183021896179</v>
      </c>
      <c r="BI16">
        <f t="shared" si="55"/>
        <v>32.123499053514962</v>
      </c>
      <c r="BJ16">
        <f t="shared" si="55"/>
        <v>32.143815085133745</v>
      </c>
      <c r="BK16">
        <f t="shared" si="55"/>
        <v>32.164131116752529</v>
      </c>
      <c r="BL16">
        <f t="shared" si="55"/>
        <v>32.184447148371312</v>
      </c>
      <c r="BM16">
        <f t="shared" si="55"/>
        <v>32.204763179990096</v>
      </c>
      <c r="BN16">
        <f t="shared" si="55"/>
        <v>32.225079211608879</v>
      </c>
      <c r="BO16">
        <f t="shared" si="55"/>
        <v>32.245395243227662</v>
      </c>
      <c r="BP16">
        <f t="shared" si="55"/>
        <v>32.265711274846446</v>
      </c>
      <c r="BQ16" s="991">
        <f>1.00952871208344*BB16</f>
        <v>32.286027306465265</v>
      </c>
      <c r="BR16">
        <f t="shared" ref="BR16:BU18" si="56">($BV16-$BQ16)/5+BQ16</f>
        <v>32.306536923700044</v>
      </c>
      <c r="BS16">
        <f t="shared" si="56"/>
        <v>32.327046540934823</v>
      </c>
      <c r="BT16">
        <f t="shared" si="56"/>
        <v>32.347556158169603</v>
      </c>
      <c r="BU16">
        <f t="shared" si="56"/>
        <v>32.368065775404382</v>
      </c>
      <c r="BV16" s="994">
        <f>1.00317623736115*BQ16</f>
        <v>32.388575392639169</v>
      </c>
      <c r="BW16" s="1298">
        <f>+BV16*BW$139/BV$139</f>
        <v>32.37431458077026</v>
      </c>
      <c r="BX16" s="1298">
        <f t="shared" ref="BX16:CZ16" si="57">+BW16*BX$139/BW$139</f>
        <v>32.360060047990594</v>
      </c>
      <c r="BY16" s="1298">
        <f t="shared" si="57"/>
        <v>32.345811791535453</v>
      </c>
      <c r="BZ16" s="1298">
        <f t="shared" si="57"/>
        <v>32.331569808641355</v>
      </c>
      <c r="CA16" s="1298">
        <f t="shared" si="57"/>
        <v>32.317334096546027</v>
      </c>
      <c r="CB16" s="1298">
        <f t="shared" si="57"/>
        <v>32.291448416621037</v>
      </c>
      <c r="CC16" s="1298">
        <f t="shared" si="57"/>
        <v>32.265583470721417</v>
      </c>
      <c r="CD16" s="1298">
        <f t="shared" si="57"/>
        <v>32.239739242239537</v>
      </c>
      <c r="CE16" s="1298">
        <f t="shared" si="57"/>
        <v>32.213915714581077</v>
      </c>
      <c r="CF16" s="1298">
        <f t="shared" si="57"/>
        <v>32.188112871164996</v>
      </c>
      <c r="CG16" s="1298">
        <f t="shared" si="57"/>
        <v>32.152568008354812</v>
      </c>
      <c r="CH16" s="1298">
        <f t="shared" si="57"/>
        <v>32.11706239721736</v>
      </c>
      <c r="CI16" s="1298">
        <f t="shared" si="57"/>
        <v>32.081595994407593</v>
      </c>
      <c r="CJ16" s="1298">
        <f t="shared" si="57"/>
        <v>32.046168756628319</v>
      </c>
      <c r="CK16" s="1298">
        <f t="shared" si="57"/>
        <v>32.010780640630173</v>
      </c>
      <c r="CL16" s="1298">
        <f t="shared" si="57"/>
        <v>31.972198945666406</v>
      </c>
      <c r="CM16" s="1298">
        <f t="shared" si="57"/>
        <v>31.933663752136113</v>
      </c>
      <c r="CN16" s="1298">
        <f t="shared" si="57"/>
        <v>31.895175003992414</v>
      </c>
      <c r="CO16" s="1298">
        <f t="shared" si="57"/>
        <v>31.856732645255992</v>
      </c>
      <c r="CP16" s="1298">
        <f t="shared" si="57"/>
        <v>31.818336620015</v>
      </c>
      <c r="CQ16" s="1298">
        <f t="shared" si="57"/>
        <v>31.773863996680806</v>
      </c>
      <c r="CR16" s="1298">
        <f t="shared" si="57"/>
        <v>31.729453532919873</v>
      </c>
      <c r="CS16" s="1298">
        <f t="shared" si="57"/>
        <v>31.685105141851508</v>
      </c>
      <c r="CT16" s="1298">
        <f t="shared" si="57"/>
        <v>31.640818736716444</v>
      </c>
      <c r="CU16" s="1298">
        <f t="shared" si="57"/>
        <v>31.596594230876679</v>
      </c>
      <c r="CV16" s="1298">
        <f t="shared" si="57"/>
        <v>31.553423239824536</v>
      </c>
      <c r="CW16" s="1298">
        <f t="shared" si="57"/>
        <v>31.510311234068549</v>
      </c>
      <c r="CX16" s="1298">
        <f t="shared" si="57"/>
        <v>31.467258133016063</v>
      </c>
      <c r="CY16" s="1298">
        <f t="shared" si="57"/>
        <v>31.424263856184528</v>
      </c>
      <c r="CZ16" s="1298">
        <f t="shared" si="57"/>
        <v>31.381328323201359</v>
      </c>
    </row>
    <row r="17" spans="1:104">
      <c r="A17" s="890" t="str">
        <f>'HyARC Physical Property Data'!A77</f>
        <v>Industrial Electricity</v>
      </c>
      <c r="B17">
        <v>2007</v>
      </c>
      <c r="C17" s="811">
        <f t="shared" si="37"/>
        <v>1.1446359956438654</v>
      </c>
      <c r="D17" s="890" t="str">
        <f>'HyARC Physical Property Data'!$H$77</f>
        <v>kWh</v>
      </c>
      <c r="E17" s="811" t="s">
        <v>1067</v>
      </c>
      <c r="F17" s="811"/>
      <c r="G17" s="811"/>
      <c r="H17">
        <f>(18.4008941650391/(mmBTU_to_GJ))*($C$17)</f>
        <v>19.964289870461542</v>
      </c>
      <c r="I17">
        <f>(18.4008941650391/(mmBTU_to_GJ))*($C$17)</f>
        <v>19.964289870461542</v>
      </c>
      <c r="J17">
        <f>(18.4008941650391/(mmBTU_to_GJ))*($C$17)</f>
        <v>19.964289870461542</v>
      </c>
      <c r="K17">
        <f>(18.6226921081543/(mmBTU_to_GJ))*($C$17)</f>
        <v>20.204932438660048</v>
      </c>
      <c r="L17">
        <f>(20.3344097137451/(mmBTU_to_GJ))*($C$17)</f>
        <v>22.062082756893755</v>
      </c>
      <c r="M17">
        <f>(19.1594867706299/(mmBTU_to_GJ))*($C$17)</f>
        <v>20.787334801635478</v>
      </c>
      <c r="N17">
        <f>(16.8281726837158/(mmBTU_to_GJ))*($C$17)</f>
        <v>18.257945208238802</v>
      </c>
      <c r="O17">
        <f>(17.2643089294434/(mmBTU_to_GJ))*($C$17)</f>
        <v>18.731136910480302</v>
      </c>
      <c r="P17">
        <f>(17.1560707092285/(mmBTU_to_GJ))*($C$17)</f>
        <v>18.61370244321737</v>
      </c>
      <c r="Q17">
        <f>(17.0836048126221/(mmBTU_to_GJ))*($C$17)</f>
        <v>18.535079624532727</v>
      </c>
      <c r="R17">
        <f>(17.1988334655762/(mmBTU_to_GJ))*($C$17)</f>
        <v>18.660098452874735</v>
      </c>
      <c r="S17">
        <f>(17.3181438446045/(mmBTU_to_GJ))*($C$17)</f>
        <v>18.789545803101944</v>
      </c>
      <c r="T17">
        <f>(17.6150741577148/(mmBTU_to_GJ))*($C$17)</f>
        <v>19.111704215029771</v>
      </c>
      <c r="U17">
        <f>(17.9101543426514/(mmBTU_to_GJ))*($C$17)</f>
        <v>19.431855306290132</v>
      </c>
      <c r="V17">
        <f>(18.2101707458496/(mmBTU_to_GJ))*($C$17)</f>
        <v>19.757362011867627</v>
      </c>
      <c r="W17">
        <f>(18.456880569458/(mmBTU_to_GJ))*($C$17)</f>
        <v>20.025033049385286</v>
      </c>
      <c r="X17">
        <f>(18.8030014038086/(mmBTU_to_GJ))*($C$17)</f>
        <v>20.400561358238349</v>
      </c>
      <c r="Y17">
        <f>(19.0852069854736/(mmBTU_to_GJ))*($C$17)</f>
        <v>20.706743980935386</v>
      </c>
      <c r="Z17">
        <f>(19.30615234375/(mmBTU_to_GJ))*($C$17)</f>
        <v>20.946461526104674</v>
      </c>
      <c r="AA17">
        <f>(19.3043308258057/(mmBTU_to_GJ))*($C$17)</f>
        <v>20.944485246478358</v>
      </c>
      <c r="AB17">
        <f>(19.3253479003906/(mmBTU_to_GJ))*($C$17)</f>
        <v>20.967287995381685</v>
      </c>
      <c r="AC17">
        <f>(19.3248138427734/(mmBTU_to_GJ))*($C$17)</f>
        <v>20.966708562611643</v>
      </c>
      <c r="AD17">
        <f>(19.3542194366455/(mmBTU_to_GJ))*($C$17)</f>
        <v>20.998612544810026</v>
      </c>
      <c r="AE17">
        <f>(19.6148834228516/(mmBTU_to_GJ))*($C$17)</f>
        <v>21.281423332847481</v>
      </c>
      <c r="AF17">
        <f>(19.97239112854/(mmBTU_to_GJ))*($C$17)</f>
        <v>21.669305976118565</v>
      </c>
      <c r="AG17">
        <f>(20.29469871521/(mmBTU_to_GJ))*($C$17)</f>
        <v>22.018997791636661</v>
      </c>
      <c r="AH17">
        <f>(20.5609893798828/(mmBTU_to_GJ))*($C$17)</f>
        <v>22.307913317786817</v>
      </c>
      <c r="AI17">
        <f t="shared" si="54"/>
        <v>22.301336040416132</v>
      </c>
      <c r="AJ17">
        <f t="shared" si="54"/>
        <v>22.294758763045447</v>
      </c>
      <c r="AK17">
        <f t="shared" si="54"/>
        <v>22.288181485674762</v>
      </c>
      <c r="AL17">
        <f t="shared" si="54"/>
        <v>22.281604208304078</v>
      </c>
      <c r="AM17">
        <f t="shared" si="54"/>
        <v>22.275026930933393</v>
      </c>
      <c r="AN17">
        <f t="shared" si="54"/>
        <v>22.268449653562708</v>
      </c>
      <c r="AO17">
        <f t="shared" si="54"/>
        <v>22.261872376192024</v>
      </c>
      <c r="AP17">
        <f t="shared" si="54"/>
        <v>22.255295098821339</v>
      </c>
      <c r="AQ17">
        <f t="shared" si="54"/>
        <v>22.248717821450654</v>
      </c>
      <c r="AR17">
        <f t="shared" si="54"/>
        <v>22.24214054407997</v>
      </c>
      <c r="AS17">
        <f t="shared" si="54"/>
        <v>22.235563266709285</v>
      </c>
      <c r="AT17">
        <f t="shared" si="54"/>
        <v>22.2289859893386</v>
      </c>
      <c r="AU17">
        <f t="shared" si="54"/>
        <v>22.222408711967915</v>
      </c>
      <c r="AV17">
        <f t="shared" si="54"/>
        <v>22.215831434597231</v>
      </c>
      <c r="AW17">
        <f t="shared" si="54"/>
        <v>22.209254157226546</v>
      </c>
      <c r="AX17">
        <f t="shared" si="54"/>
        <v>22.202676879855861</v>
      </c>
      <c r="AY17">
        <f t="shared" si="54"/>
        <v>22.196099602485177</v>
      </c>
      <c r="AZ17">
        <f t="shared" si="54"/>
        <v>22.189522325114492</v>
      </c>
      <c r="BA17">
        <f t="shared" si="54"/>
        <v>22.182945047743807</v>
      </c>
      <c r="BB17" s="991">
        <f>0.994103189054944*AH17</f>
        <v>22.17636777037313</v>
      </c>
      <c r="BC17">
        <f t="shared" si="55"/>
        <v>22.190455251942488</v>
      </c>
      <c r="BD17">
        <f t="shared" si="55"/>
        <v>22.204542733511847</v>
      </c>
      <c r="BE17">
        <f t="shared" si="55"/>
        <v>22.218630215081205</v>
      </c>
      <c r="BF17">
        <f t="shared" si="55"/>
        <v>22.232717696650564</v>
      </c>
      <c r="BG17">
        <f t="shared" si="55"/>
        <v>22.246805178219923</v>
      </c>
      <c r="BH17">
        <f t="shared" si="55"/>
        <v>22.260892659789281</v>
      </c>
      <c r="BI17">
        <f t="shared" si="55"/>
        <v>22.27498014135864</v>
      </c>
      <c r="BJ17">
        <f t="shared" si="55"/>
        <v>22.289067622927998</v>
      </c>
      <c r="BK17">
        <f t="shared" si="55"/>
        <v>22.303155104497357</v>
      </c>
      <c r="BL17">
        <f t="shared" si="55"/>
        <v>22.317242586066715</v>
      </c>
      <c r="BM17">
        <f t="shared" si="55"/>
        <v>22.331330067636074</v>
      </c>
      <c r="BN17">
        <f t="shared" si="55"/>
        <v>22.345417549205433</v>
      </c>
      <c r="BO17">
        <f t="shared" si="55"/>
        <v>22.359505030774791</v>
      </c>
      <c r="BP17">
        <f t="shared" si="55"/>
        <v>22.37359251234415</v>
      </c>
      <c r="BQ17" s="991">
        <f>1.00952871208344*BB17</f>
        <v>22.387679993913494</v>
      </c>
      <c r="BR17">
        <f t="shared" si="56"/>
        <v>22.401901711038722</v>
      </c>
      <c r="BS17">
        <f t="shared" si="56"/>
        <v>22.416123428163949</v>
      </c>
      <c r="BT17">
        <f t="shared" si="56"/>
        <v>22.430345145289177</v>
      </c>
      <c r="BU17">
        <f t="shared" si="56"/>
        <v>22.444566862414405</v>
      </c>
      <c r="BV17" s="994">
        <f>1.00317623736115*BQ17</f>
        <v>22.458788579539629</v>
      </c>
      <c r="BW17" s="1298">
        <f>+BV17*BW$140/BV$140</f>
        <v>22.465574719294207</v>
      </c>
      <c r="BX17" s="1298">
        <f t="shared" ref="BX17:CZ17" si="58">+BW17*BX$140/BW$140</f>
        <v>22.472362909546415</v>
      </c>
      <c r="BY17" s="1298">
        <f t="shared" si="58"/>
        <v>22.479153150915831</v>
      </c>
      <c r="BZ17" s="1298">
        <f t="shared" si="58"/>
        <v>22.485945444022224</v>
      </c>
      <c r="CA17" s="1298">
        <f t="shared" si="58"/>
        <v>22.492739789485537</v>
      </c>
      <c r="CB17" s="1298">
        <f t="shared" si="58"/>
        <v>22.49019603346196</v>
      </c>
      <c r="CC17" s="1298">
        <f t="shared" si="58"/>
        <v>22.487652565117642</v>
      </c>
      <c r="CD17" s="1298">
        <f t="shared" si="58"/>
        <v>22.485109384420049</v>
      </c>
      <c r="CE17" s="1298">
        <f t="shared" si="58"/>
        <v>22.482566491336648</v>
      </c>
      <c r="CF17" s="1298">
        <f t="shared" si="58"/>
        <v>22.480023885834914</v>
      </c>
      <c r="CG17" s="1298">
        <f t="shared" si="58"/>
        <v>22.469826748009918</v>
      </c>
      <c r="CH17" s="1298">
        <f t="shared" si="58"/>
        <v>22.459634235696903</v>
      </c>
      <c r="CI17" s="1298">
        <f t="shared" si="58"/>
        <v>22.449446346797696</v>
      </c>
      <c r="CJ17" s="1298">
        <f t="shared" si="58"/>
        <v>22.439263079215074</v>
      </c>
      <c r="CK17" s="1298">
        <f t="shared" si="58"/>
        <v>22.429084430852768</v>
      </c>
      <c r="CL17" s="1298">
        <f t="shared" si="58"/>
        <v>22.41659732007183</v>
      </c>
      <c r="CM17" s="1298">
        <f t="shared" si="58"/>
        <v>22.404117161332831</v>
      </c>
      <c r="CN17" s="1298">
        <f t="shared" si="58"/>
        <v>22.39164395076531</v>
      </c>
      <c r="CO17" s="1298">
        <f t="shared" si="58"/>
        <v>22.379177684500963</v>
      </c>
      <c r="CP17" s="1298">
        <f t="shared" si="58"/>
        <v>22.36671835867363</v>
      </c>
      <c r="CQ17" s="1298">
        <f t="shared" si="58"/>
        <v>22.349648462331068</v>
      </c>
      <c r="CR17" s="1298">
        <f t="shared" si="58"/>
        <v>22.332591593441013</v>
      </c>
      <c r="CS17" s="1298">
        <f t="shared" si="58"/>
        <v>22.315547742061138</v>
      </c>
      <c r="CT17" s="1298">
        <f t="shared" si="58"/>
        <v>22.2985168982567</v>
      </c>
      <c r="CU17" s="1298">
        <f t="shared" si="58"/>
        <v>22.281499052100536</v>
      </c>
      <c r="CV17" s="1298">
        <f t="shared" si="58"/>
        <v>22.265499049909142</v>
      </c>
      <c r="CW17" s="1298">
        <f t="shared" si="58"/>
        <v>22.249510537073537</v>
      </c>
      <c r="CX17" s="1298">
        <f t="shared" si="58"/>
        <v>22.233533505343395</v>
      </c>
      <c r="CY17" s="1298">
        <f t="shared" si="58"/>
        <v>22.217567946474304</v>
      </c>
      <c r="CZ17" s="1298">
        <f t="shared" si="58"/>
        <v>22.20161385222778</v>
      </c>
    </row>
    <row r="18" spans="1:104" ht="13.5" thickBot="1">
      <c r="A18" s="893" t="str">
        <f>'HyARC Physical Property Data'!A78</f>
        <v>Residential Electricity</v>
      </c>
      <c r="B18" s="541">
        <v>2007</v>
      </c>
      <c r="C18" s="816">
        <f t="shared" si="37"/>
        <v>1.1446359956438654</v>
      </c>
      <c r="D18" s="893" t="str">
        <f>'HyARC Physical Property Data'!$H$78</f>
        <v>kWh</v>
      </c>
      <c r="E18" s="816" t="s">
        <v>1067</v>
      </c>
      <c r="F18" s="541"/>
      <c r="G18" s="541"/>
      <c r="H18" s="541">
        <f>(31.2067794799805/(mmBTU_to_GJ))*($C$18)</f>
        <v>33.858201991380128</v>
      </c>
      <c r="I18" s="541">
        <f>(31.2067794799805/(mmBTU_to_GJ))*($C$18)</f>
        <v>33.858201991380128</v>
      </c>
      <c r="J18" s="541">
        <f>(31.2067794799805/(mmBTU_to_GJ))*($C$18)</f>
        <v>33.858201991380128</v>
      </c>
      <c r="K18" s="541">
        <f>(31.181957244873/(mmBTU_to_GJ))*($C$18)</f>
        <v>33.831270783990192</v>
      </c>
      <c r="L18" s="541">
        <f>(31.772819519043/(mmBTU_to_GJ))*($C$18)</f>
        <v>34.472334506722866</v>
      </c>
      <c r="M18" s="541">
        <f>(30.736837387085/(mmBTU_to_GJ))*($C$18)</f>
        <v>33.348332194795859</v>
      </c>
      <c r="N18" s="541">
        <f>(28.6163578033447/(mmBTU_to_GJ))*($C$18)</f>
        <v>31.047690242590104</v>
      </c>
      <c r="O18" s="541">
        <f>(29.8736190795898/(mmBTU_to_GJ))*($C$18)</f>
        <v>32.411772245167633</v>
      </c>
      <c r="P18" s="541">
        <f>(30.101655960083/(mmBTU_to_GJ))*($C$18)</f>
        <v>32.659183829761808</v>
      </c>
      <c r="Q18" s="541">
        <f>(30.4253902435303/(mmBTU_to_GJ))*($C$18)</f>
        <v>33.010423558536921</v>
      </c>
      <c r="R18" s="541">
        <f>(30.7938537597656/(mmBTU_to_GJ))*($C$18)</f>
        <v>33.410192851204634</v>
      </c>
      <c r="S18" s="541">
        <f>(30.8830280303955/(mmBTU_to_GJ))*($C$18)</f>
        <v>33.50694363798025</v>
      </c>
      <c r="T18" s="541">
        <f>(31.1491451263428/(mmBTU_to_GJ))*($C$18)</f>
        <v>33.795670848480235</v>
      </c>
      <c r="U18" s="541">
        <f>(31.4898681640625/(mmBTU_to_GJ))*($C$18)</f>
        <v>34.165342747550469</v>
      </c>
      <c r="V18" s="541">
        <f>(31.8156299591064/(mmBTU_to_GJ))*($C$18)</f>
        <v>34.518782251448862</v>
      </c>
      <c r="W18" s="541">
        <f>(32.0206985473633/(mmBTU_to_GJ))*($C$18)</f>
        <v>34.741274088126325</v>
      </c>
      <c r="X18" s="541">
        <f>(32.4303588867188/(mmBTU_to_GJ))*($C$18)</f>
        <v>35.185740410793606</v>
      </c>
      <c r="Y18" s="541">
        <f>(32.7907905578613/(mmBTU_to_GJ))*($C$18)</f>
        <v>35.576795448480595</v>
      </c>
      <c r="Z18" s="541">
        <f>(32.9940071105957/(mmBTU_to_GJ))*($C$18)</f>
        <v>35.797277895087667</v>
      </c>
      <c r="AA18" s="541">
        <f>(32.9234657287598/(mmBTU_to_GJ))*($C$18)</f>
        <v>35.720743103777878</v>
      </c>
      <c r="AB18" s="541">
        <f>(32.9201545715332/(mmBTU_to_GJ))*($C$18)</f>
        <v>35.717150620603661</v>
      </c>
      <c r="AC18" s="541">
        <f>(32.902271270752/(mmBTU_to_GJ))*($C$18)</f>
        <v>35.69774790041874</v>
      </c>
      <c r="AD18" s="541">
        <f>(32.9582405090332/(mmBTU_to_GJ))*($C$18)</f>
        <v>35.758472454717726</v>
      </c>
      <c r="AE18" s="541">
        <f>(33.321102142334/(mmBTU_to_GJ))*($C$18)</f>
        <v>36.152163911508453</v>
      </c>
      <c r="AF18" s="541">
        <f>(33.7343635559082/(mmBTU_to_GJ))*($C$18)</f>
        <v>36.600537266567883</v>
      </c>
      <c r="AG18" s="541">
        <f>(34.1495399475098/(mmBTU_to_GJ))*($C$18)</f>
        <v>37.050988301988475</v>
      </c>
      <c r="AH18" s="541">
        <f>(34.4904899597167/(mmBTU_to_GJ))*($C$18)</f>
        <v>37.420906459985844</v>
      </c>
      <c r="AI18" s="541">
        <f t="shared" si="54"/>
        <v>37.409873259446485</v>
      </c>
      <c r="AJ18" s="541">
        <f t="shared" si="54"/>
        <v>37.398840058907126</v>
      </c>
      <c r="AK18" s="541">
        <f t="shared" si="54"/>
        <v>37.387806858367767</v>
      </c>
      <c r="AL18" s="541">
        <f t="shared" si="54"/>
        <v>37.376773657828409</v>
      </c>
      <c r="AM18" s="541">
        <f t="shared" si="54"/>
        <v>37.36574045728905</v>
      </c>
      <c r="AN18" s="541">
        <f t="shared" si="54"/>
        <v>37.354707256749691</v>
      </c>
      <c r="AO18" s="541">
        <f t="shared" si="54"/>
        <v>37.343674056210332</v>
      </c>
      <c r="AP18" s="541">
        <f t="shared" si="54"/>
        <v>37.332640855670974</v>
      </c>
      <c r="AQ18" s="541">
        <f t="shared" si="54"/>
        <v>37.321607655131615</v>
      </c>
      <c r="AR18" s="541">
        <f t="shared" si="54"/>
        <v>37.310574454592256</v>
      </c>
      <c r="AS18" s="541">
        <f t="shared" si="54"/>
        <v>37.299541254052897</v>
      </c>
      <c r="AT18" s="541">
        <f t="shared" si="54"/>
        <v>37.288508053513539</v>
      </c>
      <c r="AU18" s="541">
        <f t="shared" si="54"/>
        <v>37.27747485297418</v>
      </c>
      <c r="AV18" s="541">
        <f t="shared" si="54"/>
        <v>37.266441652434821</v>
      </c>
      <c r="AW18" s="541">
        <f t="shared" si="54"/>
        <v>37.255408451895462</v>
      </c>
      <c r="AX18" s="541">
        <f t="shared" si="54"/>
        <v>37.244375251356104</v>
      </c>
      <c r="AY18" s="541">
        <f t="shared" si="54"/>
        <v>37.233342050816745</v>
      </c>
      <c r="AZ18" s="541">
        <f t="shared" si="54"/>
        <v>37.222308850277386</v>
      </c>
      <c r="BA18" s="541">
        <f t="shared" si="54"/>
        <v>37.211275649738027</v>
      </c>
      <c r="BB18" s="995">
        <f>0.994103189054944*AH18</f>
        <v>37.200242449198683</v>
      </c>
      <c r="BC18" s="541">
        <f t="shared" si="55"/>
        <v>37.223873809180851</v>
      </c>
      <c r="BD18" s="541">
        <f t="shared" si="55"/>
        <v>37.24750516916302</v>
      </c>
      <c r="BE18" s="541">
        <f t="shared" si="55"/>
        <v>37.271136529145188</v>
      </c>
      <c r="BF18" s="541">
        <f t="shared" si="55"/>
        <v>37.294767889127357</v>
      </c>
      <c r="BG18" s="541">
        <f t="shared" si="55"/>
        <v>37.318399249109525</v>
      </c>
      <c r="BH18" s="541">
        <f t="shared" si="55"/>
        <v>37.342030609091694</v>
      </c>
      <c r="BI18" s="541">
        <f t="shared" si="55"/>
        <v>37.365661969073862</v>
      </c>
      <c r="BJ18" s="541">
        <f t="shared" si="55"/>
        <v>37.389293329056031</v>
      </c>
      <c r="BK18" s="541">
        <f t="shared" si="55"/>
        <v>37.412924689038199</v>
      </c>
      <c r="BL18" s="541">
        <f t="shared" si="55"/>
        <v>37.436556049020368</v>
      </c>
      <c r="BM18" s="541">
        <f t="shared" si="55"/>
        <v>37.460187409002536</v>
      </c>
      <c r="BN18" s="541">
        <f t="shared" si="55"/>
        <v>37.483818768984705</v>
      </c>
      <c r="BO18" s="541">
        <f t="shared" si="55"/>
        <v>37.507450128966873</v>
      </c>
      <c r="BP18" s="541">
        <f t="shared" si="55"/>
        <v>37.531081488949042</v>
      </c>
      <c r="BQ18" s="995">
        <f>1.00952871208344*BB18</f>
        <v>37.55471284893126</v>
      </c>
      <c r="BR18" s="541">
        <f t="shared" si="56"/>
        <v>37.578569385338866</v>
      </c>
      <c r="BS18" s="541">
        <f t="shared" si="56"/>
        <v>37.602425921746473</v>
      </c>
      <c r="BT18" s="541">
        <f t="shared" si="56"/>
        <v>37.62628245815408</v>
      </c>
      <c r="BU18" s="541">
        <f t="shared" si="56"/>
        <v>37.650138994561686</v>
      </c>
      <c r="BV18" s="996">
        <f>1.00317623736115*BQ18</f>
        <v>37.673995530969293</v>
      </c>
      <c r="BW18" s="1298">
        <f>+BV18*BW$141/BV$141</f>
        <v>37.657407528684409</v>
      </c>
      <c r="BX18" s="1298">
        <f t="shared" ref="BX18:CZ18" si="59">+BW18*BX$141/BW$141</f>
        <v>37.640826830159476</v>
      </c>
      <c r="BY18" s="1298">
        <f t="shared" si="59"/>
        <v>37.62425343217862</v>
      </c>
      <c r="BZ18" s="1298">
        <f t="shared" si="59"/>
        <v>37.607687331527387</v>
      </c>
      <c r="CA18" s="1298">
        <f t="shared" si="59"/>
        <v>37.59112852499274</v>
      </c>
      <c r="CB18" s="1298">
        <f t="shared" si="59"/>
        <v>37.561018618089207</v>
      </c>
      <c r="CC18" s="1298">
        <f t="shared" si="59"/>
        <v>37.530932828750899</v>
      </c>
      <c r="CD18" s="1298">
        <f t="shared" si="59"/>
        <v>37.500871137660013</v>
      </c>
      <c r="CE18" s="1298">
        <f t="shared" si="59"/>
        <v>37.47083352551423</v>
      </c>
      <c r="CF18" s="1298">
        <f t="shared" si="59"/>
        <v>37.440819973026684</v>
      </c>
      <c r="CG18" s="1298">
        <f t="shared" si="59"/>
        <v>37.399474622500279</v>
      </c>
      <c r="CH18" s="1298">
        <f t="shared" si="59"/>
        <v>37.358174929040445</v>
      </c>
      <c r="CI18" s="1298">
        <f t="shared" si="59"/>
        <v>37.316920842228761</v>
      </c>
      <c r="CJ18" s="1298">
        <f t="shared" si="59"/>
        <v>37.275712311702456</v>
      </c>
      <c r="CK18" s="1298">
        <f t="shared" si="59"/>
        <v>37.234549287154408</v>
      </c>
      <c r="CL18" s="1298">
        <f t="shared" si="59"/>
        <v>37.189671530537417</v>
      </c>
      <c r="CM18" s="1298">
        <f t="shared" si="59"/>
        <v>37.144847863820196</v>
      </c>
      <c r="CN18" s="1298">
        <f t="shared" si="59"/>
        <v>37.100078221809703</v>
      </c>
      <c r="CO18" s="1298">
        <f t="shared" si="59"/>
        <v>37.055362539391488</v>
      </c>
      <c r="CP18" s="1298">
        <f t="shared" si="59"/>
        <v>37.010700751529562</v>
      </c>
      <c r="CQ18" s="1298">
        <f t="shared" si="59"/>
        <v>36.958970738942355</v>
      </c>
      <c r="CR18" s="1298">
        <f t="shared" si="59"/>
        <v>36.907313029611991</v>
      </c>
      <c r="CS18" s="1298">
        <f t="shared" si="59"/>
        <v>36.855727522479896</v>
      </c>
      <c r="CT18" s="1298">
        <f t="shared" si="59"/>
        <v>36.804214116628756</v>
      </c>
      <c r="CU18" s="1298">
        <f t="shared" si="59"/>
        <v>36.752772711282311</v>
      </c>
      <c r="CV18" s="1298">
        <f t="shared" si="59"/>
        <v>36.70255674147662</v>
      </c>
      <c r="CW18" s="1298">
        <f t="shared" si="59"/>
        <v>36.652409382647399</v>
      </c>
      <c r="CX18" s="1298">
        <f t="shared" si="59"/>
        <v>36.602330541050243</v>
      </c>
      <c r="CY18" s="1298">
        <f t="shared" si="59"/>
        <v>36.552320123068824</v>
      </c>
      <c r="CZ18" s="1298">
        <f t="shared" si="59"/>
        <v>36.502378035214747</v>
      </c>
    </row>
    <row r="19" spans="1:104" ht="13.5" thickTop="1"/>
    <row r="21" spans="1:104" ht="13.5" thickBot="1"/>
    <row r="22" spans="1:104" ht="13.5" thickTop="1">
      <c r="A22" s="805" t="s">
        <v>1101</v>
      </c>
      <c r="B22" s="656" t="str">
        <f>"Prices are in $(" &amp; ref_year&amp;")/GJ LHV"</f>
        <v>Prices are in $(2016)/GJ LHV</v>
      </c>
      <c r="C22" s="806"/>
      <c r="D22" s="806"/>
      <c r="E22" s="806"/>
      <c r="F22" s="806"/>
      <c r="G22" s="806"/>
      <c r="H22" s="806"/>
      <c r="I22" s="806"/>
      <c r="J22" s="806"/>
      <c r="K22" s="806"/>
      <c r="L22" s="806"/>
      <c r="M22" s="806"/>
      <c r="N22" s="806"/>
      <c r="O22" s="806"/>
      <c r="P22" s="806"/>
      <c r="Q22" s="806"/>
      <c r="R22" s="806"/>
      <c r="S22" s="806"/>
      <c r="T22" s="806"/>
      <c r="U22" s="806"/>
      <c r="V22" s="806"/>
      <c r="W22" s="806"/>
      <c r="X22" s="806"/>
      <c r="Y22" s="806"/>
      <c r="Z22" s="806"/>
      <c r="AA22" s="806"/>
      <c r="AB22" s="806"/>
      <c r="AC22" s="806"/>
      <c r="AD22" s="806"/>
      <c r="AE22" s="806"/>
      <c r="AF22" s="806"/>
      <c r="AG22" s="806"/>
      <c r="AH22" s="806"/>
      <c r="AI22" s="806"/>
      <c r="AJ22" s="806"/>
      <c r="AK22" s="806"/>
      <c r="AL22" s="806"/>
      <c r="AM22" s="806"/>
      <c r="AN22" s="806"/>
      <c r="AO22" s="806"/>
      <c r="AP22" s="806"/>
      <c r="AQ22" s="806"/>
      <c r="AR22" s="806"/>
      <c r="AS22" s="817" t="s">
        <v>771</v>
      </c>
      <c r="AT22" s="818"/>
      <c r="AU22" s="818"/>
      <c r="AV22" s="818"/>
      <c r="AW22" s="818"/>
      <c r="AX22" s="818"/>
      <c r="AY22" s="818"/>
      <c r="AZ22" s="818"/>
      <c r="BA22" s="818"/>
      <c r="BB22" s="818"/>
      <c r="BC22" s="818"/>
      <c r="BD22" s="818"/>
      <c r="BE22" s="818"/>
      <c r="BF22" s="818"/>
      <c r="BG22" s="818"/>
      <c r="BH22" s="818"/>
      <c r="BI22" s="818"/>
      <c r="BJ22" s="818"/>
      <c r="BK22" s="818"/>
      <c r="BL22" s="818"/>
      <c r="BM22" s="818"/>
      <c r="BN22" s="818"/>
      <c r="BO22" s="818"/>
      <c r="BP22" s="818"/>
      <c r="BQ22" s="818"/>
      <c r="BR22" s="818"/>
      <c r="BS22" s="818"/>
      <c r="BT22" s="818"/>
      <c r="BU22" s="818"/>
      <c r="BV22" s="819"/>
    </row>
    <row r="23" spans="1:104" ht="51.75" thickBot="1">
      <c r="A23" s="821" t="s">
        <v>1080</v>
      </c>
      <c r="B23" s="822" t="s">
        <v>677</v>
      </c>
      <c r="C23" s="822" t="s">
        <v>678</v>
      </c>
      <c r="D23" s="822" t="s">
        <v>689</v>
      </c>
      <c r="E23" s="822" t="s">
        <v>690</v>
      </c>
      <c r="F23" s="1" t="s">
        <v>679</v>
      </c>
      <c r="G23" s="1" t="s">
        <v>691</v>
      </c>
      <c r="H23" s="984">
        <v>2004</v>
      </c>
      <c r="I23" s="984">
        <v>2005</v>
      </c>
      <c r="J23" s="984">
        <v>2006</v>
      </c>
      <c r="K23" s="984">
        <v>2007</v>
      </c>
      <c r="L23" s="984">
        <v>2008</v>
      </c>
      <c r="M23" s="984">
        <v>2009</v>
      </c>
      <c r="N23" s="1">
        <v>2010</v>
      </c>
      <c r="O23" s="1">
        <v>2011</v>
      </c>
      <c r="P23" s="1">
        <v>2012</v>
      </c>
      <c r="Q23" s="1">
        <v>2013</v>
      </c>
      <c r="R23" s="1">
        <v>2014</v>
      </c>
      <c r="S23" s="1">
        <v>2015</v>
      </c>
      <c r="T23" s="1">
        <v>2016</v>
      </c>
      <c r="U23" s="1">
        <v>2017</v>
      </c>
      <c r="V23" s="1">
        <v>2018</v>
      </c>
      <c r="W23" s="1">
        <v>2019</v>
      </c>
      <c r="X23" s="1">
        <v>2020</v>
      </c>
      <c r="Y23" s="1">
        <v>2021</v>
      </c>
      <c r="Z23" s="1">
        <v>2022</v>
      </c>
      <c r="AA23" s="1">
        <v>2023</v>
      </c>
      <c r="AB23" s="1">
        <v>2024</v>
      </c>
      <c r="AC23" s="1">
        <v>2025</v>
      </c>
      <c r="AD23" s="1">
        <v>2026</v>
      </c>
      <c r="AE23" s="1">
        <v>2027</v>
      </c>
      <c r="AF23" s="1">
        <v>2028</v>
      </c>
      <c r="AG23" s="1">
        <v>2029</v>
      </c>
      <c r="AH23" s="1">
        <v>2030</v>
      </c>
      <c r="AI23" s="1">
        <v>2031</v>
      </c>
      <c r="AJ23" s="1">
        <v>2032</v>
      </c>
      <c r="AK23" s="1">
        <v>2033</v>
      </c>
      <c r="AL23" s="1">
        <v>2034</v>
      </c>
      <c r="AM23" s="1">
        <v>2035</v>
      </c>
      <c r="AN23" s="1">
        <v>2036</v>
      </c>
      <c r="AO23" s="1">
        <v>2037</v>
      </c>
      <c r="AP23" s="1">
        <v>2038</v>
      </c>
      <c r="AQ23" s="1">
        <v>2039</v>
      </c>
      <c r="AR23" s="1">
        <v>2040</v>
      </c>
      <c r="AS23" s="1">
        <v>2041</v>
      </c>
      <c r="AT23" s="1">
        <v>2042</v>
      </c>
      <c r="AU23" s="1">
        <v>2043</v>
      </c>
      <c r="AV23" s="1">
        <v>2044</v>
      </c>
      <c r="AW23" s="1">
        <v>2045</v>
      </c>
      <c r="AX23" s="1">
        <v>2046</v>
      </c>
      <c r="AY23" s="1">
        <v>2047</v>
      </c>
      <c r="AZ23" s="1">
        <v>2048</v>
      </c>
      <c r="BA23" s="1">
        <v>2049</v>
      </c>
      <c r="BB23" s="1">
        <v>2050</v>
      </c>
      <c r="BC23" s="1">
        <v>2051</v>
      </c>
      <c r="BD23" s="1">
        <v>2052</v>
      </c>
      <c r="BE23" s="1">
        <v>2053</v>
      </c>
      <c r="BF23" s="1">
        <v>2054</v>
      </c>
      <c r="BG23" s="1">
        <v>2055</v>
      </c>
      <c r="BH23" s="1">
        <v>2056</v>
      </c>
      <c r="BI23" s="1">
        <v>2057</v>
      </c>
      <c r="BJ23" s="1">
        <v>2058</v>
      </c>
      <c r="BK23" s="1">
        <v>2059</v>
      </c>
      <c r="BL23" s="1">
        <v>2060</v>
      </c>
      <c r="BM23" s="1">
        <v>2061</v>
      </c>
      <c r="BN23" s="1">
        <v>2062</v>
      </c>
      <c r="BO23" s="1">
        <v>2063</v>
      </c>
      <c r="BP23" s="1">
        <v>2064</v>
      </c>
      <c r="BQ23" s="1">
        <v>2065</v>
      </c>
      <c r="BR23" s="1">
        <v>2066</v>
      </c>
      <c r="BS23" s="1">
        <v>2067</v>
      </c>
      <c r="BT23" s="1">
        <v>2068</v>
      </c>
      <c r="BU23" s="1">
        <v>2069</v>
      </c>
      <c r="BV23" s="823">
        <v>2070</v>
      </c>
      <c r="BW23" s="1299">
        <f t="shared" ref="BW23" si="60">+BV23+1</f>
        <v>2071</v>
      </c>
      <c r="BX23" s="1299">
        <f t="shared" ref="BX23" si="61">+BW23+1</f>
        <v>2072</v>
      </c>
      <c r="BY23" s="1299">
        <f t="shared" ref="BY23" si="62">+BX23+1</f>
        <v>2073</v>
      </c>
      <c r="BZ23" s="1299">
        <f t="shared" ref="BZ23" si="63">+BY23+1</f>
        <v>2074</v>
      </c>
      <c r="CA23" s="1299">
        <f t="shared" ref="CA23" si="64">+BZ23+1</f>
        <v>2075</v>
      </c>
      <c r="CB23" s="1299">
        <f t="shared" ref="CB23" si="65">+CA23+1</f>
        <v>2076</v>
      </c>
      <c r="CC23" s="1299">
        <f t="shared" ref="CC23" si="66">+CB23+1</f>
        <v>2077</v>
      </c>
      <c r="CD23" s="1299">
        <f t="shared" ref="CD23" si="67">+CC23+1</f>
        <v>2078</v>
      </c>
      <c r="CE23" s="1299">
        <f t="shared" ref="CE23" si="68">+CD23+1</f>
        <v>2079</v>
      </c>
      <c r="CF23" s="1299">
        <f t="shared" ref="CF23" si="69">+CE23+1</f>
        <v>2080</v>
      </c>
      <c r="CG23" s="1299">
        <f t="shared" ref="CG23" si="70">+CF23+1</f>
        <v>2081</v>
      </c>
      <c r="CH23" s="1299">
        <f t="shared" ref="CH23" si="71">+CG23+1</f>
        <v>2082</v>
      </c>
      <c r="CI23" s="1299">
        <f t="shared" ref="CI23" si="72">+CH23+1</f>
        <v>2083</v>
      </c>
      <c r="CJ23" s="1299">
        <f t="shared" ref="CJ23" si="73">+CI23+1</f>
        <v>2084</v>
      </c>
      <c r="CK23" s="1299">
        <f t="shared" ref="CK23" si="74">+CJ23+1</f>
        <v>2085</v>
      </c>
      <c r="CL23" s="1299">
        <f t="shared" ref="CL23" si="75">+CK23+1</f>
        <v>2086</v>
      </c>
      <c r="CM23" s="1299">
        <f t="shared" ref="CM23" si="76">+CL23+1</f>
        <v>2087</v>
      </c>
      <c r="CN23" s="1299">
        <f t="shared" ref="CN23" si="77">+CM23+1</f>
        <v>2088</v>
      </c>
      <c r="CO23" s="1299">
        <f t="shared" ref="CO23" si="78">+CN23+1</f>
        <v>2089</v>
      </c>
      <c r="CP23" s="1299">
        <f t="shared" ref="CP23" si="79">+CO23+1</f>
        <v>2090</v>
      </c>
      <c r="CQ23" s="1299">
        <f t="shared" ref="CQ23" si="80">+CP23+1</f>
        <v>2091</v>
      </c>
      <c r="CR23" s="1299">
        <f t="shared" ref="CR23" si="81">+CQ23+1</f>
        <v>2092</v>
      </c>
      <c r="CS23" s="1299">
        <f t="shared" ref="CS23" si="82">+CR23+1</f>
        <v>2093</v>
      </c>
      <c r="CT23" s="1299">
        <f t="shared" ref="CT23" si="83">+CS23+1</f>
        <v>2094</v>
      </c>
      <c r="CU23" s="1299">
        <f t="shared" ref="CU23" si="84">+CT23+1</f>
        <v>2095</v>
      </c>
      <c r="CV23" s="1299">
        <f t="shared" ref="CV23" si="85">+CU23+1</f>
        <v>2096</v>
      </c>
      <c r="CW23" s="1299">
        <f t="shared" ref="CW23" si="86">+CV23+1</f>
        <v>2097</v>
      </c>
      <c r="CX23" s="1299">
        <f t="shared" ref="CX23" si="87">+CW23+1</f>
        <v>2098</v>
      </c>
      <c r="CY23" s="1299">
        <f t="shared" ref="CY23" si="88">+CX23+1</f>
        <v>2099</v>
      </c>
      <c r="CZ23" s="1299">
        <f t="shared" ref="CZ23" si="89">+CY23+1</f>
        <v>2100</v>
      </c>
    </row>
    <row r="24" spans="1:104" ht="13.5" thickBot="1">
      <c r="A24" s="884" t="s">
        <v>1086</v>
      </c>
      <c r="B24" s="885"/>
      <c r="C24" s="885"/>
      <c r="D24" s="885"/>
      <c r="E24" s="885"/>
      <c r="F24" s="808"/>
      <c r="G24" s="885"/>
      <c r="H24" s="885"/>
      <c r="I24" s="885"/>
      <c r="J24" s="885"/>
      <c r="K24" s="885"/>
      <c r="L24" s="885"/>
      <c r="M24" s="885"/>
      <c r="N24" s="885"/>
      <c r="O24" s="885"/>
      <c r="P24" s="885"/>
      <c r="Q24" s="885"/>
      <c r="R24" s="885"/>
      <c r="S24" s="885"/>
      <c r="T24" s="885"/>
      <c r="U24" s="885"/>
      <c r="V24" s="885"/>
      <c r="W24" s="885"/>
      <c r="X24" s="885"/>
      <c r="Y24" s="885"/>
      <c r="Z24" s="885"/>
      <c r="AA24" s="885"/>
      <c r="AB24" s="885"/>
      <c r="AC24" s="885"/>
      <c r="AD24" s="885"/>
      <c r="AE24" s="885"/>
      <c r="AF24" s="885"/>
      <c r="AG24" s="885"/>
      <c r="AH24" s="885"/>
      <c r="AI24" s="885"/>
      <c r="AJ24" s="885"/>
      <c r="AK24" s="885"/>
      <c r="AL24" s="885"/>
      <c r="AM24" s="885"/>
      <c r="AN24" s="885"/>
      <c r="AO24" s="885"/>
      <c r="AP24" s="885"/>
      <c r="AQ24" s="885"/>
      <c r="AR24" s="885"/>
      <c r="AS24" s="885"/>
      <c r="AT24" s="885"/>
      <c r="AU24" s="885"/>
      <c r="AV24" s="885"/>
      <c r="AW24" s="885"/>
      <c r="AX24" s="885"/>
      <c r="AY24" s="885"/>
      <c r="AZ24" s="885"/>
      <c r="BA24" s="885"/>
      <c r="BC24" s="885"/>
      <c r="BD24" s="885"/>
      <c r="BE24" s="885"/>
      <c r="BF24" s="885"/>
      <c r="BG24" s="885"/>
      <c r="BH24" s="885"/>
      <c r="BI24" s="885"/>
      <c r="BJ24" s="885"/>
      <c r="BK24" s="885"/>
      <c r="BL24" s="885"/>
      <c r="BM24" s="885"/>
      <c r="BN24" s="885"/>
      <c r="BO24" s="885"/>
      <c r="BP24" s="885"/>
      <c r="BR24" s="885"/>
      <c r="BS24" s="885"/>
      <c r="BT24" s="885"/>
      <c r="BU24" s="885"/>
    </row>
    <row r="25" spans="1:104">
      <c r="A25" s="902" t="str">
        <f>'HyARC Physical Property Data'!A73</f>
        <v>Residential Natural Gas</v>
      </c>
      <c r="B25" s="885">
        <v>2011</v>
      </c>
      <c r="C25" s="886">
        <f>VLOOKUP(ref_year,DeflatorTable,2,FALSE)/VLOOKUP(B25,DeflatorTable,2,FALSE)</f>
        <v>1.0784554773635862</v>
      </c>
      <c r="D25" s="1157" t="str">
        <f>'HyARC Physical Property Data'!H73</f>
        <v>mmBtu</v>
      </c>
      <c r="E25" s="886" t="s">
        <v>1054</v>
      </c>
      <c r="F25" s="885">
        <f>'HyARC Physical Property Data'!$E$6</f>
        <v>47.141269049911173</v>
      </c>
      <c r="G25" s="885">
        <f>'HyARC Physical Property Data'!$I$6</f>
        <v>52.224661236371581</v>
      </c>
      <c r="H25" s="985">
        <v>14.386141835345208</v>
      </c>
      <c r="I25" s="985">
        <v>14.386141835345208</v>
      </c>
      <c r="J25" s="985">
        <v>14.386141835345208</v>
      </c>
      <c r="K25" s="985">
        <v>13.326716630976858</v>
      </c>
      <c r="L25" s="985">
        <v>13.627764477872551</v>
      </c>
      <c r="M25" s="985">
        <v>11.254339733155913</v>
      </c>
      <c r="N25" s="885">
        <f t="shared" ref="N25:AR25" si="90">((N42/(mmBTU_to_GJ))*($C25))*($G25/$F25)</f>
        <v>12.864072624231563</v>
      </c>
      <c r="O25" s="885">
        <f t="shared" si="90"/>
        <v>12.23325661230241</v>
      </c>
      <c r="P25" s="885">
        <f t="shared" si="90"/>
        <v>11.850527062684614</v>
      </c>
      <c r="Q25" s="885">
        <f t="shared" si="90"/>
        <v>11.865842495866545</v>
      </c>
      <c r="R25" s="885">
        <f t="shared" si="90"/>
        <v>11.611695090166418</v>
      </c>
      <c r="S25" s="885">
        <f t="shared" si="90"/>
        <v>11.50138750593943</v>
      </c>
      <c r="T25" s="885">
        <f t="shared" si="90"/>
        <v>12.075204376866452</v>
      </c>
      <c r="U25" s="885">
        <f t="shared" si="90"/>
        <v>12.446344297440779</v>
      </c>
      <c r="V25" s="885">
        <f t="shared" si="90"/>
        <v>12.907270435435697</v>
      </c>
      <c r="W25" s="885">
        <f t="shared" si="90"/>
        <v>13.164777859640022</v>
      </c>
      <c r="X25" s="885">
        <f t="shared" si="90"/>
        <v>13.336162585082695</v>
      </c>
      <c r="Y25" s="885">
        <f t="shared" si="90"/>
        <v>13.544264034469807</v>
      </c>
      <c r="Z25" s="885">
        <f t="shared" si="90"/>
        <v>13.819651921148951</v>
      </c>
      <c r="AA25" s="885">
        <f t="shared" si="90"/>
        <v>14.079086797828554</v>
      </c>
      <c r="AB25" s="885">
        <f t="shared" si="90"/>
        <v>14.2515190517904</v>
      </c>
      <c r="AC25" s="885">
        <f t="shared" si="90"/>
        <v>14.353207458115314</v>
      </c>
      <c r="AD25" s="885">
        <f t="shared" si="90"/>
        <v>14.54298904928118</v>
      </c>
      <c r="AE25" s="885">
        <f t="shared" si="90"/>
        <v>14.646583391279357</v>
      </c>
      <c r="AF25" s="885">
        <f t="shared" si="90"/>
        <v>14.81893750527599</v>
      </c>
      <c r="AG25" s="885">
        <f t="shared" si="90"/>
        <v>14.987454833734297</v>
      </c>
      <c r="AH25" s="885">
        <f t="shared" si="90"/>
        <v>15.139899111087075</v>
      </c>
      <c r="AI25" s="885">
        <f t="shared" si="90"/>
        <v>15.341580626230741</v>
      </c>
      <c r="AJ25" s="885">
        <f t="shared" si="90"/>
        <v>15.539442342785032</v>
      </c>
      <c r="AK25" s="885">
        <f t="shared" si="90"/>
        <v>15.781889138041823</v>
      </c>
      <c r="AL25" s="885">
        <f t="shared" si="90"/>
        <v>16.136390908341905</v>
      </c>
      <c r="AM25" s="885">
        <f t="shared" si="90"/>
        <v>16.532635274551915</v>
      </c>
      <c r="AN25" s="885">
        <f t="shared" si="90"/>
        <v>17.01379173629439</v>
      </c>
      <c r="AO25" s="885">
        <f t="shared" si="90"/>
        <v>17.457934768717273</v>
      </c>
      <c r="AP25" s="885">
        <f t="shared" si="90"/>
        <v>17.940794455208763</v>
      </c>
      <c r="AQ25" s="885">
        <f t="shared" si="90"/>
        <v>18.182559507580642</v>
      </c>
      <c r="AR25" s="885">
        <f t="shared" si="90"/>
        <v>18.530579058157759</v>
      </c>
      <c r="AS25" s="885">
        <f>($BB25-$AR25)/10+AR25</f>
        <v>18.537819201300856</v>
      </c>
      <c r="AT25" s="885">
        <f t="shared" ref="AT25:BA25" si="91">($BB25-$AR25)/10+AS25</f>
        <v>18.545059344443953</v>
      </c>
      <c r="AU25" s="885">
        <f t="shared" si="91"/>
        <v>18.552299487587049</v>
      </c>
      <c r="AV25" s="885">
        <f t="shared" si="91"/>
        <v>18.559539630730146</v>
      </c>
      <c r="AW25" s="885">
        <f t="shared" si="91"/>
        <v>18.566779773873243</v>
      </c>
      <c r="AX25" s="885">
        <f t="shared" si="91"/>
        <v>18.57401991701634</v>
      </c>
      <c r="AY25" s="885">
        <f t="shared" si="91"/>
        <v>18.581260060159437</v>
      </c>
      <c r="AZ25" s="885">
        <f t="shared" si="91"/>
        <v>18.588500203302534</v>
      </c>
      <c r="BA25" s="885">
        <f t="shared" si="91"/>
        <v>18.595740346445631</v>
      </c>
      <c r="BB25" s="887">
        <f>'AEO Data'!$B$30*AM25</f>
        <v>18.602980489588727</v>
      </c>
      <c r="BC25" s="885">
        <f>($BQ25-$BB25)/15+BB25</f>
        <v>18.754563729723429</v>
      </c>
      <c r="BD25" s="885">
        <f t="shared" ref="BD25:BP25" si="92">($BQ25-$BB25)/15+BC25</f>
        <v>18.906146969858131</v>
      </c>
      <c r="BE25" s="885">
        <f t="shared" si="92"/>
        <v>19.057730209992833</v>
      </c>
      <c r="BF25" s="885">
        <f t="shared" si="92"/>
        <v>19.209313450127535</v>
      </c>
      <c r="BG25" s="885">
        <f t="shared" si="92"/>
        <v>19.360896690262237</v>
      </c>
      <c r="BH25" s="885">
        <f t="shared" si="92"/>
        <v>19.512479930396939</v>
      </c>
      <c r="BI25" s="885">
        <f t="shared" si="92"/>
        <v>19.664063170531641</v>
      </c>
      <c r="BJ25" s="885">
        <f t="shared" si="92"/>
        <v>19.815646410666343</v>
      </c>
      <c r="BK25" s="885">
        <f t="shared" si="92"/>
        <v>19.967229650801045</v>
      </c>
      <c r="BL25" s="885">
        <f t="shared" si="92"/>
        <v>20.118812890935747</v>
      </c>
      <c r="BM25" s="885">
        <f t="shared" si="92"/>
        <v>20.270396131070449</v>
      </c>
      <c r="BN25" s="885">
        <f t="shared" si="92"/>
        <v>20.42197937120515</v>
      </c>
      <c r="BO25" s="885">
        <f t="shared" si="92"/>
        <v>20.573562611339852</v>
      </c>
      <c r="BP25" s="885">
        <f t="shared" si="92"/>
        <v>20.725145851474554</v>
      </c>
      <c r="BQ25" s="887">
        <f>'AEO Data'!$C$30*BB25</f>
        <v>20.876729091609249</v>
      </c>
      <c r="BR25" s="885">
        <f>($BV25-$BQ25)/5+BQ25</f>
        <v>20.996057748553792</v>
      </c>
      <c r="BS25" s="885">
        <f>($BV25-$BQ25)/5+BR25</f>
        <v>21.115386405498334</v>
      </c>
      <c r="BT25" s="885">
        <f>($BV25-$BQ25)/5+BS25</f>
        <v>21.234715062442877</v>
      </c>
      <c r="BU25" s="885">
        <f>($BV25-$BQ25)/5+BT25</f>
        <v>21.35404371938742</v>
      </c>
      <c r="BV25" s="888">
        <f>'AEO Data'!$D$30*BQ25</f>
        <v>21.473372376331962</v>
      </c>
      <c r="BW25" s="1298">
        <f>+BV25*BW$133/BV$133</f>
        <v>21.544670286660121</v>
      </c>
      <c r="BX25" s="1298">
        <f t="shared" ref="BX25:CZ25" si="93">+BW25*BX$133/BW$133</f>
        <v>21.616204927015033</v>
      </c>
      <c r="BY25" s="1298">
        <f t="shared" si="93"/>
        <v>21.687977083409997</v>
      </c>
      <c r="BZ25" s="1298">
        <f t="shared" si="93"/>
        <v>21.759987544468107</v>
      </c>
      <c r="CA25" s="1298">
        <f t="shared" si="93"/>
        <v>21.832237101430913</v>
      </c>
      <c r="CB25" s="1298">
        <f t="shared" si="93"/>
        <v>21.878825528741867</v>
      </c>
      <c r="CC25" s="1298">
        <f t="shared" si="93"/>
        <v>21.925513372413558</v>
      </c>
      <c r="CD25" s="1298">
        <f t="shared" si="93"/>
        <v>21.972300844593363</v>
      </c>
      <c r="CE25" s="1298">
        <f t="shared" si="93"/>
        <v>22.01918815788137</v>
      </c>
      <c r="CF25" s="1298">
        <f t="shared" si="93"/>
        <v>22.066175525331335</v>
      </c>
      <c r="CG25" s="1298">
        <f t="shared" si="93"/>
        <v>22.081432025482624</v>
      </c>
      <c r="CH25" s="1298">
        <f t="shared" si="93"/>
        <v>22.096699073941053</v>
      </c>
      <c r="CI25" s="1298">
        <f t="shared" si="93"/>
        <v>22.111976677999699</v>
      </c>
      <c r="CJ25" s="1298">
        <f t="shared" si="93"/>
        <v>22.127264844956677</v>
      </c>
      <c r="CK25" s="1298">
        <f t="shared" si="93"/>
        <v>22.142563582115145</v>
      </c>
      <c r="CL25" s="1298">
        <f t="shared" si="93"/>
        <v>22.147749174896123</v>
      </c>
      <c r="CM25" s="1298">
        <f t="shared" si="93"/>
        <v>22.152935982097123</v>
      </c>
      <c r="CN25" s="1298">
        <f t="shared" si="93"/>
        <v>22.158124004002548</v>
      </c>
      <c r="CO25" s="1298">
        <f t="shared" si="93"/>
        <v>22.163313240896873</v>
      </c>
      <c r="CP25" s="1298">
        <f t="shared" si="93"/>
        <v>22.16850369306464</v>
      </c>
      <c r="CQ25" s="1298">
        <f t="shared" si="93"/>
        <v>22.176370321670593</v>
      </c>
      <c r="CR25" s="1298">
        <f t="shared" si="93"/>
        <v>22.184239741797636</v>
      </c>
      <c r="CS25" s="1298">
        <f t="shared" si="93"/>
        <v>22.19211195443636</v>
      </c>
      <c r="CT25" s="1298">
        <f t="shared" si="93"/>
        <v>22.199986960577704</v>
      </c>
      <c r="CU25" s="1298">
        <f t="shared" si="93"/>
        <v>22.207864761212956</v>
      </c>
      <c r="CV25" s="1298">
        <f t="shared" si="93"/>
        <v>22.219988729743012</v>
      </c>
      <c r="CW25" s="1298">
        <f t="shared" si="93"/>
        <v>22.232119317126994</v>
      </c>
      <c r="CX25" s="1298">
        <f t="shared" si="93"/>
        <v>22.244256526978344</v>
      </c>
      <c r="CY25" s="1298">
        <f t="shared" si="93"/>
        <v>22.256400362912476</v>
      </c>
      <c r="CZ25" s="1298">
        <f t="shared" si="93"/>
        <v>22.268550828546775</v>
      </c>
    </row>
    <row r="26" spans="1:104">
      <c r="A26" s="812" t="str">
        <f>'HyARC Physical Property Data'!A71</f>
        <v>Commercial Natural Gas</v>
      </c>
      <c r="B26">
        <v>2011</v>
      </c>
      <c r="C26" s="811">
        <f>VLOOKUP(ref_year,DeflatorTable,2,FALSE)/VLOOKUP(B26,DeflatorTable,2,FALSE)</f>
        <v>1.0784554773635862</v>
      </c>
      <c r="D26" s="1158" t="str">
        <f>'HyARC Physical Property Data'!H71</f>
        <v>mmBtu</v>
      </c>
      <c r="E26" s="811" t="s">
        <v>1054</v>
      </c>
      <c r="F26">
        <f>'HyARC Physical Property Data'!$E$6</f>
        <v>47.141269049911173</v>
      </c>
      <c r="G26">
        <f>'HyARC Physical Property Data'!$I$6</f>
        <v>52.224661236371581</v>
      </c>
      <c r="H26" s="986">
        <v>12.491836786393147</v>
      </c>
      <c r="I26" s="986">
        <v>12.491836786393147</v>
      </c>
      <c r="J26" s="986">
        <v>12.491836786393147</v>
      </c>
      <c r="K26" s="986">
        <v>11.540201846875071</v>
      </c>
      <c r="L26" s="986">
        <v>11.906633267965836</v>
      </c>
      <c r="M26" s="986">
        <v>9.3536765847618941</v>
      </c>
      <c r="N26">
        <f t="shared" ref="N26:AR26" si="94">((N43/(mmBTU_to_GJ))*($C26))*($G26/$F26)</f>
        <v>10.64172897994356</v>
      </c>
      <c r="O26">
        <f t="shared" si="94"/>
        <v>10.007420451308324</v>
      </c>
      <c r="P26">
        <f t="shared" si="94"/>
        <v>9.1421449075231607</v>
      </c>
      <c r="Q26">
        <f t="shared" si="94"/>
        <v>9.5837353677490551</v>
      </c>
      <c r="R26">
        <f t="shared" si="94"/>
        <v>9.3261316841672954</v>
      </c>
      <c r="S26">
        <f t="shared" si="94"/>
        <v>9.1778922429136323</v>
      </c>
      <c r="T26">
        <f t="shared" si="94"/>
        <v>9.6950621689136156</v>
      </c>
      <c r="U26">
        <f t="shared" si="94"/>
        <v>9.9937516197122047</v>
      </c>
      <c r="V26">
        <f t="shared" si="94"/>
        <v>10.387270146845841</v>
      </c>
      <c r="W26">
        <f t="shared" si="94"/>
        <v>10.589454475678709</v>
      </c>
      <c r="X26">
        <f t="shared" si="94"/>
        <v>10.722185964995566</v>
      </c>
      <c r="Y26">
        <f t="shared" si="94"/>
        <v>10.884038747145405</v>
      </c>
      <c r="Z26">
        <f t="shared" si="94"/>
        <v>11.119862897234498</v>
      </c>
      <c r="AA26">
        <f t="shared" si="94"/>
        <v>11.337766948634531</v>
      </c>
      <c r="AB26">
        <f t="shared" si="94"/>
        <v>11.475270638145757</v>
      </c>
      <c r="AC26">
        <f t="shared" si="94"/>
        <v>11.543938680619837</v>
      </c>
      <c r="AD26">
        <f t="shared" si="94"/>
        <v>11.704619363291469</v>
      </c>
      <c r="AE26">
        <f t="shared" si="94"/>
        <v>11.764049902921345</v>
      </c>
      <c r="AF26">
        <f t="shared" si="94"/>
        <v>11.890869934000278</v>
      </c>
      <c r="AG26">
        <f t="shared" si="94"/>
        <v>12.010138700035061</v>
      </c>
      <c r="AH26">
        <f t="shared" si="94"/>
        <v>12.114209809067368</v>
      </c>
      <c r="AI26">
        <f t="shared" si="94"/>
        <v>12.267307517723458</v>
      </c>
      <c r="AJ26">
        <f t="shared" si="94"/>
        <v>12.405684336411204</v>
      </c>
      <c r="AK26">
        <f t="shared" si="94"/>
        <v>12.591270151184064</v>
      </c>
      <c r="AL26">
        <f t="shared" si="94"/>
        <v>12.891290246317817</v>
      </c>
      <c r="AM26">
        <f t="shared" si="94"/>
        <v>13.22904741479684</v>
      </c>
      <c r="AN26">
        <f t="shared" si="94"/>
        <v>13.658744745824521</v>
      </c>
      <c r="AO26">
        <f t="shared" si="94"/>
        <v>14.044020072859722</v>
      </c>
      <c r="AP26">
        <f t="shared" si="94"/>
        <v>14.474602990159831</v>
      </c>
      <c r="AQ26">
        <f t="shared" si="94"/>
        <v>14.664146764040265</v>
      </c>
      <c r="AR26">
        <f t="shared" si="94"/>
        <v>14.963148774699713</v>
      </c>
      <c r="AS26">
        <f t="shared" ref="AS26:BA26" si="95">($BB26-$AR26)/10+AR26</f>
        <v>14.955403062800835</v>
      </c>
      <c r="AT26">
        <f t="shared" si="95"/>
        <v>14.947657350901958</v>
      </c>
      <c r="AU26">
        <f t="shared" si="95"/>
        <v>14.93991163900308</v>
      </c>
      <c r="AV26">
        <f t="shared" si="95"/>
        <v>14.932165927104203</v>
      </c>
      <c r="AW26">
        <f t="shared" si="95"/>
        <v>14.924420215205325</v>
      </c>
      <c r="AX26">
        <f t="shared" si="95"/>
        <v>14.916674503306448</v>
      </c>
      <c r="AY26">
        <f t="shared" si="95"/>
        <v>14.90892879140757</v>
      </c>
      <c r="AZ26">
        <f t="shared" si="95"/>
        <v>14.901183079508693</v>
      </c>
      <c r="BA26">
        <f t="shared" si="95"/>
        <v>14.893437367609815</v>
      </c>
      <c r="BB26" s="868">
        <f>'AEO Data'!$B$30*AM26</f>
        <v>14.885691655710941</v>
      </c>
      <c r="BC26">
        <f t="shared" ref="BC26:BP28" si="96">($BQ26-$BB26)/15+BB26</f>
        <v>15.006985196500363</v>
      </c>
      <c r="BD26">
        <f t="shared" si="96"/>
        <v>15.128278737289785</v>
      </c>
      <c r="BE26">
        <f t="shared" si="96"/>
        <v>15.249572278079206</v>
      </c>
      <c r="BF26">
        <f t="shared" si="96"/>
        <v>15.370865818868628</v>
      </c>
      <c r="BG26">
        <f t="shared" si="96"/>
        <v>15.49215935965805</v>
      </c>
      <c r="BH26">
        <f t="shared" si="96"/>
        <v>15.613452900447472</v>
      </c>
      <c r="BI26">
        <f t="shared" si="96"/>
        <v>15.734746441236894</v>
      </c>
      <c r="BJ26">
        <f t="shared" si="96"/>
        <v>15.856039982026315</v>
      </c>
      <c r="BK26">
        <f t="shared" si="96"/>
        <v>15.977333522815737</v>
      </c>
      <c r="BL26">
        <f t="shared" si="96"/>
        <v>16.098627063605161</v>
      </c>
      <c r="BM26">
        <f t="shared" si="96"/>
        <v>16.219920604394584</v>
      </c>
      <c r="BN26">
        <f t="shared" si="96"/>
        <v>16.341214145184008</v>
      </c>
      <c r="BO26">
        <f t="shared" si="96"/>
        <v>16.462507685973431</v>
      </c>
      <c r="BP26">
        <f t="shared" si="96"/>
        <v>16.583801226762855</v>
      </c>
      <c r="BQ26" s="868">
        <f>'AEO Data'!$C$30*BB26</f>
        <v>16.705094767552271</v>
      </c>
      <c r="BR26">
        <f t="shared" ref="BR26:BU28" si="97">($BV26-$BQ26)/5+BQ26</f>
        <v>16.800578907524393</v>
      </c>
      <c r="BS26">
        <f t="shared" si="97"/>
        <v>16.896063047496515</v>
      </c>
      <c r="BT26">
        <f t="shared" si="97"/>
        <v>16.991547187468637</v>
      </c>
      <c r="BU26">
        <f t="shared" si="97"/>
        <v>17.087031327440759</v>
      </c>
      <c r="BV26" s="889">
        <f>'AEO Data'!$D$30*BQ26</f>
        <v>17.182515467412887</v>
      </c>
      <c r="BW26" s="1298">
        <f>+BV26*BW$134/BV$134</f>
        <v>17.239566471118206</v>
      </c>
      <c r="BX26" s="1298">
        <f t="shared" ref="BX26:CZ26" si="98">+BW26*BX$134/BW$134</f>
        <v>17.296806900931124</v>
      </c>
      <c r="BY26" s="1298">
        <f t="shared" si="98"/>
        <v>17.354237385802019</v>
      </c>
      <c r="BZ26" s="1298">
        <f t="shared" si="98"/>
        <v>17.41185855676957</v>
      </c>
      <c r="CA26" s="1298">
        <f t="shared" si="98"/>
        <v>17.469671046967683</v>
      </c>
      <c r="CB26" s="1298">
        <f t="shared" si="98"/>
        <v>17.506950071372589</v>
      </c>
      <c r="CC26" s="1298">
        <f t="shared" si="98"/>
        <v>17.544308646540465</v>
      </c>
      <c r="CD26" s="1298">
        <f t="shared" si="98"/>
        <v>17.581746942226928</v>
      </c>
      <c r="CE26" s="1298">
        <f t="shared" si="98"/>
        <v>17.619265128549845</v>
      </c>
      <c r="CF26" s="1298">
        <f t="shared" si="98"/>
        <v>17.656863375990099</v>
      </c>
      <c r="CG26" s="1298">
        <f t="shared" si="98"/>
        <v>17.669071288433191</v>
      </c>
      <c r="CH26" s="1298">
        <f t="shared" si="98"/>
        <v>17.681287641397287</v>
      </c>
      <c r="CI26" s="1298">
        <f t="shared" si="98"/>
        <v>17.693512440718141</v>
      </c>
      <c r="CJ26" s="1298">
        <f t="shared" si="98"/>
        <v>17.705745692235549</v>
      </c>
      <c r="CK26" s="1298">
        <f t="shared" si="98"/>
        <v>17.717987401793337</v>
      </c>
      <c r="CL26" s="1298">
        <f t="shared" si="98"/>
        <v>17.722136797920101</v>
      </c>
      <c r="CM26" s="1298">
        <f t="shared" si="98"/>
        <v>17.726287165798784</v>
      </c>
      <c r="CN26" s="1298">
        <f t="shared" si="98"/>
        <v>17.730438505656959</v>
      </c>
      <c r="CO26" s="1298">
        <f t="shared" si="98"/>
        <v>17.734590817722253</v>
      </c>
      <c r="CP26" s="1298">
        <f t="shared" si="98"/>
        <v>17.738744102222352</v>
      </c>
      <c r="CQ26" s="1298">
        <f t="shared" si="98"/>
        <v>17.745038803647411</v>
      </c>
      <c r="CR26" s="1298">
        <f t="shared" si="98"/>
        <v>17.751335738785624</v>
      </c>
      <c r="CS26" s="1298">
        <f t="shared" si="98"/>
        <v>17.75763490842964</v>
      </c>
      <c r="CT26" s="1298">
        <f t="shared" si="98"/>
        <v>17.763936313372383</v>
      </c>
      <c r="CU26" s="1298">
        <f t="shared" si="98"/>
        <v>17.770239954407064</v>
      </c>
      <c r="CV26" s="1298">
        <f t="shared" si="98"/>
        <v>17.779941284647286</v>
      </c>
      <c r="CW26" s="1298">
        <f t="shared" si="98"/>
        <v>17.789647911147362</v>
      </c>
      <c r="CX26" s="1298">
        <f t="shared" si="98"/>
        <v>17.799359836798683</v>
      </c>
      <c r="CY26" s="1298">
        <f t="shared" si="98"/>
        <v>17.809077064494225</v>
      </c>
      <c r="CZ26" s="1298">
        <f t="shared" si="98"/>
        <v>17.818799597128535</v>
      </c>
    </row>
    <row r="27" spans="1:104">
      <c r="A27" s="812" t="str">
        <f>'HyARC Physical Property Data'!A72</f>
        <v>Industrial Natural Gas</v>
      </c>
      <c r="B27">
        <v>2011</v>
      </c>
      <c r="C27" s="811">
        <f t="shared" ref="C27:C35" si="99">VLOOKUP(ref_year,DeflatorTable,2,FALSE)/VLOOKUP(B27,DeflatorTable,2,FALSE)</f>
        <v>1.0784554773635862</v>
      </c>
      <c r="D27" s="1158" t="str">
        <f>'HyARC Physical Property Data'!H72</f>
        <v>mmBtu</v>
      </c>
      <c r="E27" s="811" t="s">
        <v>1054</v>
      </c>
      <c r="F27">
        <f>'HyARC Physical Property Data'!$E$6</f>
        <v>47.141269049911173</v>
      </c>
      <c r="G27">
        <f>'HyARC Physical Property Data'!$I$6</f>
        <v>52.224661236371581</v>
      </c>
      <c r="H27" s="986">
        <v>8.3524006010892204</v>
      </c>
      <c r="I27" s="986">
        <v>8.3524006010892204</v>
      </c>
      <c r="J27" s="986">
        <v>8.3524006010892204</v>
      </c>
      <c r="K27" s="986">
        <v>7.891606632326889</v>
      </c>
      <c r="L27" s="986">
        <v>9.2420298006250725</v>
      </c>
      <c r="M27" s="986">
        <v>5.091378564817072</v>
      </c>
      <c r="N27">
        <f t="shared" ref="N27:AR27" si="100">((N44/(mmBTU_to_GJ))*($C27))*($G27/$F27)</f>
        <v>6.2103832410803772</v>
      </c>
      <c r="O27">
        <f t="shared" si="100"/>
        <v>5.5375335901824529</v>
      </c>
      <c r="P27">
        <f t="shared" si="100"/>
        <v>4.2577062790619404</v>
      </c>
      <c r="Q27">
        <f t="shared" si="100"/>
        <v>4.9080821964863821</v>
      </c>
      <c r="R27">
        <f t="shared" si="100"/>
        <v>4.9545856679580433</v>
      </c>
      <c r="S27">
        <f t="shared" si="100"/>
        <v>5.0083584211211258</v>
      </c>
      <c r="T27">
        <f t="shared" si="100"/>
        <v>5.5106070111550416</v>
      </c>
      <c r="U27">
        <f t="shared" si="100"/>
        <v>5.7392570064668833</v>
      </c>
      <c r="V27">
        <f t="shared" si="100"/>
        <v>6.0261280706426819</v>
      </c>
      <c r="W27">
        <f t="shared" si="100"/>
        <v>6.171696031056638</v>
      </c>
      <c r="X27">
        <f t="shared" si="100"/>
        <v>6.2618559613543372</v>
      </c>
      <c r="Y27">
        <f t="shared" si="100"/>
        <v>6.3878674136627964</v>
      </c>
      <c r="Z27">
        <f t="shared" si="100"/>
        <v>6.5997410981821893</v>
      </c>
      <c r="AA27">
        <f t="shared" si="100"/>
        <v>6.8069026030602018</v>
      </c>
      <c r="AB27">
        <f t="shared" si="100"/>
        <v>6.91936073502547</v>
      </c>
      <c r="AC27">
        <f t="shared" si="100"/>
        <v>6.9660068968683904</v>
      </c>
      <c r="AD27">
        <f t="shared" si="100"/>
        <v>7.0844183882123479</v>
      </c>
      <c r="AE27">
        <f t="shared" si="100"/>
        <v>7.1287611197763514</v>
      </c>
      <c r="AF27">
        <f t="shared" si="100"/>
        <v>7.2441206226239103</v>
      </c>
      <c r="AG27">
        <f t="shared" si="100"/>
        <v>7.3454421108512973</v>
      </c>
      <c r="AH27">
        <f t="shared" si="100"/>
        <v>7.4306384546630166</v>
      </c>
      <c r="AI27">
        <f t="shared" si="100"/>
        <v>7.5610393345826239</v>
      </c>
      <c r="AJ27">
        <f t="shared" si="100"/>
        <v>7.6680605104175692</v>
      </c>
      <c r="AK27">
        <f t="shared" si="100"/>
        <v>7.8321068739097237</v>
      </c>
      <c r="AL27">
        <f t="shared" si="100"/>
        <v>8.1183505534372813</v>
      </c>
      <c r="AM27">
        <f t="shared" si="100"/>
        <v>8.4316589725104603</v>
      </c>
      <c r="AN27">
        <f t="shared" si="100"/>
        <v>8.8481676363659503</v>
      </c>
      <c r="AO27">
        <f t="shared" si="100"/>
        <v>9.2337204169008231</v>
      </c>
      <c r="AP27">
        <f t="shared" si="100"/>
        <v>9.6247135509558071</v>
      </c>
      <c r="AQ27">
        <f t="shared" si="100"/>
        <v>9.783781605939545</v>
      </c>
      <c r="AR27">
        <f t="shared" si="100"/>
        <v>10.057511566400239</v>
      </c>
      <c r="AS27">
        <f t="shared" ref="AS27:BA27" si="101">($BB27-$AR27)/10+AR27</f>
        <v>10.000514100600522</v>
      </c>
      <c r="AT27">
        <f t="shared" si="101"/>
        <v>9.9435166348008064</v>
      </c>
      <c r="AU27">
        <f t="shared" si="101"/>
        <v>9.8865191690010903</v>
      </c>
      <c r="AV27">
        <f t="shared" si="101"/>
        <v>9.8295217032013742</v>
      </c>
      <c r="AW27">
        <f t="shared" si="101"/>
        <v>9.7725242374016581</v>
      </c>
      <c r="AX27">
        <f t="shared" si="101"/>
        <v>9.715526771601942</v>
      </c>
      <c r="AY27">
        <f t="shared" si="101"/>
        <v>9.6585293058022259</v>
      </c>
      <c r="AZ27">
        <f t="shared" si="101"/>
        <v>9.6015318400025098</v>
      </c>
      <c r="BA27">
        <f t="shared" si="101"/>
        <v>9.5445343742027937</v>
      </c>
      <c r="BB27" s="868">
        <f>'AEO Data'!$B$30*AM27</f>
        <v>9.4875369084030705</v>
      </c>
      <c r="BC27">
        <f t="shared" si="96"/>
        <v>9.5648444982421381</v>
      </c>
      <c r="BD27">
        <f t="shared" si="96"/>
        <v>9.6421520880812057</v>
      </c>
      <c r="BE27">
        <f t="shared" si="96"/>
        <v>9.7194596779202733</v>
      </c>
      <c r="BF27">
        <f t="shared" si="96"/>
        <v>9.7967672677593409</v>
      </c>
      <c r="BG27">
        <f t="shared" si="96"/>
        <v>9.8740748575984085</v>
      </c>
      <c r="BH27">
        <f t="shared" si="96"/>
        <v>9.9513824474374761</v>
      </c>
      <c r="BI27">
        <f t="shared" si="96"/>
        <v>10.028690037276544</v>
      </c>
      <c r="BJ27">
        <f t="shared" si="96"/>
        <v>10.105997627115611</v>
      </c>
      <c r="BK27">
        <f t="shared" si="96"/>
        <v>10.183305216954679</v>
      </c>
      <c r="BL27">
        <f t="shared" si="96"/>
        <v>10.260612806793747</v>
      </c>
      <c r="BM27">
        <f t="shared" si="96"/>
        <v>10.337920396632814</v>
      </c>
      <c r="BN27">
        <f t="shared" si="96"/>
        <v>10.415227986471882</v>
      </c>
      <c r="BO27">
        <f t="shared" si="96"/>
        <v>10.492535576310949</v>
      </c>
      <c r="BP27">
        <f t="shared" si="96"/>
        <v>10.569843166150017</v>
      </c>
      <c r="BQ27" s="868">
        <f>'AEO Data'!$C$30*BB27</f>
        <v>10.647150755989088</v>
      </c>
      <c r="BR27">
        <f t="shared" si="97"/>
        <v>10.708008479170871</v>
      </c>
      <c r="BS27">
        <f t="shared" si="97"/>
        <v>10.768866202352655</v>
      </c>
      <c r="BT27">
        <f t="shared" si="97"/>
        <v>10.829723925534438</v>
      </c>
      <c r="BU27">
        <f t="shared" si="97"/>
        <v>10.890581648716221</v>
      </c>
      <c r="BV27" s="889">
        <f>'AEO Data'!$D$30*BQ27</f>
        <v>10.951439371898008</v>
      </c>
      <c r="BW27" s="1298">
        <f>+BV27*BW$135/BV$135</f>
        <v>10.987801370778188</v>
      </c>
      <c r="BX27" s="1298">
        <f t="shared" ref="BX27:CZ27" si="102">+BW27*BX$135/BW$135</f>
        <v>11.024284102186545</v>
      </c>
      <c r="BY27" s="1298">
        <f t="shared" si="102"/>
        <v>11.060887966990576</v>
      </c>
      <c r="BZ27" s="1298">
        <f t="shared" si="102"/>
        <v>11.097613367388767</v>
      </c>
      <c r="CA27" s="1298">
        <f t="shared" si="102"/>
        <v>11.134460706915034</v>
      </c>
      <c r="CB27" s="1298">
        <f t="shared" si="102"/>
        <v>11.158220847063788</v>
      </c>
      <c r="CC27" s="1298">
        <f t="shared" si="102"/>
        <v>11.18203168964661</v>
      </c>
      <c r="CD27" s="1298">
        <f t="shared" si="102"/>
        <v>11.205893342858859</v>
      </c>
      <c r="CE27" s="1298">
        <f t="shared" si="102"/>
        <v>11.229805915126768</v>
      </c>
      <c r="CF27" s="1298">
        <f t="shared" si="102"/>
        <v>11.253769515107949</v>
      </c>
      <c r="CG27" s="1298">
        <f t="shared" si="102"/>
        <v>11.261550344011113</v>
      </c>
      <c r="CH27" s="1298">
        <f t="shared" si="102"/>
        <v>11.26933655256048</v>
      </c>
      <c r="CI27" s="1298">
        <f t="shared" si="102"/>
        <v>11.277128144475522</v>
      </c>
      <c r="CJ27" s="1298">
        <f t="shared" si="102"/>
        <v>11.284925123478285</v>
      </c>
      <c r="CK27" s="1298">
        <f t="shared" si="102"/>
        <v>11.292727493293389</v>
      </c>
      <c r="CL27" s="1298">
        <f t="shared" si="102"/>
        <v>11.295372150311067</v>
      </c>
      <c r="CM27" s="1298">
        <f t="shared" si="102"/>
        <v>11.298017426684055</v>
      </c>
      <c r="CN27" s="1298">
        <f t="shared" si="102"/>
        <v>11.300663322557401</v>
      </c>
      <c r="CO27" s="1298">
        <f t="shared" si="102"/>
        <v>11.303309838076188</v>
      </c>
      <c r="CP27" s="1298">
        <f t="shared" si="102"/>
        <v>11.305956973385531</v>
      </c>
      <c r="CQ27" s="1298">
        <f t="shared" si="102"/>
        <v>11.309968961103596</v>
      </c>
      <c r="CR27" s="1298">
        <f t="shared" si="102"/>
        <v>11.31398237249995</v>
      </c>
      <c r="CS27" s="1298">
        <f t="shared" si="102"/>
        <v>11.317997208079792</v>
      </c>
      <c r="CT27" s="1298">
        <f t="shared" si="102"/>
        <v>11.3220134683485</v>
      </c>
      <c r="CU27" s="1298">
        <f t="shared" si="102"/>
        <v>11.326031153811636</v>
      </c>
      <c r="CV27" s="1298">
        <f t="shared" si="102"/>
        <v>11.332214388749156</v>
      </c>
      <c r="CW27" s="1298">
        <f t="shared" si="102"/>
        <v>11.338400999308178</v>
      </c>
      <c r="CX27" s="1298">
        <f t="shared" si="102"/>
        <v>11.344590987331557</v>
      </c>
      <c r="CY27" s="1298">
        <f t="shared" si="102"/>
        <v>11.350784354663158</v>
      </c>
      <c r="CZ27" s="1298">
        <f t="shared" si="102"/>
        <v>11.356981103147852</v>
      </c>
    </row>
    <row r="28" spans="1:104">
      <c r="A28" s="812" t="str">
        <f>'HyARC Physical Property Data'!A74</f>
        <v>Electric Utility Natural Gas</v>
      </c>
      <c r="B28">
        <v>2011</v>
      </c>
      <c r="C28" s="811">
        <f t="shared" si="99"/>
        <v>1.0784554773635862</v>
      </c>
      <c r="D28" s="1171" t="str">
        <f>'HyARC Physical Property Data'!H74</f>
        <v>mmBtu</v>
      </c>
      <c r="E28" s="811" t="s">
        <v>1054</v>
      </c>
      <c r="F28">
        <f>'HyARC Physical Property Data'!$E$6</f>
        <v>47.141269049911173</v>
      </c>
      <c r="G28">
        <f>'HyARC Physical Property Data'!$I$6</f>
        <v>52.224661236371581</v>
      </c>
      <c r="H28" s="986">
        <v>7.4079259090132386</v>
      </c>
      <c r="I28" s="986">
        <v>7.4079259090132386</v>
      </c>
      <c r="J28" s="986">
        <v>7.4079259090132386</v>
      </c>
      <c r="K28" s="986">
        <v>7.3706710915002853</v>
      </c>
      <c r="L28" s="986">
        <v>9.3158925097981644</v>
      </c>
      <c r="M28" s="986">
        <v>4.7837623175056114</v>
      </c>
      <c r="N28">
        <f t="shared" ref="N28:AR28" si="103">((N45/(mmBTU_to_GJ))*($C28))*($G28/$F28)</f>
        <v>5.9546786983922937</v>
      </c>
      <c r="O28">
        <f t="shared" si="103"/>
        <v>5.4071882009627821</v>
      </c>
      <c r="P28">
        <f t="shared" si="103"/>
        <v>3.7617666418716023</v>
      </c>
      <c r="Q28">
        <f t="shared" si="103"/>
        <v>4.2077012311780857</v>
      </c>
      <c r="R28">
        <f t="shared" si="103"/>
        <v>4.2560449554536968</v>
      </c>
      <c r="S28">
        <f t="shared" si="103"/>
        <v>4.351004265064101</v>
      </c>
      <c r="T28">
        <f t="shared" si="103"/>
        <v>4.8499075586162492</v>
      </c>
      <c r="U28">
        <f t="shared" si="103"/>
        <v>5.0379587459147714</v>
      </c>
      <c r="V28">
        <f t="shared" si="103"/>
        <v>5.3255342022407595</v>
      </c>
      <c r="W28">
        <f t="shared" si="103"/>
        <v>5.4610005903401024</v>
      </c>
      <c r="X28">
        <f t="shared" si="103"/>
        <v>5.5453996800139871</v>
      </c>
      <c r="Y28">
        <f t="shared" si="103"/>
        <v>5.6707180648048965</v>
      </c>
      <c r="Z28">
        <f t="shared" si="103"/>
        <v>5.8914702613138141</v>
      </c>
      <c r="AA28">
        <f t="shared" si="103"/>
        <v>6.1025908577626655</v>
      </c>
      <c r="AB28">
        <f t="shared" si="103"/>
        <v>6.248858680473754</v>
      </c>
      <c r="AC28">
        <f t="shared" si="103"/>
        <v>6.3168359203568114</v>
      </c>
      <c r="AD28">
        <f t="shared" si="103"/>
        <v>6.465015341057482</v>
      </c>
      <c r="AE28">
        <f t="shared" si="103"/>
        <v>6.5238626621064135</v>
      </c>
      <c r="AF28">
        <f t="shared" si="103"/>
        <v>6.6439853054422287</v>
      </c>
      <c r="AG28">
        <f t="shared" si="103"/>
        <v>6.7551648863824747</v>
      </c>
      <c r="AH28">
        <f t="shared" si="103"/>
        <v>6.8546302673202151</v>
      </c>
      <c r="AI28">
        <f t="shared" si="103"/>
        <v>7.0027927010719244</v>
      </c>
      <c r="AJ28">
        <f t="shared" si="103"/>
        <v>7.1267928986235729</v>
      </c>
      <c r="AK28">
        <f t="shared" si="103"/>
        <v>7.2997143767154569</v>
      </c>
      <c r="AL28">
        <f t="shared" si="103"/>
        <v>7.5856330392862574</v>
      </c>
      <c r="AM28">
        <f t="shared" si="103"/>
        <v>7.9050986611256384</v>
      </c>
      <c r="AN28">
        <f t="shared" si="103"/>
        <v>8.3181385900035885</v>
      </c>
      <c r="AO28">
        <f t="shared" si="103"/>
        <v>8.6915977953425259</v>
      </c>
      <c r="AP28">
        <f t="shared" si="103"/>
        <v>9.0845976543012643</v>
      </c>
      <c r="AQ28">
        <f t="shared" si="103"/>
        <v>9.2352243281153736</v>
      </c>
      <c r="AR28">
        <f t="shared" si="103"/>
        <v>9.4875314810115476</v>
      </c>
      <c r="AS28">
        <f t="shared" ref="AS28:BA28" si="104">($BB28-$AR28)/10+AR28</f>
        <v>9.4282819947225889</v>
      </c>
      <c r="AT28">
        <f t="shared" si="104"/>
        <v>9.3690325084336301</v>
      </c>
      <c r="AU28">
        <f t="shared" si="104"/>
        <v>9.3097830221446713</v>
      </c>
      <c r="AV28">
        <f t="shared" si="104"/>
        <v>9.2505335358557126</v>
      </c>
      <c r="AW28">
        <f t="shared" si="104"/>
        <v>9.1912840495667538</v>
      </c>
      <c r="AX28">
        <f t="shared" si="104"/>
        <v>9.1320345632777951</v>
      </c>
      <c r="AY28">
        <f t="shared" si="104"/>
        <v>9.0727850769888363</v>
      </c>
      <c r="AZ28">
        <f t="shared" si="104"/>
        <v>9.0135355906998775</v>
      </c>
      <c r="BA28">
        <f t="shared" si="104"/>
        <v>8.9542861044109188</v>
      </c>
      <c r="BB28" s="868">
        <f>'AEO Data'!$B$30*AM28</f>
        <v>8.8950366181219671</v>
      </c>
      <c r="BC28">
        <f t="shared" si="96"/>
        <v>8.967516319557248</v>
      </c>
      <c r="BD28">
        <f t="shared" si="96"/>
        <v>9.039996020992529</v>
      </c>
      <c r="BE28">
        <f t="shared" si="96"/>
        <v>9.1124757224278099</v>
      </c>
      <c r="BF28">
        <f t="shared" si="96"/>
        <v>9.1849554238630908</v>
      </c>
      <c r="BG28">
        <f t="shared" si="96"/>
        <v>9.2574351252983718</v>
      </c>
      <c r="BH28">
        <f t="shared" si="96"/>
        <v>9.3299148267336527</v>
      </c>
      <c r="BI28">
        <f t="shared" si="96"/>
        <v>9.4023945281689336</v>
      </c>
      <c r="BJ28">
        <f t="shared" si="96"/>
        <v>9.4748742296042145</v>
      </c>
      <c r="BK28">
        <f t="shared" si="96"/>
        <v>9.5473539310394955</v>
      </c>
      <c r="BL28">
        <f t="shared" si="96"/>
        <v>9.6198336324747764</v>
      </c>
      <c r="BM28">
        <f t="shared" si="96"/>
        <v>9.6923133339100573</v>
      </c>
      <c r="BN28">
        <f t="shared" si="96"/>
        <v>9.7647930353453383</v>
      </c>
      <c r="BO28">
        <f t="shared" si="96"/>
        <v>9.8372727367806192</v>
      </c>
      <c r="BP28">
        <f t="shared" si="96"/>
        <v>9.9097524382159001</v>
      </c>
      <c r="BQ28" s="868">
        <f>'AEO Data'!$C$30*BB28</f>
        <v>9.9822321396511793</v>
      </c>
      <c r="BR28">
        <f t="shared" si="97"/>
        <v>10.039289274861693</v>
      </c>
      <c r="BS28">
        <f t="shared" si="97"/>
        <v>10.096346410072206</v>
      </c>
      <c r="BT28">
        <f t="shared" si="97"/>
        <v>10.153403545282719</v>
      </c>
      <c r="BU28">
        <f t="shared" si="97"/>
        <v>10.210460680493233</v>
      </c>
      <c r="BV28" s="889">
        <f>'AEO Data'!$D$30*BQ28</f>
        <v>10.26751781570375</v>
      </c>
      <c r="BW28" s="1298">
        <f>+BV28*BW$136/BV$136</f>
        <v>10.301608993916805</v>
      </c>
      <c r="BX28" s="1298">
        <f t="shared" ref="BX28:CZ28" si="105">+BW28*BX$136/BW$136</f>
        <v>10.335813364865709</v>
      </c>
      <c r="BY28" s="1298">
        <f t="shared" si="105"/>
        <v>10.37013130438363</v>
      </c>
      <c r="BZ28" s="1298">
        <f t="shared" si="105"/>
        <v>10.404563189551611</v>
      </c>
      <c r="CA28" s="1298">
        <f t="shared" si="105"/>
        <v>10.439109398702717</v>
      </c>
      <c r="CB28" s="1298">
        <f t="shared" si="105"/>
        <v>10.461385709057588</v>
      </c>
      <c r="CC28" s="1298">
        <f t="shared" si="105"/>
        <v>10.483709555460226</v>
      </c>
      <c r="CD28" s="1298">
        <f t="shared" si="105"/>
        <v>10.506081039349146</v>
      </c>
      <c r="CE28" s="1298">
        <f t="shared" si="105"/>
        <v>10.528500262379325</v>
      </c>
      <c r="CF28" s="1298">
        <f t="shared" si="105"/>
        <v>10.550967326422667</v>
      </c>
      <c r="CG28" s="1298">
        <f t="shared" si="105"/>
        <v>10.558262239599943</v>
      </c>
      <c r="CH28" s="1298">
        <f t="shared" si="105"/>
        <v>10.565562196462466</v>
      </c>
      <c r="CI28" s="1298">
        <f t="shared" si="105"/>
        <v>10.572867200497431</v>
      </c>
      <c r="CJ28" s="1298">
        <f t="shared" si="105"/>
        <v>10.580177255194439</v>
      </c>
      <c r="CK28" s="1298">
        <f t="shared" si="105"/>
        <v>10.587492364045506</v>
      </c>
      <c r="CL28" s="1298">
        <f t="shared" si="105"/>
        <v>10.589971861226042</v>
      </c>
      <c r="CM28" s="1298">
        <f t="shared" si="105"/>
        <v>10.592451939082915</v>
      </c>
      <c r="CN28" s="1298">
        <f t="shared" si="105"/>
        <v>10.594932597752113</v>
      </c>
      <c r="CO28" s="1298">
        <f t="shared" si="105"/>
        <v>10.597413837369656</v>
      </c>
      <c r="CP28" s="1298">
        <f t="shared" si="105"/>
        <v>10.599895658071597</v>
      </c>
      <c r="CQ28" s="1298">
        <f t="shared" si="105"/>
        <v>10.603657095629963</v>
      </c>
      <c r="CR28" s="1298">
        <f t="shared" si="105"/>
        <v>10.607419867957365</v>
      </c>
      <c r="CS28" s="1298">
        <f t="shared" si="105"/>
        <v>10.611183975527453</v>
      </c>
      <c r="CT28" s="1298">
        <f t="shared" si="105"/>
        <v>10.614949418814046</v>
      </c>
      <c r="CU28" s="1298">
        <f t="shared" si="105"/>
        <v>10.618716198291134</v>
      </c>
      <c r="CV28" s="1298">
        <f t="shared" si="105"/>
        <v>10.624513287853858</v>
      </c>
      <c r="CW28" s="1298">
        <f t="shared" si="105"/>
        <v>10.630313542229239</v>
      </c>
      <c r="CX28" s="1298">
        <f t="shared" si="105"/>
        <v>10.636116963145044</v>
      </c>
      <c r="CY28" s="1298">
        <f t="shared" si="105"/>
        <v>10.641923552329986</v>
      </c>
      <c r="CZ28" s="1298">
        <f t="shared" si="105"/>
        <v>10.647733311513726</v>
      </c>
    </row>
    <row r="29" spans="1:104">
      <c r="A29" s="812" t="str">
        <f>'HyARC Physical Property Data'!A75</f>
        <v>Bio Methane</v>
      </c>
      <c r="B29">
        <v>2007</v>
      </c>
      <c r="C29" s="811">
        <f t="shared" si="99"/>
        <v>1.1446359956438654</v>
      </c>
      <c r="D29" s="1171" t="str">
        <f>'HyARC Physical Property Data'!H75</f>
        <v>mmBtu</v>
      </c>
      <c r="E29" s="811" t="s">
        <v>1054</v>
      </c>
      <c r="F29">
        <f>'HyARC Physical Property Data'!$E$6</f>
        <v>47.141269049911173</v>
      </c>
      <c r="G29">
        <f>'HyARC Physical Property Data'!$I$6</f>
        <v>52.224661236371581</v>
      </c>
      <c r="H29" s="986">
        <v>12.42654028436019</v>
      </c>
      <c r="I29" s="986">
        <v>12.42654028436019</v>
      </c>
      <c r="J29" s="986">
        <v>12.42654028436019</v>
      </c>
      <c r="K29" s="986">
        <v>12.42654028436019</v>
      </c>
      <c r="L29" s="986">
        <v>12.42654028436019</v>
      </c>
      <c r="M29" s="986">
        <v>12.42654028436019</v>
      </c>
      <c r="N29">
        <f t="shared" ref="N29:AM29" si="106">13.11*($C$29/mmBTU_to_GJ)</f>
        <v>14.223865310797228</v>
      </c>
      <c r="O29">
        <f t="shared" si="106"/>
        <v>14.223865310797228</v>
      </c>
      <c r="P29">
        <f t="shared" si="106"/>
        <v>14.223865310797228</v>
      </c>
      <c r="Q29">
        <f t="shared" si="106"/>
        <v>14.223865310797228</v>
      </c>
      <c r="R29">
        <f t="shared" si="106"/>
        <v>14.223865310797228</v>
      </c>
      <c r="S29">
        <f t="shared" si="106"/>
        <v>14.223865310797228</v>
      </c>
      <c r="T29">
        <f t="shared" si="106"/>
        <v>14.223865310797228</v>
      </c>
      <c r="U29">
        <f t="shared" si="106"/>
        <v>14.223865310797228</v>
      </c>
      <c r="V29">
        <f t="shared" si="106"/>
        <v>14.223865310797228</v>
      </c>
      <c r="W29">
        <f t="shared" si="106"/>
        <v>14.223865310797228</v>
      </c>
      <c r="X29">
        <f t="shared" si="106"/>
        <v>14.223865310797228</v>
      </c>
      <c r="Y29">
        <f t="shared" si="106"/>
        <v>14.223865310797228</v>
      </c>
      <c r="Z29">
        <f t="shared" si="106"/>
        <v>14.223865310797228</v>
      </c>
      <c r="AA29">
        <f t="shared" si="106"/>
        <v>14.223865310797228</v>
      </c>
      <c r="AB29">
        <f t="shared" si="106"/>
        <v>14.223865310797228</v>
      </c>
      <c r="AC29">
        <f t="shared" si="106"/>
        <v>14.223865310797228</v>
      </c>
      <c r="AD29">
        <f t="shared" si="106"/>
        <v>14.223865310797228</v>
      </c>
      <c r="AE29">
        <f t="shared" si="106"/>
        <v>14.223865310797228</v>
      </c>
      <c r="AF29">
        <f t="shared" si="106"/>
        <v>14.223865310797228</v>
      </c>
      <c r="AG29">
        <f t="shared" si="106"/>
        <v>14.223865310797228</v>
      </c>
      <c r="AH29">
        <f t="shared" si="106"/>
        <v>14.223865310797228</v>
      </c>
      <c r="AI29">
        <f t="shared" si="106"/>
        <v>14.223865310797228</v>
      </c>
      <c r="AJ29">
        <f t="shared" si="106"/>
        <v>14.223865310797228</v>
      </c>
      <c r="AK29">
        <f t="shared" si="106"/>
        <v>14.223865310797228</v>
      </c>
      <c r="AL29">
        <f t="shared" si="106"/>
        <v>14.223865310797228</v>
      </c>
      <c r="AM29">
        <f t="shared" si="106"/>
        <v>14.223865310797228</v>
      </c>
      <c r="AN29">
        <f t="shared" ref="AN29:BV29" si="107">13.11*($C$29/mmBTU_to_GJ)</f>
        <v>14.223865310797228</v>
      </c>
      <c r="AO29">
        <f t="shared" si="107"/>
        <v>14.223865310797228</v>
      </c>
      <c r="AP29">
        <f t="shared" si="107"/>
        <v>14.223865310797228</v>
      </c>
      <c r="AQ29">
        <f t="shared" si="107"/>
        <v>14.223865310797228</v>
      </c>
      <c r="AR29">
        <f t="shared" si="107"/>
        <v>14.223865310797228</v>
      </c>
      <c r="AS29">
        <f t="shared" si="107"/>
        <v>14.223865310797228</v>
      </c>
      <c r="AT29">
        <f t="shared" si="107"/>
        <v>14.223865310797228</v>
      </c>
      <c r="AU29">
        <f t="shared" si="107"/>
        <v>14.223865310797228</v>
      </c>
      <c r="AV29">
        <f t="shared" si="107"/>
        <v>14.223865310797228</v>
      </c>
      <c r="AW29">
        <f t="shared" si="107"/>
        <v>14.223865310797228</v>
      </c>
      <c r="AX29">
        <f t="shared" si="107"/>
        <v>14.223865310797228</v>
      </c>
      <c r="AY29">
        <f t="shared" si="107"/>
        <v>14.223865310797228</v>
      </c>
      <c r="AZ29">
        <f t="shared" si="107"/>
        <v>14.223865310797228</v>
      </c>
      <c r="BA29">
        <f t="shared" si="107"/>
        <v>14.223865310797228</v>
      </c>
      <c r="BB29">
        <f t="shared" si="107"/>
        <v>14.223865310797228</v>
      </c>
      <c r="BC29">
        <f t="shared" si="107"/>
        <v>14.223865310797228</v>
      </c>
      <c r="BD29">
        <f t="shared" si="107"/>
        <v>14.223865310797228</v>
      </c>
      <c r="BE29">
        <f t="shared" si="107"/>
        <v>14.223865310797228</v>
      </c>
      <c r="BF29">
        <f t="shared" si="107"/>
        <v>14.223865310797228</v>
      </c>
      <c r="BG29">
        <f t="shared" si="107"/>
        <v>14.223865310797228</v>
      </c>
      <c r="BH29">
        <f t="shared" si="107"/>
        <v>14.223865310797228</v>
      </c>
      <c r="BI29">
        <f t="shared" si="107"/>
        <v>14.223865310797228</v>
      </c>
      <c r="BJ29">
        <f t="shared" si="107"/>
        <v>14.223865310797228</v>
      </c>
      <c r="BK29">
        <f t="shared" si="107"/>
        <v>14.223865310797228</v>
      </c>
      <c r="BL29">
        <f t="shared" si="107"/>
        <v>14.223865310797228</v>
      </c>
      <c r="BM29">
        <f t="shared" si="107"/>
        <v>14.223865310797228</v>
      </c>
      <c r="BN29">
        <f t="shared" si="107"/>
        <v>14.223865310797228</v>
      </c>
      <c r="BO29">
        <f t="shared" si="107"/>
        <v>14.223865310797228</v>
      </c>
      <c r="BP29">
        <f t="shared" si="107"/>
        <v>14.223865310797228</v>
      </c>
      <c r="BQ29">
        <f t="shared" si="107"/>
        <v>14.223865310797228</v>
      </c>
      <c r="BR29">
        <f t="shared" si="107"/>
        <v>14.223865310797228</v>
      </c>
      <c r="BS29">
        <f t="shared" si="107"/>
        <v>14.223865310797228</v>
      </c>
      <c r="BT29">
        <f t="shared" si="107"/>
        <v>14.223865310797228</v>
      </c>
      <c r="BU29">
        <f t="shared" si="107"/>
        <v>14.223865310797228</v>
      </c>
      <c r="BV29">
        <f t="shared" si="107"/>
        <v>14.223865310797228</v>
      </c>
      <c r="BW29" s="1298">
        <f>+BV29*BW$136/BV$136</f>
        <v>14.271092726019944</v>
      </c>
      <c r="BX29" s="1298">
        <f t="shared" ref="BX29:CZ29" si="108">+BW29*BX$136/BW$136</f>
        <v>14.318476950147966</v>
      </c>
      <c r="BY29" s="1298">
        <f t="shared" si="108"/>
        <v>14.366018503832969</v>
      </c>
      <c r="BZ29" s="1298">
        <f t="shared" si="108"/>
        <v>14.413717909455341</v>
      </c>
      <c r="CA29" s="1298">
        <f t="shared" si="108"/>
        <v>14.461575691129934</v>
      </c>
      <c r="CB29" s="1298">
        <f t="shared" si="108"/>
        <v>14.49243565590395</v>
      </c>
      <c r="CC29" s="1298">
        <f t="shared" si="108"/>
        <v>14.523361473628309</v>
      </c>
      <c r="CD29" s="1298">
        <f t="shared" si="108"/>
        <v>14.554353284828478</v>
      </c>
      <c r="CE29" s="1298">
        <f t="shared" si="108"/>
        <v>14.585411230329802</v>
      </c>
      <c r="CF29" s="1298">
        <f t="shared" si="108"/>
        <v>14.616535451258134</v>
      </c>
      <c r="CG29" s="1298">
        <f t="shared" si="108"/>
        <v>14.626641288360148</v>
      </c>
      <c r="CH29" s="1298">
        <f t="shared" si="108"/>
        <v>14.636754112613382</v>
      </c>
      <c r="CI29" s="1298">
        <f t="shared" si="108"/>
        <v>14.646873928848736</v>
      </c>
      <c r="CJ29" s="1298">
        <f t="shared" si="108"/>
        <v>14.657000741900452</v>
      </c>
      <c r="CK29" s="1298">
        <f t="shared" si="108"/>
        <v>14.667134556606111</v>
      </c>
      <c r="CL29" s="1298">
        <f t="shared" si="108"/>
        <v>14.670569469948116</v>
      </c>
      <c r="CM29" s="1298">
        <f t="shared" si="108"/>
        <v>14.674005187716483</v>
      </c>
      <c r="CN29" s="1298">
        <f t="shared" si="108"/>
        <v>14.6774417100996</v>
      </c>
      <c r="CO29" s="1298">
        <f t="shared" si="108"/>
        <v>14.6808790372859</v>
      </c>
      <c r="CP29" s="1298">
        <f t="shared" si="108"/>
        <v>14.684317169463862</v>
      </c>
      <c r="CQ29" s="1298">
        <f t="shared" si="108"/>
        <v>14.689527988881515</v>
      </c>
      <c r="CR29" s="1298">
        <f t="shared" si="108"/>
        <v>14.69474065739019</v>
      </c>
      <c r="CS29" s="1298">
        <f t="shared" si="108"/>
        <v>14.699955175646044</v>
      </c>
      <c r="CT29" s="1298">
        <f t="shared" si="108"/>
        <v>14.705171544305472</v>
      </c>
      <c r="CU29" s="1298">
        <f t="shared" si="108"/>
        <v>14.710389764025104</v>
      </c>
      <c r="CV29" s="1298">
        <f t="shared" si="108"/>
        <v>14.718420626266095</v>
      </c>
      <c r="CW29" s="1298">
        <f t="shared" si="108"/>
        <v>14.726455872806168</v>
      </c>
      <c r="CX29" s="1298">
        <f t="shared" si="108"/>
        <v>14.734495506038849</v>
      </c>
      <c r="CY29" s="1298">
        <f t="shared" si="108"/>
        <v>14.74253952835897</v>
      </c>
      <c r="CZ29" s="1298">
        <f t="shared" si="108"/>
        <v>14.750587942162673</v>
      </c>
    </row>
    <row r="30" spans="1:104">
      <c r="A30" s="890" t="str">
        <f>'HyARC Physical Property Data'!A85</f>
        <v>Woody Biomass</v>
      </c>
      <c r="B30">
        <v>2005</v>
      </c>
      <c r="C30" s="811">
        <f>VLOOKUP(ref_year,DeflatorTable,2,FALSE)/VLOOKUP(B30,DeflatorTable,2,FALSE)</f>
        <v>1.2112501494873942</v>
      </c>
      <c r="D30" s="1171" t="str">
        <f>+'HyARC Physical Property Data'!$H$85</f>
        <v>kg</v>
      </c>
      <c r="E30" s="834" t="s">
        <v>1048</v>
      </c>
      <c r="F30">
        <f>'HyARC Physical Property Data'!$E$45</f>
        <v>19.551069237418005</v>
      </c>
      <c r="G30">
        <f>'HyARC Physical Property Data'!$I$45</f>
        <v>20.588656379262464</v>
      </c>
      <c r="H30" s="987">
        <v>1.3438238843289665</v>
      </c>
      <c r="I30" s="987">
        <v>1.3438238843289665</v>
      </c>
      <c r="J30" s="987">
        <v>1.3438238843289665</v>
      </c>
      <c r="K30" s="987">
        <v>1.3438238843289665</v>
      </c>
      <c r="L30" s="987">
        <v>1.3438238843289665</v>
      </c>
      <c r="M30" s="987">
        <v>1.3438238843289665</v>
      </c>
      <c r="N30" s="891">
        <f>1.27*($C$30)</f>
        <v>1.5382876898489906</v>
      </c>
      <c r="O30" s="891">
        <f>1.27*($C$30)</f>
        <v>1.5382876898489906</v>
      </c>
      <c r="P30" s="891">
        <f>1.28*($C$30)</f>
        <v>1.5504001913438645</v>
      </c>
      <c r="Q30" s="891">
        <f>1.32*($C$30)</f>
        <v>1.5988501973233604</v>
      </c>
      <c r="R30" s="891">
        <f>1.32*($C$30)</f>
        <v>1.5988501973233604</v>
      </c>
      <c r="S30" s="891">
        <f>1.34*($C$30)</f>
        <v>1.6230752003131084</v>
      </c>
      <c r="T30" s="891">
        <f>1.34*($C$30)</f>
        <v>1.6230752003131084</v>
      </c>
      <c r="U30" s="891">
        <f>1.36*($C$30)</f>
        <v>1.6473002033028561</v>
      </c>
      <c r="V30" s="891">
        <f>1.36*($C$30)</f>
        <v>1.6473002033028561</v>
      </c>
      <c r="W30" s="891">
        <f>1.38*($C$30)</f>
        <v>1.6715252062926038</v>
      </c>
      <c r="X30" s="891">
        <f>1.4*($C$30)</f>
        <v>1.6957502092823518</v>
      </c>
      <c r="Y30" s="891">
        <f>1.46*($C$30)</f>
        <v>1.7684252182515954</v>
      </c>
      <c r="Z30" s="891">
        <f>1.48*($C$30)</f>
        <v>1.7926502212413433</v>
      </c>
      <c r="AA30" s="891">
        <f>1.48*($C$30)</f>
        <v>1.7926502212413433</v>
      </c>
      <c r="AB30" s="891">
        <f>1.51*($C$30)</f>
        <v>1.8289877257259652</v>
      </c>
      <c r="AC30" s="891">
        <f>1.52*($C$30)</f>
        <v>1.8411002272208392</v>
      </c>
      <c r="AD30" s="891">
        <f>1.62*($C$30)</f>
        <v>1.9622252421695787</v>
      </c>
      <c r="AE30" s="891">
        <f>1.72*($C$30)</f>
        <v>2.083350257118318</v>
      </c>
      <c r="AF30" s="891">
        <f>1.82*($C$30)</f>
        <v>2.2044752720670573</v>
      </c>
      <c r="AG30" s="891">
        <f>1.91*($C$30)</f>
        <v>2.3134877855209228</v>
      </c>
      <c r="AH30" s="891">
        <f>2.01*($C$30)</f>
        <v>2.4346128004696621</v>
      </c>
      <c r="AI30" s="891">
        <f>2.11*($C$30)</f>
        <v>2.5557378154184014</v>
      </c>
      <c r="AJ30" s="891">
        <f>2.2*($C$30)</f>
        <v>2.6647503288722674</v>
      </c>
      <c r="AK30" s="891">
        <f>2.3*($C$30)</f>
        <v>2.7858753438210062</v>
      </c>
      <c r="AL30" s="891">
        <f>2.4*($C$30)</f>
        <v>2.9070003587697459</v>
      </c>
      <c r="AM30" s="891">
        <f>2.5*($C$30)</f>
        <v>3.0281253737184857</v>
      </c>
      <c r="AN30" s="891">
        <f>2.57*($C$30)</f>
        <v>3.1129128841826028</v>
      </c>
      <c r="AO30" s="891">
        <f>2.64*($C$30)</f>
        <v>3.1977003946467208</v>
      </c>
      <c r="AP30" s="891">
        <f>2.71*($C$30)</f>
        <v>3.282487905110838</v>
      </c>
      <c r="AQ30" s="891">
        <f>2.78*($C$30)</f>
        <v>3.3672754155749556</v>
      </c>
      <c r="AR30" s="891">
        <f>2.85*($C$30)</f>
        <v>3.4520629260390736</v>
      </c>
      <c r="AS30" s="891">
        <f>2.92*($C$30)</f>
        <v>3.5368504365031908</v>
      </c>
      <c r="AT30" s="891">
        <f>2.99*($C$30)</f>
        <v>3.6216379469673088</v>
      </c>
      <c r="AU30" s="891">
        <f>3.07*($C$30)</f>
        <v>3.7185379589263001</v>
      </c>
      <c r="AV30" s="891">
        <f>3.14*($C$30)</f>
        <v>3.8033254693904177</v>
      </c>
      <c r="AW30" s="891">
        <f>3.21*($C$30)</f>
        <v>3.8881129798545353</v>
      </c>
      <c r="AX30" s="891">
        <f>3.28*($C$30)</f>
        <v>3.9729004903186529</v>
      </c>
      <c r="AY30" s="891">
        <f>3.35*($C$30)</f>
        <v>4.0576880007827709</v>
      </c>
      <c r="AZ30" s="891">
        <f>3.42*($C$30)</f>
        <v>4.1424755112468876</v>
      </c>
      <c r="BA30" s="891">
        <f>3.49*($C$30)</f>
        <v>4.2272630217110061</v>
      </c>
      <c r="BB30" s="891">
        <f>3.56*($C$30)</f>
        <v>4.3120505321751237</v>
      </c>
      <c r="BC30" s="891">
        <f>3.64*($C$30)</f>
        <v>4.4089505441341146</v>
      </c>
      <c r="BD30" s="891">
        <f>3.71*($C$30)</f>
        <v>4.4937380545982322</v>
      </c>
      <c r="BE30" s="891">
        <f>3.78*($C$30)</f>
        <v>4.5785255650623498</v>
      </c>
      <c r="BF30" s="891">
        <f>3.85*($C$30)</f>
        <v>4.6633130755264673</v>
      </c>
      <c r="BG30" s="891">
        <f>3.92*($C$30)</f>
        <v>4.7481005859905849</v>
      </c>
      <c r="BH30" s="891">
        <f>3.99*($C$30)</f>
        <v>4.8328880964547034</v>
      </c>
      <c r="BI30" s="891">
        <f>4.06*($C$30)</f>
        <v>4.9176756069188201</v>
      </c>
      <c r="BJ30" s="891">
        <f>4.14*($C$30)</f>
        <v>5.0145756188778119</v>
      </c>
      <c r="BK30" s="891">
        <f>4.21*($C$30)</f>
        <v>5.0993631293419295</v>
      </c>
      <c r="BL30" s="891">
        <f>4.28*($C$30)</f>
        <v>5.1841506398060471</v>
      </c>
      <c r="BM30" s="891">
        <f>4.35*($C$30)</f>
        <v>5.2689381502701647</v>
      </c>
      <c r="BN30" s="891">
        <f>4.42*($C$30)</f>
        <v>5.3537256607342822</v>
      </c>
      <c r="BO30" s="891">
        <f>4.49*($C$30)</f>
        <v>5.4385131711983998</v>
      </c>
      <c r="BP30" s="891">
        <f>4.56*($C$30)</f>
        <v>5.5233006816625174</v>
      </c>
      <c r="BQ30" s="891">
        <f>4.63*($C$30)</f>
        <v>5.608088192126635</v>
      </c>
      <c r="BR30" s="891">
        <f>4.71*($C$30)</f>
        <v>5.7049882040856268</v>
      </c>
      <c r="BS30" s="891">
        <f>4.78*($C$30)</f>
        <v>5.7897757145497444</v>
      </c>
      <c r="BT30" s="891">
        <f>4.85*($C$30)</f>
        <v>5.8745632250138611</v>
      </c>
      <c r="BU30" s="891">
        <f>4.92*($C$30)</f>
        <v>5.9593507354779796</v>
      </c>
      <c r="BV30" s="892">
        <f>4.99*($C$30)</f>
        <v>6.0441382459420971</v>
      </c>
      <c r="BW30" s="1298">
        <f>+BV30*BW$137/BV$137</f>
        <v>6.0586659764672328</v>
      </c>
      <c r="BX30" s="1298">
        <f t="shared" ref="BX30:CZ30" si="109">+BW30*BX$137/BW$137</f>
        <v>6.0732286259412112</v>
      </c>
      <c r="BY30" s="1298">
        <f t="shared" si="109"/>
        <v>6.0878262782954495</v>
      </c>
      <c r="BZ30" s="1298">
        <f t="shared" si="109"/>
        <v>6.1024590176630999</v>
      </c>
      <c r="CA30" s="1298">
        <f t="shared" si="109"/>
        <v>6.1171269283795393</v>
      </c>
      <c r="CB30" s="1298">
        <f t="shared" si="109"/>
        <v>6.1299667153690152</v>
      </c>
      <c r="CC30" s="1298">
        <f t="shared" si="109"/>
        <v>6.1428334529403346</v>
      </c>
      <c r="CD30" s="1298">
        <f t="shared" si="109"/>
        <v>6.155727197662495</v>
      </c>
      <c r="CE30" s="1298">
        <f t="shared" si="109"/>
        <v>6.1686480062232301</v>
      </c>
      <c r="CF30" s="1298">
        <f t="shared" si="109"/>
        <v>6.18159593542926</v>
      </c>
      <c r="CG30" s="1298">
        <f t="shared" si="109"/>
        <v>6.197524392005751</v>
      </c>
      <c r="CH30" s="1298">
        <f t="shared" si="109"/>
        <v>6.2134938923080965</v>
      </c>
      <c r="CI30" s="1298">
        <f t="shared" si="109"/>
        <v>6.229504542095909</v>
      </c>
      <c r="CJ30" s="1298">
        <f t="shared" si="109"/>
        <v>6.245556447401321</v>
      </c>
      <c r="CK30" s="1298">
        <f t="shared" si="109"/>
        <v>6.2616497145296828</v>
      </c>
      <c r="CL30" s="1298">
        <f t="shared" si="109"/>
        <v>6.2750522655841658</v>
      </c>
      <c r="CM30" s="1298">
        <f t="shared" si="109"/>
        <v>6.2884835037072264</v>
      </c>
      <c r="CN30" s="1298">
        <f t="shared" si="109"/>
        <v>6.3019434903011975</v>
      </c>
      <c r="CO30" s="1298">
        <f t="shared" si="109"/>
        <v>6.3154322868998385</v>
      </c>
      <c r="CP30" s="1298">
        <f t="shared" si="109"/>
        <v>6.3289499551686168</v>
      </c>
      <c r="CQ30" s="1298">
        <f t="shared" si="109"/>
        <v>6.3413225489579119</v>
      </c>
      <c r="CR30" s="1298">
        <f t="shared" si="109"/>
        <v>6.3537193301840116</v>
      </c>
      <c r="CS30" s="1298">
        <f t="shared" si="109"/>
        <v>6.3661403461314299</v>
      </c>
      <c r="CT30" s="1298">
        <f t="shared" si="109"/>
        <v>6.3785856441771198</v>
      </c>
      <c r="CU30" s="1298">
        <f t="shared" si="109"/>
        <v>6.3910552717906537</v>
      </c>
      <c r="CV30" s="1298">
        <f t="shared" si="109"/>
        <v>6.4057772391562917</v>
      </c>
      <c r="CW30" s="1298">
        <f t="shared" si="109"/>
        <v>6.4205331189689208</v>
      </c>
      <c r="CX30" s="1298">
        <f t="shared" si="109"/>
        <v>6.4353229893467718</v>
      </c>
      <c r="CY30" s="1298">
        <f t="shared" si="109"/>
        <v>6.4501469285880244</v>
      </c>
      <c r="CZ30" s="1298">
        <f t="shared" si="109"/>
        <v>6.4650050151712186</v>
      </c>
    </row>
    <row r="31" spans="1:104">
      <c r="A31" s="890" t="str">
        <f>'HyARC Physical Property Data'!$A$87</f>
        <v>Woody Biomass MYPP</v>
      </c>
      <c r="B31">
        <v>2007</v>
      </c>
      <c r="C31" s="811">
        <f>VLOOKUP(ref_year,DeflatorTable,2,FALSE)/VLOOKUP(B31,DeflatorTable,2,FALSE)</f>
        <v>1.1446359956438654</v>
      </c>
      <c r="D31" s="1171" t="str">
        <f>+'HyARC Physical Property Data'!$H$87</f>
        <v>kg</v>
      </c>
      <c r="E31" s="834" t="s">
        <v>1048</v>
      </c>
      <c r="F31">
        <v>18.608000000000001</v>
      </c>
      <c r="H31" s="986">
        <v>4.4443250214961303</v>
      </c>
      <c r="I31" s="986">
        <v>4.4443250214961303</v>
      </c>
      <c r="J31" s="986">
        <v>4.4443250214961303</v>
      </c>
      <c r="K31" s="986">
        <v>4.4443250214961303</v>
      </c>
      <c r="L31" s="986">
        <v>4.4443250214961303</v>
      </c>
      <c r="M31" s="986">
        <v>4.4443250214961303</v>
      </c>
      <c r="N31">
        <f>4.44432502149613*$C$31</f>
        <v>5.0871343959451663</v>
      </c>
      <c r="O31" s="891">
        <f t="shared" ref="O31:T31" si="110">N31-($N$31-$U$31)/7</f>
        <v>4.9664808197552768</v>
      </c>
      <c r="P31" s="891">
        <f t="shared" si="110"/>
        <v>4.8458272435653873</v>
      </c>
      <c r="Q31" s="891">
        <f t="shared" si="110"/>
        <v>4.7251736673754978</v>
      </c>
      <c r="R31" s="891">
        <f t="shared" si="110"/>
        <v>4.6045200911856083</v>
      </c>
      <c r="S31" s="891">
        <f t="shared" si="110"/>
        <v>4.4838665149957189</v>
      </c>
      <c r="T31" s="891">
        <f t="shared" si="110"/>
        <v>4.3632129388058294</v>
      </c>
      <c r="U31" s="891">
        <f>3.70647033533964*$C$31</f>
        <v>4.2425593626159408</v>
      </c>
      <c r="V31" s="891">
        <f t="shared" ref="V31:BV31" si="111">3.70647033533964*$C$31</f>
        <v>4.2425593626159408</v>
      </c>
      <c r="W31" s="891">
        <f t="shared" si="111"/>
        <v>4.2425593626159408</v>
      </c>
      <c r="X31" s="891">
        <f t="shared" si="111"/>
        <v>4.2425593626159408</v>
      </c>
      <c r="Y31" s="891">
        <f t="shared" si="111"/>
        <v>4.2425593626159408</v>
      </c>
      <c r="Z31" s="891">
        <f t="shared" si="111"/>
        <v>4.2425593626159408</v>
      </c>
      <c r="AA31" s="891">
        <f t="shared" si="111"/>
        <v>4.2425593626159408</v>
      </c>
      <c r="AB31" s="891">
        <f t="shared" si="111"/>
        <v>4.2425593626159408</v>
      </c>
      <c r="AC31" s="891">
        <f t="shared" si="111"/>
        <v>4.2425593626159408</v>
      </c>
      <c r="AD31" s="891">
        <f t="shared" si="111"/>
        <v>4.2425593626159408</v>
      </c>
      <c r="AE31" s="891">
        <f t="shared" si="111"/>
        <v>4.2425593626159408</v>
      </c>
      <c r="AF31" s="891">
        <f t="shared" si="111"/>
        <v>4.2425593626159408</v>
      </c>
      <c r="AG31" s="891">
        <f t="shared" si="111"/>
        <v>4.2425593626159408</v>
      </c>
      <c r="AH31" s="891">
        <f t="shared" si="111"/>
        <v>4.2425593626159408</v>
      </c>
      <c r="AI31" s="891">
        <f t="shared" si="111"/>
        <v>4.2425593626159408</v>
      </c>
      <c r="AJ31" s="891">
        <f t="shared" si="111"/>
        <v>4.2425593626159408</v>
      </c>
      <c r="AK31" s="891">
        <f t="shared" si="111"/>
        <v>4.2425593626159408</v>
      </c>
      <c r="AL31" s="891">
        <f t="shared" si="111"/>
        <v>4.2425593626159408</v>
      </c>
      <c r="AM31" s="891">
        <f t="shared" si="111"/>
        <v>4.2425593626159408</v>
      </c>
      <c r="AN31" s="891">
        <f t="shared" si="111"/>
        <v>4.2425593626159408</v>
      </c>
      <c r="AO31" s="891">
        <f t="shared" si="111"/>
        <v>4.2425593626159408</v>
      </c>
      <c r="AP31" s="891">
        <f t="shared" si="111"/>
        <v>4.2425593626159408</v>
      </c>
      <c r="AQ31" s="891">
        <f t="shared" si="111"/>
        <v>4.2425593626159408</v>
      </c>
      <c r="AR31" s="891">
        <f t="shared" si="111"/>
        <v>4.2425593626159408</v>
      </c>
      <c r="AS31" s="891">
        <f t="shared" si="111"/>
        <v>4.2425593626159408</v>
      </c>
      <c r="AT31" s="891">
        <f t="shared" si="111"/>
        <v>4.2425593626159408</v>
      </c>
      <c r="AU31" s="891">
        <f t="shared" si="111"/>
        <v>4.2425593626159408</v>
      </c>
      <c r="AV31" s="891">
        <f t="shared" si="111"/>
        <v>4.2425593626159408</v>
      </c>
      <c r="AW31" s="891">
        <f t="shared" si="111"/>
        <v>4.2425593626159408</v>
      </c>
      <c r="AX31" s="891">
        <f t="shared" si="111"/>
        <v>4.2425593626159408</v>
      </c>
      <c r="AY31" s="891">
        <f t="shared" si="111"/>
        <v>4.2425593626159408</v>
      </c>
      <c r="AZ31" s="891">
        <f t="shared" si="111"/>
        <v>4.2425593626159408</v>
      </c>
      <c r="BA31" s="891">
        <f t="shared" si="111"/>
        <v>4.2425593626159408</v>
      </c>
      <c r="BB31" s="891">
        <f t="shared" si="111"/>
        <v>4.2425593626159408</v>
      </c>
      <c r="BC31" s="891">
        <f t="shared" si="111"/>
        <v>4.2425593626159408</v>
      </c>
      <c r="BD31" s="891">
        <f t="shared" si="111"/>
        <v>4.2425593626159408</v>
      </c>
      <c r="BE31" s="891">
        <f t="shared" si="111"/>
        <v>4.2425593626159408</v>
      </c>
      <c r="BF31" s="891">
        <f t="shared" si="111"/>
        <v>4.2425593626159408</v>
      </c>
      <c r="BG31" s="891">
        <f t="shared" si="111"/>
        <v>4.2425593626159408</v>
      </c>
      <c r="BH31" s="891">
        <f t="shared" si="111"/>
        <v>4.2425593626159408</v>
      </c>
      <c r="BI31" s="891">
        <f t="shared" si="111"/>
        <v>4.2425593626159408</v>
      </c>
      <c r="BJ31" s="891">
        <f t="shared" si="111"/>
        <v>4.2425593626159408</v>
      </c>
      <c r="BK31" s="891">
        <f t="shared" si="111"/>
        <v>4.2425593626159408</v>
      </c>
      <c r="BL31" s="891">
        <f t="shared" si="111"/>
        <v>4.2425593626159408</v>
      </c>
      <c r="BM31" s="891">
        <f t="shared" si="111"/>
        <v>4.2425593626159408</v>
      </c>
      <c r="BN31" s="891">
        <f t="shared" si="111"/>
        <v>4.2425593626159408</v>
      </c>
      <c r="BO31" s="891">
        <f t="shared" si="111"/>
        <v>4.2425593626159408</v>
      </c>
      <c r="BP31" s="891">
        <f t="shared" si="111"/>
        <v>4.2425593626159408</v>
      </c>
      <c r="BQ31" s="891">
        <f t="shared" si="111"/>
        <v>4.2425593626159408</v>
      </c>
      <c r="BR31" s="891">
        <f t="shared" si="111"/>
        <v>4.2425593626159408</v>
      </c>
      <c r="BS31" s="891">
        <f t="shared" si="111"/>
        <v>4.2425593626159408</v>
      </c>
      <c r="BT31" s="891">
        <f t="shared" si="111"/>
        <v>4.2425593626159408</v>
      </c>
      <c r="BU31" s="891">
        <f t="shared" si="111"/>
        <v>4.2425593626159408</v>
      </c>
      <c r="BV31" s="891">
        <f t="shared" si="111"/>
        <v>4.2425593626159408</v>
      </c>
      <c r="BW31" s="1298">
        <f>+BV31*BW$137/BV$137</f>
        <v>4.2527568062628252</v>
      </c>
      <c r="BX31" s="1298">
        <f t="shared" ref="BX31:CZ31" si="112">+BW31*BX$137/BW$137</f>
        <v>4.2629787605524712</v>
      </c>
      <c r="BY31" s="1298">
        <f t="shared" si="112"/>
        <v>4.2732252843988219</v>
      </c>
      <c r="BZ31" s="1298">
        <f t="shared" si="112"/>
        <v>4.2834964368574244</v>
      </c>
      <c r="CA31" s="1298">
        <f t="shared" si="112"/>
        <v>4.2937922771257746</v>
      </c>
      <c r="CB31" s="1298">
        <f t="shared" si="112"/>
        <v>4.302804903291757</v>
      </c>
      <c r="CC31" s="1298">
        <f t="shared" si="112"/>
        <v>4.3118364468680763</v>
      </c>
      <c r="CD31" s="1298">
        <f t="shared" si="112"/>
        <v>4.3208869475621841</v>
      </c>
      <c r="CE31" s="1298">
        <f t="shared" si="112"/>
        <v>4.3299564451648767</v>
      </c>
      <c r="CF31" s="1298">
        <f t="shared" si="112"/>
        <v>4.3390449795504713</v>
      </c>
      <c r="CG31" s="1298">
        <f t="shared" si="112"/>
        <v>4.3502256342328796</v>
      </c>
      <c r="CH31" s="1298">
        <f t="shared" si="112"/>
        <v>4.361435098720146</v>
      </c>
      <c r="CI31" s="1298">
        <f t="shared" si="112"/>
        <v>4.3726734472480695</v>
      </c>
      <c r="CJ31" s="1298">
        <f t="shared" si="112"/>
        <v>4.3839407542437394</v>
      </c>
      <c r="CK31" s="1298">
        <f t="shared" si="112"/>
        <v>4.3952370943260251</v>
      </c>
      <c r="CL31" s="1298">
        <f t="shared" si="112"/>
        <v>4.4046447412304142</v>
      </c>
      <c r="CM31" s="1298">
        <f t="shared" si="112"/>
        <v>4.4140725244365262</v>
      </c>
      <c r="CN31" s="1298">
        <f t="shared" si="112"/>
        <v>4.4235204870444758</v>
      </c>
      <c r="CO31" s="1298">
        <f t="shared" si="112"/>
        <v>4.4329886722466272</v>
      </c>
      <c r="CP31" s="1298">
        <f t="shared" si="112"/>
        <v>4.4424771233277953</v>
      </c>
      <c r="CQ31" s="1298">
        <f t="shared" si="112"/>
        <v>4.4511618127714661</v>
      </c>
      <c r="CR31" s="1298">
        <f t="shared" si="112"/>
        <v>4.4598634800922632</v>
      </c>
      <c r="CS31" s="1298">
        <f t="shared" si="112"/>
        <v>4.4685821584805847</v>
      </c>
      <c r="CT31" s="1298">
        <f t="shared" si="112"/>
        <v>4.4773178811917154</v>
      </c>
      <c r="CU31" s="1298">
        <f t="shared" si="112"/>
        <v>4.486070681545951</v>
      </c>
      <c r="CV31" s="1298">
        <f t="shared" si="112"/>
        <v>4.4964044657748525</v>
      </c>
      <c r="CW31" s="1298">
        <f t="shared" si="112"/>
        <v>4.5067620541531026</v>
      </c>
      <c r="CX31" s="1298">
        <f t="shared" si="112"/>
        <v>4.5171435015141972</v>
      </c>
      <c r="CY31" s="1298">
        <f t="shared" si="112"/>
        <v>4.5275488628179446</v>
      </c>
      <c r="CZ31" s="1298">
        <f t="shared" si="112"/>
        <v>4.537978193150753</v>
      </c>
    </row>
    <row r="32" spans="1:104">
      <c r="A32" s="896" t="str">
        <f>'HyARC Physical Property Data'!A79</f>
        <v>Electric Utility Steam Coal</v>
      </c>
      <c r="B32">
        <v>2011</v>
      </c>
      <c r="C32" s="811">
        <f>VLOOKUP(ref_year,DeflatorTable,2,FALSE)/VLOOKUP(B32,DeflatorTable,2,FALSE)</f>
        <v>1.0784554773635862</v>
      </c>
      <c r="D32" s="1171" t="str">
        <f>+'HyARC Physical Property Data'!$H$79</f>
        <v>kg</v>
      </c>
      <c r="E32" s="834" t="s">
        <v>1048</v>
      </c>
      <c r="F32">
        <f>'HyARC Physical Property Data'!E42</f>
        <v>22.7322030001394</v>
      </c>
      <c r="G32">
        <f>'HyARC Physical Property Data'!I42</f>
        <v>23.967615189707661</v>
      </c>
      <c r="H32" s="986">
        <v>1.7344499599167666</v>
      </c>
      <c r="I32" s="986">
        <v>1.7344499599167666</v>
      </c>
      <c r="J32" s="986">
        <v>1.7344499599167666</v>
      </c>
      <c r="K32" s="986">
        <v>1.7788973636542149</v>
      </c>
      <c r="L32" s="986">
        <v>1.9298772179141501</v>
      </c>
      <c r="M32" s="986">
        <v>1.9810774561110811</v>
      </c>
      <c r="N32">
        <f t="shared" ref="N32:AR32" si="113">N50*($C32/mmBTU_to_GJ*$G32/$F32)</f>
        <v>2.4767433408545654</v>
      </c>
      <c r="O32">
        <f t="shared" si="113"/>
        <v>2.5651337544408896</v>
      </c>
      <c r="P32">
        <f t="shared" si="113"/>
        <v>2.592373750453385</v>
      </c>
      <c r="Q32">
        <f t="shared" si="113"/>
        <v>2.5186929778253004</v>
      </c>
      <c r="R32">
        <f t="shared" si="113"/>
        <v>2.5813167306269946</v>
      </c>
      <c r="S32">
        <f t="shared" si="113"/>
        <v>2.582493674349621</v>
      </c>
      <c r="T32">
        <f t="shared" si="113"/>
        <v>2.6495298883238707</v>
      </c>
      <c r="U32">
        <f t="shared" si="113"/>
        <v>2.6645951990883976</v>
      </c>
      <c r="V32">
        <f t="shared" si="113"/>
        <v>2.6731948638895253</v>
      </c>
      <c r="W32">
        <f t="shared" si="113"/>
        <v>2.6770339422228524</v>
      </c>
      <c r="X32">
        <f t="shared" si="113"/>
        <v>2.7117742599988581</v>
      </c>
      <c r="Y32">
        <f t="shared" si="113"/>
        <v>2.7445379158817356</v>
      </c>
      <c r="Z32">
        <f t="shared" si="113"/>
        <v>2.7930415773737955</v>
      </c>
      <c r="AA32">
        <f t="shared" si="113"/>
        <v>2.8325090702115565</v>
      </c>
      <c r="AB32">
        <f t="shared" si="113"/>
        <v>2.8662642904028734</v>
      </c>
      <c r="AC32">
        <f t="shared" si="113"/>
        <v>2.9010186194136725</v>
      </c>
      <c r="AD32">
        <f t="shared" si="113"/>
        <v>2.940829926397512</v>
      </c>
      <c r="AE32">
        <f t="shared" si="113"/>
        <v>2.9767170098519729</v>
      </c>
      <c r="AF32">
        <f t="shared" si="113"/>
        <v>3.0091724185694009</v>
      </c>
      <c r="AG32">
        <f t="shared" si="113"/>
        <v>3.0482659192169139</v>
      </c>
      <c r="AH32">
        <f t="shared" si="113"/>
        <v>3.0901131663949291</v>
      </c>
      <c r="AI32">
        <f t="shared" si="113"/>
        <v>3.1223497842921248</v>
      </c>
      <c r="AJ32">
        <f t="shared" si="113"/>
        <v>3.1512808285654264</v>
      </c>
      <c r="AK32">
        <f t="shared" si="113"/>
        <v>3.1840250842770517</v>
      </c>
      <c r="AL32">
        <f t="shared" si="113"/>
        <v>3.2199865350546464</v>
      </c>
      <c r="AM32">
        <f t="shared" si="113"/>
        <v>3.2659164404939314</v>
      </c>
      <c r="AN32">
        <f t="shared" si="113"/>
        <v>3.3055854795552553</v>
      </c>
      <c r="AO32">
        <f t="shared" si="113"/>
        <v>3.3425050832352436</v>
      </c>
      <c r="AP32">
        <f t="shared" si="113"/>
        <v>3.3788577707997551</v>
      </c>
      <c r="AQ32">
        <f t="shared" si="113"/>
        <v>3.4165792482248296</v>
      </c>
      <c r="AR32">
        <f t="shared" si="113"/>
        <v>3.4505834372805482</v>
      </c>
      <c r="AS32">
        <f t="shared" ref="AS32:BA32" si="114">($BB32-$AR32)/10+AR32</f>
        <v>3.4478678685678643</v>
      </c>
      <c r="AT32">
        <f t="shared" si="114"/>
        <v>3.44515229985518</v>
      </c>
      <c r="AU32">
        <f t="shared" si="114"/>
        <v>3.4424367311424957</v>
      </c>
      <c r="AV32">
        <f t="shared" si="114"/>
        <v>3.4397211624298114</v>
      </c>
      <c r="AW32">
        <f t="shared" si="114"/>
        <v>3.4370055937171271</v>
      </c>
      <c r="AX32">
        <f t="shared" si="114"/>
        <v>3.4342900250044428</v>
      </c>
      <c r="AY32">
        <f t="shared" si="114"/>
        <v>3.4315744562917585</v>
      </c>
      <c r="AZ32">
        <f t="shared" si="114"/>
        <v>3.4288588875790742</v>
      </c>
      <c r="BA32">
        <f t="shared" si="114"/>
        <v>3.4261433188663899</v>
      </c>
      <c r="BB32" s="868">
        <f>('AEO Data'!$B$28*AM32)</f>
        <v>3.4234277501537074</v>
      </c>
      <c r="BC32">
        <f>(($BQ$32-$BB$32)/15+BB32)</f>
        <v>3.435442052510095</v>
      </c>
      <c r="BD32">
        <f t="shared" ref="BD32:BP32" si="115">(($BQ$32-$BB$32)/15+BC32)</f>
        <v>3.4474563548664827</v>
      </c>
      <c r="BE32">
        <f t="shared" si="115"/>
        <v>3.4594706572228704</v>
      </c>
      <c r="BF32">
        <f t="shared" si="115"/>
        <v>3.4714849595792581</v>
      </c>
      <c r="BG32">
        <f t="shared" si="115"/>
        <v>3.4834992619356457</v>
      </c>
      <c r="BH32">
        <f t="shared" si="115"/>
        <v>3.4955135642920334</v>
      </c>
      <c r="BI32">
        <f t="shared" si="115"/>
        <v>3.5075278666484211</v>
      </c>
      <c r="BJ32">
        <f t="shared" si="115"/>
        <v>3.5195421690048088</v>
      </c>
      <c r="BK32">
        <f t="shared" si="115"/>
        <v>3.5315564713611964</v>
      </c>
      <c r="BL32">
        <f t="shared" si="115"/>
        <v>3.5435707737175841</v>
      </c>
      <c r="BM32">
        <f t="shared" si="115"/>
        <v>3.5555850760739718</v>
      </c>
      <c r="BN32">
        <f t="shared" si="115"/>
        <v>3.5675993784303595</v>
      </c>
      <c r="BO32">
        <f t="shared" si="115"/>
        <v>3.5796136807867471</v>
      </c>
      <c r="BP32">
        <f t="shared" si="115"/>
        <v>3.5916279831431348</v>
      </c>
      <c r="BQ32" s="868">
        <f>('AEO Data'!$C$28*BB32)</f>
        <v>3.6036422854995251</v>
      </c>
      <c r="BR32">
        <f>(($BV$32-$BQ$32)/5+BQ32)</f>
        <v>3.6151952056451568</v>
      </c>
      <c r="BS32">
        <f>(($BV$32-$BQ$32)/5+BR32)</f>
        <v>3.6267481257907885</v>
      </c>
      <c r="BT32">
        <f>(($BV$32-$BQ$32)/5+BS32)</f>
        <v>3.6383010459364202</v>
      </c>
      <c r="BU32">
        <f>(($BV$32-$BQ$32)/5+BT32)</f>
        <v>3.6498539660820519</v>
      </c>
      <c r="BV32" s="889">
        <f>('AEO Data'!$D$28*BQ32)</f>
        <v>3.6614068862276832</v>
      </c>
      <c r="BW32" s="1298">
        <f>+BV32*BW$138/BV$138</f>
        <v>3.6737859390461725</v>
      </c>
      <c r="BX32" s="1298">
        <f t="shared" ref="BX32:CZ32" si="116">+BW32*BX$138/BW$138</f>
        <v>3.6862068448882255</v>
      </c>
      <c r="BY32" s="1298">
        <f t="shared" si="116"/>
        <v>3.6986697452570407</v>
      </c>
      <c r="BZ32" s="1298">
        <f t="shared" si="116"/>
        <v>3.7111747821342336</v>
      </c>
      <c r="CA32" s="1298">
        <f t="shared" si="116"/>
        <v>3.7237220979814545</v>
      </c>
      <c r="CB32" s="1298">
        <f t="shared" si="116"/>
        <v>3.7343836989714818</v>
      </c>
      <c r="CC32" s="1298">
        <f t="shared" si="116"/>
        <v>3.7450758257990131</v>
      </c>
      <c r="CD32" s="1298">
        <f t="shared" si="116"/>
        <v>3.7557985658643127</v>
      </c>
      <c r="CE32" s="1298">
        <f t="shared" si="116"/>
        <v>3.766552006817887</v>
      </c>
      <c r="CF32" s="1298">
        <f t="shared" si="116"/>
        <v>3.7773362365611991</v>
      </c>
      <c r="CG32" s="1298">
        <f t="shared" si="116"/>
        <v>3.7855700072018039</v>
      </c>
      <c r="CH32" s="1298">
        <f t="shared" si="116"/>
        <v>3.7938217256698499</v>
      </c>
      <c r="CI32" s="1298">
        <f t="shared" si="116"/>
        <v>3.8020914310876934</v>
      </c>
      <c r="CJ32" s="1298">
        <f t="shared" si="116"/>
        <v>3.8103791626629699</v>
      </c>
      <c r="CK32" s="1298">
        <f t="shared" si="116"/>
        <v>3.818684959688778</v>
      </c>
      <c r="CL32" s="1298">
        <f t="shared" si="116"/>
        <v>3.8243155975254672</v>
      </c>
      <c r="CM32" s="1298">
        <f t="shared" si="116"/>
        <v>3.8299545377182778</v>
      </c>
      <c r="CN32" s="1298">
        <f t="shared" si="116"/>
        <v>3.8356017925090047</v>
      </c>
      <c r="CO32" s="1298">
        <f t="shared" si="116"/>
        <v>3.841257374157494</v>
      </c>
      <c r="CP32" s="1298">
        <f t="shared" si="116"/>
        <v>3.846921294941668</v>
      </c>
      <c r="CQ32" s="1298">
        <f t="shared" si="116"/>
        <v>3.8488180534393406</v>
      </c>
      <c r="CR32" s="1298">
        <f t="shared" si="116"/>
        <v>3.8507157471505309</v>
      </c>
      <c r="CS32" s="1298">
        <f t="shared" si="116"/>
        <v>3.852614376536355</v>
      </c>
      <c r="CT32" s="1298">
        <f t="shared" si="116"/>
        <v>3.8545139420581549</v>
      </c>
      <c r="CU32" s="1298">
        <f t="shared" si="116"/>
        <v>3.8564144441775015</v>
      </c>
      <c r="CV32" s="1298">
        <f t="shared" si="116"/>
        <v>3.853683012772128</v>
      </c>
      <c r="CW32" s="1298">
        <f t="shared" si="116"/>
        <v>3.8509535159922028</v>
      </c>
      <c r="CX32" s="1298">
        <f t="shared" si="116"/>
        <v>3.8482259524674642</v>
      </c>
      <c r="CY32" s="1298">
        <f t="shared" si="116"/>
        <v>3.8455003208286209</v>
      </c>
      <c r="CZ32" s="1298">
        <f t="shared" si="116"/>
        <v>3.8427766197073518</v>
      </c>
    </row>
    <row r="33" spans="1:104">
      <c r="A33" s="890" t="str">
        <f>'HyARC Physical Property Data'!A76</f>
        <v>Commercial Electricity</v>
      </c>
      <c r="B33">
        <v>2011</v>
      </c>
      <c r="C33" s="811">
        <f t="shared" si="99"/>
        <v>1.0784554773635862</v>
      </c>
      <c r="D33" s="1171" t="str">
        <f>'HyARC Physical Property Data'!$H$76</f>
        <v>kWh</v>
      </c>
      <c r="E33" s="811" t="s">
        <v>1067</v>
      </c>
      <c r="F33" s="811"/>
      <c r="G33" s="811"/>
      <c r="H33" s="986">
        <v>26.896922396257633</v>
      </c>
      <c r="I33" s="986">
        <v>26.896922396257633</v>
      </c>
      <c r="J33" s="986">
        <v>26.896922396257633</v>
      </c>
      <c r="K33" s="986">
        <v>26.568469730033652</v>
      </c>
      <c r="L33" s="986">
        <v>27.542479456318485</v>
      </c>
      <c r="M33" s="986">
        <v>26.167555894896875</v>
      </c>
      <c r="N33">
        <f t="shared" ref="N33:AR33" si="117">(N51/(mmBTU_to_GJ))*($C33)</f>
        <v>31.170510750229255</v>
      </c>
      <c r="O33">
        <f t="shared" si="117"/>
        <v>30.647202241072566</v>
      </c>
      <c r="P33">
        <f t="shared" si="117"/>
        <v>29.096288196984492</v>
      </c>
      <c r="Q33">
        <f t="shared" si="117"/>
        <v>28.387905483352725</v>
      </c>
      <c r="R33">
        <f t="shared" si="117"/>
        <v>28.463304343594306</v>
      </c>
      <c r="S33">
        <f t="shared" si="117"/>
        <v>28.350595012766668</v>
      </c>
      <c r="T33">
        <f t="shared" si="117"/>
        <v>28.857908647179944</v>
      </c>
      <c r="U33">
        <f t="shared" si="117"/>
        <v>29.151791342575894</v>
      </c>
      <c r="V33">
        <f t="shared" si="117"/>
        <v>29.281852050913265</v>
      </c>
      <c r="W33">
        <f t="shared" si="117"/>
        <v>29.2121521378625</v>
      </c>
      <c r="X33">
        <f t="shared" si="117"/>
        <v>29.201670163962135</v>
      </c>
      <c r="Y33">
        <f t="shared" si="117"/>
        <v>29.313283661356845</v>
      </c>
      <c r="Z33">
        <f t="shared" si="117"/>
        <v>29.301901100465429</v>
      </c>
      <c r="AA33">
        <f t="shared" si="117"/>
        <v>29.26493001112912</v>
      </c>
      <c r="AB33">
        <f t="shared" si="117"/>
        <v>29.269341967375848</v>
      </c>
      <c r="AC33">
        <f t="shared" si="117"/>
        <v>29.119158608733361</v>
      </c>
      <c r="AD33">
        <f t="shared" si="117"/>
        <v>29.009605932421458</v>
      </c>
      <c r="AE33">
        <f t="shared" si="117"/>
        <v>29.000424238490005</v>
      </c>
      <c r="AF33">
        <f t="shared" si="117"/>
        <v>29.116216623080415</v>
      </c>
      <c r="AG33">
        <f t="shared" si="117"/>
        <v>29.212683698856079</v>
      </c>
      <c r="AH33">
        <f t="shared" si="117"/>
        <v>29.289319460640414</v>
      </c>
      <c r="AI33">
        <f t="shared" si="117"/>
        <v>29.420953385072249</v>
      </c>
      <c r="AJ33">
        <f t="shared" si="117"/>
        <v>29.555370849091627</v>
      </c>
      <c r="AK33">
        <f t="shared" si="117"/>
        <v>29.728290707001914</v>
      </c>
      <c r="AL33">
        <f t="shared" si="117"/>
        <v>29.921887265329854</v>
      </c>
      <c r="AM33">
        <f t="shared" si="117"/>
        <v>30.317863405172005</v>
      </c>
      <c r="AN33">
        <f t="shared" si="117"/>
        <v>30.770945551447749</v>
      </c>
      <c r="AO33">
        <f t="shared" si="117"/>
        <v>31.181233971042094</v>
      </c>
      <c r="AP33">
        <f t="shared" si="117"/>
        <v>31.632038582906873</v>
      </c>
      <c r="AQ33">
        <f t="shared" si="117"/>
        <v>32.176370329359735</v>
      </c>
      <c r="AR33">
        <f t="shared" si="117"/>
        <v>32.452971159068191</v>
      </c>
      <c r="AS33">
        <f t="shared" ref="AS33:BA33" si="118">($BB33-$AR33)/10+AR33</f>
        <v>32.16388259843756</v>
      </c>
      <c r="AT33">
        <f t="shared" si="118"/>
        <v>31.874794037806929</v>
      </c>
      <c r="AU33">
        <f t="shared" si="118"/>
        <v>31.585705477176298</v>
      </c>
      <c r="AV33">
        <f t="shared" si="118"/>
        <v>31.296616916545666</v>
      </c>
      <c r="AW33">
        <f t="shared" si="118"/>
        <v>31.007528355915035</v>
      </c>
      <c r="AX33">
        <f t="shared" si="118"/>
        <v>30.718439795284404</v>
      </c>
      <c r="AY33">
        <f t="shared" si="118"/>
        <v>30.429351234653772</v>
      </c>
      <c r="AZ33">
        <f t="shared" si="118"/>
        <v>30.140262674023141</v>
      </c>
      <c r="BA33">
        <f t="shared" si="118"/>
        <v>29.85117411339251</v>
      </c>
      <c r="BB33" s="868">
        <f>'AEO Data'!$B$33*AM33</f>
        <v>29.562085552761868</v>
      </c>
      <c r="BC33">
        <f t="shared" ref="BC33:BP33" si="119">($BQ33-$BB33)/15+BB33</f>
        <v>29.579309127727463</v>
      </c>
      <c r="BD33">
        <f t="shared" si="119"/>
        <v>29.596532702693057</v>
      </c>
      <c r="BE33">
        <f t="shared" si="119"/>
        <v>29.613756277658652</v>
      </c>
      <c r="BF33">
        <f t="shared" si="119"/>
        <v>29.630979852624247</v>
      </c>
      <c r="BG33">
        <f t="shared" si="119"/>
        <v>29.648203427589841</v>
      </c>
      <c r="BH33">
        <f t="shared" si="119"/>
        <v>29.665427002555436</v>
      </c>
      <c r="BI33">
        <f t="shared" si="119"/>
        <v>29.682650577521031</v>
      </c>
      <c r="BJ33">
        <f t="shared" si="119"/>
        <v>29.699874152486625</v>
      </c>
      <c r="BK33">
        <f t="shared" si="119"/>
        <v>29.71709772745222</v>
      </c>
      <c r="BL33">
        <f t="shared" si="119"/>
        <v>29.734321302417815</v>
      </c>
      <c r="BM33">
        <f t="shared" si="119"/>
        <v>29.751544877383409</v>
      </c>
      <c r="BN33">
        <f t="shared" si="119"/>
        <v>29.768768452349004</v>
      </c>
      <c r="BO33">
        <f t="shared" si="119"/>
        <v>29.785992027314599</v>
      </c>
      <c r="BP33">
        <f t="shared" si="119"/>
        <v>29.803215602280194</v>
      </c>
      <c r="BQ33" s="868">
        <f>'AEO Data'!$C$33*BB33</f>
        <v>29.82043917724577</v>
      </c>
      <c r="BR33">
        <f t="shared" ref="BR33:BU35" si="120">($BV33-$BQ33)/5+BQ33</f>
        <v>29.800359578005001</v>
      </c>
      <c r="BS33">
        <f t="shared" si="120"/>
        <v>29.780279978764231</v>
      </c>
      <c r="BT33">
        <f t="shared" si="120"/>
        <v>29.760200379523461</v>
      </c>
      <c r="BU33">
        <f t="shared" si="120"/>
        <v>29.740120780282691</v>
      </c>
      <c r="BV33" s="889">
        <f>'AEO Data'!$D$33*BQ33</f>
        <v>29.720041181041928</v>
      </c>
      <c r="BW33" s="1298">
        <f>+BV33*BW$139/BV$139</f>
        <v>29.706955334848292</v>
      </c>
      <c r="BX33" s="1298">
        <f t="shared" ref="BX33:CZ33" si="121">+BW33*BX$139/BW$139</f>
        <v>29.693875250402076</v>
      </c>
      <c r="BY33" s="1298">
        <f t="shared" si="121"/>
        <v>29.680800925166359</v>
      </c>
      <c r="BZ33" s="1298">
        <f t="shared" si="121"/>
        <v>29.667732356605345</v>
      </c>
      <c r="CA33" s="1298">
        <f t="shared" si="121"/>
        <v>29.654669542184347</v>
      </c>
      <c r="CB33" s="1298">
        <f t="shared" si="121"/>
        <v>29.630916614985676</v>
      </c>
      <c r="CC33" s="1298">
        <f t="shared" si="121"/>
        <v>29.607182713510749</v>
      </c>
      <c r="CD33" s="1298">
        <f t="shared" si="121"/>
        <v>29.583467822520262</v>
      </c>
      <c r="CE33" s="1298">
        <f t="shared" si="121"/>
        <v>29.559771926787111</v>
      </c>
      <c r="CF33" s="1298">
        <f t="shared" si="121"/>
        <v>29.536095011096396</v>
      </c>
      <c r="CG33" s="1298">
        <f t="shared" si="121"/>
        <v>29.503478732865982</v>
      </c>
      <c r="CH33" s="1298">
        <f t="shared" si="121"/>
        <v>29.470898472315131</v>
      </c>
      <c r="CI33" s="1298">
        <f t="shared" si="121"/>
        <v>29.438354189670047</v>
      </c>
      <c r="CJ33" s="1298">
        <f t="shared" si="121"/>
        <v>29.405845845200851</v>
      </c>
      <c r="CK33" s="1298">
        <f t="shared" si="121"/>
        <v>29.373373399221538</v>
      </c>
      <c r="CL33" s="1298">
        <f t="shared" si="121"/>
        <v>29.33797049714088</v>
      </c>
      <c r="CM33" s="1298">
        <f t="shared" si="121"/>
        <v>29.302610265183901</v>
      </c>
      <c r="CN33" s="1298">
        <f t="shared" si="121"/>
        <v>29.267292651921498</v>
      </c>
      <c r="CO33" s="1298">
        <f t="shared" si="121"/>
        <v>29.232017605986552</v>
      </c>
      <c r="CP33" s="1298">
        <f t="shared" si="121"/>
        <v>29.196785076073859</v>
      </c>
      <c r="CQ33" s="1298">
        <f t="shared" si="121"/>
        <v>29.155976606392862</v>
      </c>
      <c r="CR33" s="1298">
        <f t="shared" si="121"/>
        <v>29.115225174882106</v>
      </c>
      <c r="CS33" s="1298">
        <f t="shared" si="121"/>
        <v>29.074530701819103</v>
      </c>
      <c r="CT33" s="1298">
        <f t="shared" si="121"/>
        <v>29.033893107592792</v>
      </c>
      <c r="CU33" s="1298">
        <f t="shared" si="121"/>
        <v>28.993312312703377</v>
      </c>
      <c r="CV33" s="1298">
        <f t="shared" si="121"/>
        <v>28.95369823223389</v>
      </c>
      <c r="CW33" s="1298">
        <f t="shared" si="121"/>
        <v>28.914138277190098</v>
      </c>
      <c r="CX33" s="1298">
        <f t="shared" si="121"/>
        <v>28.874632373619477</v>
      </c>
      <c r="CY33" s="1298">
        <f t="shared" si="121"/>
        <v>28.835180447670528</v>
      </c>
      <c r="CZ33" s="1298">
        <f t="shared" si="121"/>
        <v>28.795782425592659</v>
      </c>
    </row>
    <row r="34" spans="1:104">
      <c r="A34" s="890" t="str">
        <f>'HyARC Physical Property Data'!A77</f>
        <v>Industrial Electricity</v>
      </c>
      <c r="B34">
        <v>2011</v>
      </c>
      <c r="C34" s="811">
        <f t="shared" si="99"/>
        <v>1.0784554773635862</v>
      </c>
      <c r="D34" s="1159" t="str">
        <f>'HyARC Physical Property Data'!$H$77</f>
        <v>kWh</v>
      </c>
      <c r="E34" s="811" t="s">
        <v>1067</v>
      </c>
      <c r="F34" s="811"/>
      <c r="G34" s="811"/>
      <c r="H34" s="986">
        <v>17.44160584363896</v>
      </c>
      <c r="I34" s="986">
        <v>17.44160584363896</v>
      </c>
      <c r="J34" s="986">
        <v>17.44160584363896</v>
      </c>
      <c r="K34" s="986">
        <v>17.651840860809763</v>
      </c>
      <c r="L34" s="986">
        <v>19.274322003549859</v>
      </c>
      <c r="M34" s="986">
        <v>18.160650967421709</v>
      </c>
      <c r="N34">
        <f t="shared" ref="N34:AR34" si="122">(N52/(mmBTU_to_GJ))*($C34)</f>
        <v>20.71088694517794</v>
      </c>
      <c r="O34">
        <f t="shared" si="122"/>
        <v>20.419854234493727</v>
      </c>
      <c r="P34">
        <f t="shared" si="122"/>
        <v>18.84589804356655</v>
      </c>
      <c r="Q34">
        <f t="shared" si="122"/>
        <v>18.546331734469991</v>
      </c>
      <c r="R34">
        <f t="shared" si="122"/>
        <v>18.447325432717289</v>
      </c>
      <c r="S34">
        <f t="shared" si="122"/>
        <v>18.282111164748592</v>
      </c>
      <c r="T34">
        <f t="shared" si="122"/>
        <v>18.776485377898855</v>
      </c>
      <c r="U34">
        <f t="shared" si="122"/>
        <v>19.0506124045218</v>
      </c>
      <c r="V34">
        <f t="shared" si="122"/>
        <v>19.200702739990415</v>
      </c>
      <c r="W34">
        <f t="shared" si="122"/>
        <v>19.143487354660063</v>
      </c>
      <c r="X34">
        <f t="shared" si="122"/>
        <v>19.136493238663739</v>
      </c>
      <c r="Y34">
        <f t="shared" si="122"/>
        <v>19.273625752681113</v>
      </c>
      <c r="Z34">
        <f t="shared" si="122"/>
        <v>19.383161051037455</v>
      </c>
      <c r="AA34">
        <f t="shared" si="122"/>
        <v>19.514271592337145</v>
      </c>
      <c r="AB34">
        <f t="shared" si="122"/>
        <v>19.584716713011606</v>
      </c>
      <c r="AC34">
        <f t="shared" si="122"/>
        <v>19.608427400023405</v>
      </c>
      <c r="AD34">
        <f t="shared" si="122"/>
        <v>19.702865343929336</v>
      </c>
      <c r="AE34">
        <f t="shared" si="122"/>
        <v>19.792952665549336</v>
      </c>
      <c r="AF34">
        <f t="shared" si="122"/>
        <v>19.899804603120767</v>
      </c>
      <c r="AG34">
        <f t="shared" si="122"/>
        <v>20.04636516914546</v>
      </c>
      <c r="AH34">
        <f t="shared" si="122"/>
        <v>20.164927804298578</v>
      </c>
      <c r="AI34">
        <f t="shared" si="122"/>
        <v>20.308580118348768</v>
      </c>
      <c r="AJ34">
        <f t="shared" si="122"/>
        <v>20.474707240100674</v>
      </c>
      <c r="AK34">
        <f t="shared" si="122"/>
        <v>20.654018096726102</v>
      </c>
      <c r="AL34">
        <f t="shared" si="122"/>
        <v>20.882864304557295</v>
      </c>
      <c r="AM34">
        <f t="shared" si="122"/>
        <v>21.257348002303171</v>
      </c>
      <c r="AN34">
        <f t="shared" si="122"/>
        <v>21.736726062038347</v>
      </c>
      <c r="AO34">
        <f t="shared" si="122"/>
        <v>22.152611205555505</v>
      </c>
      <c r="AP34">
        <f t="shared" si="122"/>
        <v>22.558073664667731</v>
      </c>
      <c r="AQ34">
        <f t="shared" si="122"/>
        <v>22.988629891607754</v>
      </c>
      <c r="AR34">
        <f t="shared" si="122"/>
        <v>23.250100655420045</v>
      </c>
      <c r="AS34">
        <f t="shared" ref="AS34:BA34" si="123">($BB34-$AR34)/10+AR34</f>
        <v>22.997834080640374</v>
      </c>
      <c r="AT34">
        <f t="shared" si="123"/>
        <v>22.745567505860702</v>
      </c>
      <c r="AU34">
        <f t="shared" si="123"/>
        <v>22.493300931081031</v>
      </c>
      <c r="AV34">
        <f t="shared" si="123"/>
        <v>22.241034356301359</v>
      </c>
      <c r="AW34">
        <f t="shared" si="123"/>
        <v>21.988767781521688</v>
      </c>
      <c r="AX34">
        <f t="shared" si="123"/>
        <v>21.736501206742016</v>
      </c>
      <c r="AY34">
        <f t="shared" si="123"/>
        <v>21.484234631962345</v>
      </c>
      <c r="AZ34">
        <f t="shared" si="123"/>
        <v>21.231968057182673</v>
      </c>
      <c r="BA34">
        <f t="shared" si="123"/>
        <v>20.979701482403001</v>
      </c>
      <c r="BB34" s="868">
        <f>'AEO Data'!$B$33*AM34</f>
        <v>20.727434907623323</v>
      </c>
      <c r="BC34">
        <f t="shared" ref="BC34:BP34" si="124">($BQ34-$BB34)/15+BB34</f>
        <v>20.739511204755296</v>
      </c>
      <c r="BD34">
        <f t="shared" si="124"/>
        <v>20.751587501887268</v>
      </c>
      <c r="BE34">
        <f t="shared" si="124"/>
        <v>20.763663799019241</v>
      </c>
      <c r="BF34">
        <f t="shared" si="124"/>
        <v>20.775740096151214</v>
      </c>
      <c r="BG34">
        <f t="shared" si="124"/>
        <v>20.787816393283187</v>
      </c>
      <c r="BH34">
        <f t="shared" si="124"/>
        <v>20.79989269041516</v>
      </c>
      <c r="BI34">
        <f t="shared" si="124"/>
        <v>20.811968987547132</v>
      </c>
      <c r="BJ34">
        <f t="shared" si="124"/>
        <v>20.824045284679105</v>
      </c>
      <c r="BK34">
        <f t="shared" si="124"/>
        <v>20.836121581811078</v>
      </c>
      <c r="BL34">
        <f t="shared" si="124"/>
        <v>20.848197878943051</v>
      </c>
      <c r="BM34">
        <f t="shared" si="124"/>
        <v>20.860274176075023</v>
      </c>
      <c r="BN34">
        <f t="shared" si="124"/>
        <v>20.872350473206996</v>
      </c>
      <c r="BO34">
        <f t="shared" si="124"/>
        <v>20.884426770338969</v>
      </c>
      <c r="BP34">
        <f t="shared" si="124"/>
        <v>20.896503067470942</v>
      </c>
      <c r="BQ34" s="868">
        <f>'AEO Data'!$C$33*BB34</f>
        <v>20.908579364602893</v>
      </c>
      <c r="BR34">
        <f t="shared" si="120"/>
        <v>20.894500568115706</v>
      </c>
      <c r="BS34">
        <f t="shared" si="120"/>
        <v>20.880421771628519</v>
      </c>
      <c r="BT34">
        <f t="shared" si="120"/>
        <v>20.866342975141333</v>
      </c>
      <c r="BU34">
        <f t="shared" si="120"/>
        <v>20.852264178654146</v>
      </c>
      <c r="BV34" s="889">
        <f>'AEO Data'!$D$33*BQ34</f>
        <v>20.838185382166952</v>
      </c>
      <c r="BW34" s="1298">
        <f>+BV34*BW$140/BV$140</f>
        <v>20.844481841022439</v>
      </c>
      <c r="BX34" s="1298">
        <f t="shared" ref="BX34:CZ34" si="125">+BW34*BX$140/BW$140</f>
        <v>20.850780202413748</v>
      </c>
      <c r="BY34" s="1298">
        <f t="shared" si="125"/>
        <v>20.857080466915747</v>
      </c>
      <c r="BZ34" s="1298">
        <f t="shared" si="125"/>
        <v>20.863382635103481</v>
      </c>
      <c r="CA34" s="1298">
        <f t="shared" si="125"/>
        <v>20.869686707552159</v>
      </c>
      <c r="CB34" s="1298">
        <f t="shared" si="125"/>
        <v>20.867326506359717</v>
      </c>
      <c r="CC34" s="1298">
        <f t="shared" si="125"/>
        <v>20.864966572087891</v>
      </c>
      <c r="CD34" s="1298">
        <f t="shared" si="125"/>
        <v>20.862606904706492</v>
      </c>
      <c r="CE34" s="1298">
        <f t="shared" si="125"/>
        <v>20.860247504185345</v>
      </c>
      <c r="CF34" s="1298">
        <f t="shared" si="125"/>
        <v>20.857888370494265</v>
      </c>
      <c r="CG34" s="1298">
        <f t="shared" si="125"/>
        <v>20.848427047697971</v>
      </c>
      <c r="CH34" s="1298">
        <f t="shared" si="125"/>
        <v>20.838970016641447</v>
      </c>
      <c r="CI34" s="1298">
        <f t="shared" si="125"/>
        <v>20.829517275377921</v>
      </c>
      <c r="CJ34" s="1298">
        <f t="shared" si="125"/>
        <v>20.82006882196151</v>
      </c>
      <c r="CK34" s="1298">
        <f t="shared" si="125"/>
        <v>20.810624654447203</v>
      </c>
      <c r="CL34" s="1298">
        <f t="shared" si="125"/>
        <v>20.799038600799683</v>
      </c>
      <c r="CM34" s="1298">
        <f t="shared" si="125"/>
        <v>20.787458997541872</v>
      </c>
      <c r="CN34" s="1298">
        <f t="shared" si="125"/>
        <v>20.775885841082598</v>
      </c>
      <c r="CO34" s="1298">
        <f t="shared" si="125"/>
        <v>20.764319127832685</v>
      </c>
      <c r="CP34" s="1298">
        <f t="shared" si="125"/>
        <v>20.752758854204956</v>
      </c>
      <c r="CQ34" s="1298">
        <f t="shared" si="125"/>
        <v>20.736920704111466</v>
      </c>
      <c r="CR34" s="1298">
        <f t="shared" si="125"/>
        <v>20.721094641422845</v>
      </c>
      <c r="CS34" s="1298">
        <f t="shared" si="125"/>
        <v>20.705280656914191</v>
      </c>
      <c r="CT34" s="1298">
        <f t="shared" si="125"/>
        <v>20.689478741367644</v>
      </c>
      <c r="CU34" s="1298">
        <f t="shared" si="125"/>
        <v>20.673688885572378</v>
      </c>
      <c r="CV34" s="1298">
        <f t="shared" si="125"/>
        <v>20.658843427163145</v>
      </c>
      <c r="CW34" s="1298">
        <f t="shared" si="125"/>
        <v>20.644008629049544</v>
      </c>
      <c r="CX34" s="1298">
        <f t="shared" si="125"/>
        <v>20.629184483576587</v>
      </c>
      <c r="CY34" s="1298">
        <f t="shared" si="125"/>
        <v>20.614370983094769</v>
      </c>
      <c r="CZ34" s="1298">
        <f t="shared" si="125"/>
        <v>20.59956811996009</v>
      </c>
    </row>
    <row r="35" spans="1:104" ht="13.5" thickBot="1">
      <c r="A35" s="893" t="str">
        <f>'HyARC Physical Property Data'!A78</f>
        <v>Residential Electricity</v>
      </c>
      <c r="B35" s="541">
        <v>2011</v>
      </c>
      <c r="C35" s="816">
        <f t="shared" si="99"/>
        <v>1.0784554773635862</v>
      </c>
      <c r="D35" s="1160" t="str">
        <f>'HyARC Physical Property Data'!$H$78</f>
        <v>kWh</v>
      </c>
      <c r="E35" s="816" t="s">
        <v>1067</v>
      </c>
      <c r="F35" s="541"/>
      <c r="G35" s="541"/>
      <c r="H35" s="988">
        <v>29.579885763014694</v>
      </c>
      <c r="I35" s="988">
        <v>29.579885763014694</v>
      </c>
      <c r="J35" s="988">
        <v>29.579885763014694</v>
      </c>
      <c r="K35" s="988">
        <v>29.556357578078675</v>
      </c>
      <c r="L35" s="988">
        <v>30.116416605727963</v>
      </c>
      <c r="M35" s="988">
        <v>29.134443020933652</v>
      </c>
      <c r="N35" s="541">
        <f t="shared" ref="N35:AR35" si="126">(N53/(mmBTU_to_GJ))*($C35)</f>
        <v>35.290357875264071</v>
      </c>
      <c r="O35" s="541">
        <f t="shared" si="126"/>
        <v>35.099254542442559</v>
      </c>
      <c r="P35" s="541">
        <f t="shared" si="126"/>
        <v>34.006324250330664</v>
      </c>
      <c r="Q35" s="541">
        <f t="shared" si="126"/>
        <v>33.273068571129983</v>
      </c>
      <c r="R35" s="541">
        <f t="shared" si="126"/>
        <v>33.741332917168577</v>
      </c>
      <c r="S35" s="541">
        <f t="shared" si="126"/>
        <v>33.797427935481679</v>
      </c>
      <c r="T35" s="541">
        <f t="shared" si="126"/>
        <v>34.324839686615753</v>
      </c>
      <c r="U35" s="541">
        <f t="shared" si="126"/>
        <v>34.578308413009267</v>
      </c>
      <c r="V35" s="541">
        <f t="shared" si="126"/>
        <v>34.586867567238613</v>
      </c>
      <c r="W35" s="541">
        <f t="shared" si="126"/>
        <v>34.390554936680012</v>
      </c>
      <c r="X35" s="541">
        <f t="shared" si="126"/>
        <v>34.362805408349665</v>
      </c>
      <c r="Y35" s="541">
        <f t="shared" si="126"/>
        <v>34.407138617447096</v>
      </c>
      <c r="Z35" s="541">
        <f t="shared" si="126"/>
        <v>34.440296778887124</v>
      </c>
      <c r="AA35" s="541">
        <f t="shared" si="126"/>
        <v>34.452805840191871</v>
      </c>
      <c r="AB35" s="541">
        <f t="shared" si="126"/>
        <v>34.592323223051601</v>
      </c>
      <c r="AC35" s="541">
        <f t="shared" si="126"/>
        <v>34.714384960668241</v>
      </c>
      <c r="AD35" s="541">
        <f t="shared" si="126"/>
        <v>34.884790126185806</v>
      </c>
      <c r="AE35" s="541">
        <f t="shared" si="126"/>
        <v>35.027523453056702</v>
      </c>
      <c r="AF35" s="541">
        <f t="shared" si="126"/>
        <v>35.17875868912688</v>
      </c>
      <c r="AG35" s="541">
        <f t="shared" si="126"/>
        <v>35.278238284610403</v>
      </c>
      <c r="AH35" s="541">
        <f t="shared" si="126"/>
        <v>35.329988814033648</v>
      </c>
      <c r="AI35" s="541">
        <f t="shared" si="126"/>
        <v>35.457572652587459</v>
      </c>
      <c r="AJ35" s="541">
        <f t="shared" si="126"/>
        <v>35.581268940259363</v>
      </c>
      <c r="AK35" s="541">
        <f t="shared" si="126"/>
        <v>35.700168912196872</v>
      </c>
      <c r="AL35" s="541">
        <f t="shared" si="126"/>
        <v>35.86250559517147</v>
      </c>
      <c r="AM35" s="541">
        <f t="shared" si="126"/>
        <v>36.208798160069257</v>
      </c>
      <c r="AN35" s="541">
        <f t="shared" si="126"/>
        <v>36.632705785658793</v>
      </c>
      <c r="AO35" s="541">
        <f t="shared" si="126"/>
        <v>36.980264896847054</v>
      </c>
      <c r="AP35" s="541">
        <f t="shared" si="126"/>
        <v>37.31435507024409</v>
      </c>
      <c r="AQ35" s="541">
        <f t="shared" si="126"/>
        <v>37.726607198816652</v>
      </c>
      <c r="AR35" s="541">
        <f t="shared" si="126"/>
        <v>37.92339618980413</v>
      </c>
      <c r="AS35" s="541">
        <f t="shared" ref="AS35:BA35" si="127">($BB35-$AR35)/10+AR35</f>
        <v>37.661673404423048</v>
      </c>
      <c r="AT35" s="541">
        <f t="shared" si="127"/>
        <v>37.399950619041967</v>
      </c>
      <c r="AU35" s="541">
        <f t="shared" si="127"/>
        <v>37.138227833660885</v>
      </c>
      <c r="AV35" s="541">
        <f t="shared" si="127"/>
        <v>36.876505048279803</v>
      </c>
      <c r="AW35" s="541">
        <f t="shared" si="127"/>
        <v>36.614782262898721</v>
      </c>
      <c r="AX35" s="541">
        <f t="shared" si="127"/>
        <v>36.35305947751764</v>
      </c>
      <c r="AY35" s="541">
        <f t="shared" si="127"/>
        <v>36.091336692136558</v>
      </c>
      <c r="AZ35" s="541">
        <f t="shared" si="127"/>
        <v>35.829613906755476</v>
      </c>
      <c r="BA35" s="541">
        <f t="shared" si="127"/>
        <v>35.567891121374394</v>
      </c>
      <c r="BB35" s="894">
        <f>'AEO Data'!$B$33*AM35</f>
        <v>35.306168335993306</v>
      </c>
      <c r="BC35" s="541">
        <f t="shared" ref="BC35:BP35" si="128">($BQ35-$BB35)/15+BB35</f>
        <v>35.326738550364603</v>
      </c>
      <c r="BD35" s="541">
        <f t="shared" si="128"/>
        <v>35.347308764735899</v>
      </c>
      <c r="BE35" s="541">
        <f t="shared" si="128"/>
        <v>35.367878979107196</v>
      </c>
      <c r="BF35" s="541">
        <f t="shared" si="128"/>
        <v>35.388449193478493</v>
      </c>
      <c r="BG35" s="541">
        <f t="shared" si="128"/>
        <v>35.40901940784979</v>
      </c>
      <c r="BH35" s="541">
        <f t="shared" si="128"/>
        <v>35.429589622221087</v>
      </c>
      <c r="BI35" s="541">
        <f t="shared" si="128"/>
        <v>35.450159836592384</v>
      </c>
      <c r="BJ35" s="541">
        <f t="shared" si="128"/>
        <v>35.470730050963681</v>
      </c>
      <c r="BK35" s="541">
        <f t="shared" si="128"/>
        <v>35.491300265334978</v>
      </c>
      <c r="BL35" s="541">
        <f t="shared" si="128"/>
        <v>35.511870479706275</v>
      </c>
      <c r="BM35" s="541">
        <f t="shared" si="128"/>
        <v>35.532440694077572</v>
      </c>
      <c r="BN35" s="541">
        <f t="shared" si="128"/>
        <v>35.553010908448869</v>
      </c>
      <c r="BO35" s="541">
        <f t="shared" si="128"/>
        <v>35.573581122820165</v>
      </c>
      <c r="BP35" s="541">
        <f t="shared" si="128"/>
        <v>35.594151337191462</v>
      </c>
      <c r="BQ35" s="894">
        <f>'AEO Data'!$C$33*BB35</f>
        <v>35.614721551562717</v>
      </c>
      <c r="BR35" s="541">
        <f t="shared" si="120"/>
        <v>35.590740371018178</v>
      </c>
      <c r="BS35" s="541">
        <f t="shared" si="120"/>
        <v>35.56675919047364</v>
      </c>
      <c r="BT35" s="541">
        <f t="shared" si="120"/>
        <v>35.542778009929101</v>
      </c>
      <c r="BU35" s="541">
        <f t="shared" si="120"/>
        <v>35.518796829384563</v>
      </c>
      <c r="BV35" s="895">
        <f>'AEO Data'!$D$33*BQ35</f>
        <v>35.494815648840024</v>
      </c>
      <c r="BW35" s="1298">
        <f>+BV35*BW$141/BV$141</f>
        <v>35.479187147674004</v>
      </c>
      <c r="BX35" s="1298">
        <f t="shared" ref="BX35:CZ35" si="129">+BW35*BX$141/BW$141</f>
        <v>35.463565527795978</v>
      </c>
      <c r="BY35" s="1298">
        <f t="shared" si="129"/>
        <v>35.447950786176087</v>
      </c>
      <c r="BZ35" s="1298">
        <f t="shared" si="129"/>
        <v>35.432342919785803</v>
      </c>
      <c r="CA35" s="1298">
        <f t="shared" si="129"/>
        <v>35.41674192559794</v>
      </c>
      <c r="CB35" s="1298">
        <f t="shared" si="129"/>
        <v>35.388373668404036</v>
      </c>
      <c r="CC35" s="1298">
        <f t="shared" si="129"/>
        <v>35.360028133741132</v>
      </c>
      <c r="CD35" s="1298">
        <f t="shared" si="129"/>
        <v>35.331705303408839</v>
      </c>
      <c r="CE35" s="1298">
        <f t="shared" si="129"/>
        <v>35.303405159221327</v>
      </c>
      <c r="CF35" s="1298">
        <f t="shared" si="129"/>
        <v>35.275127683007355</v>
      </c>
      <c r="CG35" s="1298">
        <f t="shared" si="129"/>
        <v>35.236173874838393</v>
      </c>
      <c r="CH35" s="1298">
        <f t="shared" si="129"/>
        <v>35.197263082790727</v>
      </c>
      <c r="CI35" s="1298">
        <f t="shared" si="129"/>
        <v>35.158395259362273</v>
      </c>
      <c r="CJ35" s="1298">
        <f t="shared" si="129"/>
        <v>35.119570357103413</v>
      </c>
      <c r="CK35" s="1298">
        <f t="shared" si="129"/>
        <v>35.080788328616926</v>
      </c>
      <c r="CL35" s="1298">
        <f t="shared" si="129"/>
        <v>35.03850643960029</v>
      </c>
      <c r="CM35" s="1298">
        <f t="shared" si="129"/>
        <v>34.996275511757105</v>
      </c>
      <c r="CN35" s="1298">
        <f t="shared" si="129"/>
        <v>34.954095483665299</v>
      </c>
      <c r="CO35" s="1298">
        <f t="shared" si="129"/>
        <v>34.911966293976825</v>
      </c>
      <c r="CP35" s="1298">
        <f t="shared" si="129"/>
        <v>34.869887881417597</v>
      </c>
      <c r="CQ35" s="1298">
        <f t="shared" si="129"/>
        <v>34.82115009201096</v>
      </c>
      <c r="CR35" s="1298">
        <f t="shared" si="129"/>
        <v>34.772480423618198</v>
      </c>
      <c r="CS35" s="1298">
        <f t="shared" si="129"/>
        <v>34.723878781026279</v>
      </c>
      <c r="CT35" s="1298">
        <f t="shared" si="129"/>
        <v>34.675345069155263</v>
      </c>
      <c r="CU35" s="1298">
        <f t="shared" si="129"/>
        <v>34.626879193058095</v>
      </c>
      <c r="CV35" s="1298">
        <f t="shared" si="129"/>
        <v>34.579567869537456</v>
      </c>
      <c r="CW35" s="1298">
        <f t="shared" si="129"/>
        <v>34.532321188323188</v>
      </c>
      <c r="CX35" s="1298">
        <f t="shared" si="129"/>
        <v>34.485139061093349</v>
      </c>
      <c r="CY35" s="1298">
        <f t="shared" si="129"/>
        <v>34.438021399646672</v>
      </c>
      <c r="CZ35" s="1298">
        <f t="shared" si="129"/>
        <v>34.39096811590241</v>
      </c>
    </row>
    <row r="36" spans="1:104" ht="13.5" thickTop="1">
      <c r="A36" s="813"/>
      <c r="C36" s="811"/>
      <c r="D36" s="1161"/>
      <c r="E36" s="811"/>
    </row>
    <row r="37" spans="1:104">
      <c r="A37" s="813"/>
      <c r="C37" s="811"/>
      <c r="D37" s="1162"/>
      <c r="E37" s="811"/>
    </row>
    <row r="38" spans="1:104" ht="13.5" thickBot="1">
      <c r="A38" s="40"/>
      <c r="C38" s="811"/>
      <c r="D38" s="1162"/>
      <c r="E38" s="811"/>
    </row>
    <row r="39" spans="1:104" s="972" customFormat="1">
      <c r="A39" s="968" t="s">
        <v>1104</v>
      </c>
      <c r="B39" s="969"/>
      <c r="C39" s="970"/>
      <c r="D39" s="1163"/>
      <c r="E39" s="970"/>
      <c r="F39" s="969"/>
      <c r="G39" s="969"/>
      <c r="H39" s="969"/>
      <c r="I39" s="969"/>
      <c r="J39" s="969"/>
      <c r="K39" s="969"/>
      <c r="L39" s="969"/>
      <c r="M39" s="969"/>
      <c r="N39" s="969"/>
      <c r="O39" s="969"/>
      <c r="P39" s="969"/>
      <c r="Q39" s="969"/>
      <c r="R39" s="969"/>
      <c r="S39" s="969"/>
      <c r="T39" s="969"/>
      <c r="U39" s="969"/>
      <c r="V39" s="969"/>
      <c r="W39" s="969"/>
      <c r="X39" s="969"/>
      <c r="Y39" s="969"/>
      <c r="Z39" s="969"/>
      <c r="AA39" s="969"/>
      <c r="AB39" s="969"/>
      <c r="AC39" s="969"/>
      <c r="AD39" s="969"/>
      <c r="AE39" s="969"/>
      <c r="AF39" s="969"/>
      <c r="AG39" s="969"/>
      <c r="AH39" s="969"/>
      <c r="AI39" s="969"/>
      <c r="AJ39" s="969"/>
      <c r="AK39" s="969"/>
      <c r="AL39" s="969"/>
      <c r="AM39" s="969"/>
      <c r="AN39" s="969"/>
      <c r="AO39" s="969"/>
      <c r="AP39" s="969"/>
      <c r="AQ39" s="969"/>
      <c r="AR39" s="969"/>
      <c r="AS39" s="969"/>
      <c r="AT39" s="969"/>
      <c r="AU39" s="969"/>
      <c r="AV39" s="969"/>
      <c r="AW39" s="969"/>
      <c r="AX39" s="969"/>
      <c r="AY39" s="969"/>
      <c r="AZ39" s="969"/>
      <c r="BA39" s="969"/>
      <c r="BB39" s="969"/>
      <c r="BC39" s="969"/>
      <c r="BD39" s="969"/>
      <c r="BE39" s="969"/>
      <c r="BF39" s="969"/>
      <c r="BG39" s="969"/>
      <c r="BH39" s="969"/>
      <c r="BI39" s="969"/>
      <c r="BJ39" s="969"/>
      <c r="BK39" s="969"/>
      <c r="BL39" s="969"/>
      <c r="BM39" s="969"/>
      <c r="BN39" s="969"/>
      <c r="BO39" s="969"/>
      <c r="BP39" s="969"/>
      <c r="BQ39" s="969"/>
      <c r="BR39" s="969"/>
      <c r="BS39" s="969"/>
      <c r="BT39" s="969"/>
      <c r="BU39" s="969"/>
      <c r="BV39" s="971"/>
    </row>
    <row r="40" spans="1:104" s="972" customFormat="1">
      <c r="A40" s="973" t="s">
        <v>1105</v>
      </c>
      <c r="C40" s="974"/>
      <c r="D40" s="1164"/>
      <c r="E40" s="974"/>
      <c r="BV40" s="975"/>
    </row>
    <row r="41" spans="1:104" s="972" customFormat="1">
      <c r="A41" s="976"/>
      <c r="C41" s="974"/>
      <c r="D41" s="1164"/>
      <c r="E41" s="974"/>
      <c r="BV41" s="975"/>
    </row>
    <row r="42" spans="1:104" s="972" customFormat="1">
      <c r="A42" s="976" t="s">
        <v>680</v>
      </c>
      <c r="C42" s="974"/>
      <c r="D42" s="1164"/>
      <c r="E42" s="974"/>
      <c r="N42" s="977">
        <v>11.359373</v>
      </c>
      <c r="O42" s="977">
        <v>10.802343</v>
      </c>
      <c r="P42" s="977">
        <v>10.464380999999999</v>
      </c>
      <c r="Q42" s="977">
        <v>10.477905</v>
      </c>
      <c r="R42" s="977">
        <v>10.253485</v>
      </c>
      <c r="S42" s="977">
        <v>10.156079999999999</v>
      </c>
      <c r="T42" s="977">
        <v>10.662777999999999</v>
      </c>
      <c r="U42" s="977">
        <v>10.990506</v>
      </c>
      <c r="V42" s="977">
        <v>11.397518</v>
      </c>
      <c r="W42" s="977">
        <v>11.624905</v>
      </c>
      <c r="X42" s="977">
        <v>11.776242999999999</v>
      </c>
      <c r="Y42" s="977">
        <v>11.960003</v>
      </c>
      <c r="Z42" s="977">
        <v>12.203179</v>
      </c>
      <c r="AA42" s="977">
        <v>12.432268000000001</v>
      </c>
      <c r="AB42" s="977">
        <v>12.584531</v>
      </c>
      <c r="AC42" s="977">
        <v>12.674325</v>
      </c>
      <c r="AD42" s="977">
        <v>12.841908</v>
      </c>
      <c r="AE42" s="977">
        <v>12.933384999999999</v>
      </c>
      <c r="AF42" s="977">
        <v>13.085578999999999</v>
      </c>
      <c r="AG42" s="977">
        <v>13.234385</v>
      </c>
      <c r="AH42" s="977">
        <v>13.368997999999999</v>
      </c>
      <c r="AI42" s="977">
        <v>13.547089</v>
      </c>
      <c r="AJ42" s="977">
        <v>13.721807</v>
      </c>
      <c r="AK42" s="977">
        <v>13.935895</v>
      </c>
      <c r="AL42" s="977">
        <v>14.248931000000001</v>
      </c>
      <c r="AM42" s="977">
        <v>14.598827</v>
      </c>
      <c r="AN42" s="977">
        <v>15.023702999999999</v>
      </c>
      <c r="AO42" s="977">
        <v>15.415895000000001</v>
      </c>
      <c r="AP42" s="977">
        <v>15.842275000000001</v>
      </c>
      <c r="AQ42" s="977">
        <v>16.055761</v>
      </c>
      <c r="AR42" s="977">
        <v>16.363073</v>
      </c>
      <c r="BV42" s="975"/>
    </row>
    <row r="43" spans="1:104" s="972" customFormat="1">
      <c r="A43" s="976" t="s">
        <v>1081</v>
      </c>
      <c r="C43" s="974"/>
      <c r="D43" s="1164"/>
      <c r="E43" s="974"/>
      <c r="N43" s="977">
        <v>9.3969749999999994</v>
      </c>
      <c r="O43" s="977">
        <v>8.8368610000000007</v>
      </c>
      <c r="P43" s="977">
        <v>8.0727960000000003</v>
      </c>
      <c r="Q43" s="977">
        <v>8.4627339999999993</v>
      </c>
      <c r="R43" s="977">
        <v>8.2352620000000005</v>
      </c>
      <c r="S43" s="977">
        <v>8.1043620000000001</v>
      </c>
      <c r="T43" s="977">
        <v>8.5610389999999992</v>
      </c>
      <c r="U43" s="977">
        <v>8.8247909999999994</v>
      </c>
      <c r="V43" s="977">
        <v>9.1722800000000007</v>
      </c>
      <c r="W43" s="977">
        <v>9.3508150000000008</v>
      </c>
      <c r="X43" s="977">
        <v>9.4680210000000002</v>
      </c>
      <c r="Y43" s="977">
        <v>9.6109419999999997</v>
      </c>
      <c r="Z43" s="977">
        <v>9.8191819999999996</v>
      </c>
      <c r="AA43" s="977">
        <v>10.011597999999999</v>
      </c>
      <c r="AB43" s="977">
        <v>10.133018</v>
      </c>
      <c r="AC43" s="977">
        <v>10.193654</v>
      </c>
      <c r="AD43" s="977">
        <v>10.33554</v>
      </c>
      <c r="AE43" s="977">
        <v>10.388019</v>
      </c>
      <c r="AF43" s="977">
        <v>10.500005</v>
      </c>
      <c r="AG43" s="977">
        <v>10.605323</v>
      </c>
      <c r="AH43" s="977">
        <v>10.697221000000001</v>
      </c>
      <c r="AI43" s="977">
        <v>10.832411</v>
      </c>
      <c r="AJ43" s="977">
        <v>10.954602</v>
      </c>
      <c r="AK43" s="977">
        <v>11.11848</v>
      </c>
      <c r="AL43" s="977">
        <v>11.383407</v>
      </c>
      <c r="AM43" s="977">
        <v>11.681657</v>
      </c>
      <c r="AN43" s="977">
        <v>12.061093</v>
      </c>
      <c r="AO43" s="977">
        <v>12.401303</v>
      </c>
      <c r="AP43" s="977">
        <v>12.781521</v>
      </c>
      <c r="AQ43" s="977">
        <v>12.948893999999999</v>
      </c>
      <c r="AR43" s="977">
        <v>13.212922000000001</v>
      </c>
      <c r="BV43" s="975"/>
    </row>
    <row r="44" spans="1:104" s="972" customFormat="1">
      <c r="A44" s="976" t="s">
        <v>282</v>
      </c>
      <c r="C44" s="974"/>
      <c r="D44" s="1164"/>
      <c r="E44" s="974"/>
      <c r="N44" s="977">
        <v>5.4839599999999997</v>
      </c>
      <c r="O44" s="977">
        <v>4.8898130000000002</v>
      </c>
      <c r="P44" s="977">
        <v>3.7596859999999999</v>
      </c>
      <c r="Q44" s="977">
        <v>4.3339879999999997</v>
      </c>
      <c r="R44" s="977">
        <v>4.3750520000000002</v>
      </c>
      <c r="S44" s="977">
        <v>4.4225349999999999</v>
      </c>
      <c r="T44" s="977">
        <v>4.8660360000000003</v>
      </c>
      <c r="U44" s="977">
        <v>5.0679410000000003</v>
      </c>
      <c r="V44" s="977">
        <v>5.3212570000000001</v>
      </c>
      <c r="W44" s="977">
        <v>5.4497980000000004</v>
      </c>
      <c r="X44" s="977">
        <v>5.5294119999999998</v>
      </c>
      <c r="Y44" s="977">
        <v>5.6406840000000003</v>
      </c>
      <c r="Z44" s="977">
        <v>5.8277749999999999</v>
      </c>
      <c r="AA44" s="977">
        <v>6.0107049999999997</v>
      </c>
      <c r="AB44" s="977">
        <v>6.1100089999999998</v>
      </c>
      <c r="AC44" s="977">
        <v>6.1511990000000001</v>
      </c>
      <c r="AD44" s="977">
        <v>6.2557600000000004</v>
      </c>
      <c r="AE44" s="977">
        <v>6.2949159999999997</v>
      </c>
      <c r="AF44" s="977">
        <v>6.396782</v>
      </c>
      <c r="AG44" s="977">
        <v>6.4862520000000004</v>
      </c>
      <c r="AH44" s="977">
        <v>6.561483</v>
      </c>
      <c r="AI44" s="977">
        <v>6.6766310000000004</v>
      </c>
      <c r="AJ44" s="977">
        <v>6.771134</v>
      </c>
      <c r="AK44" s="977">
        <v>6.9159920000000001</v>
      </c>
      <c r="AL44" s="977">
        <v>7.1687539999999998</v>
      </c>
      <c r="AM44" s="977">
        <v>7.4454149999999997</v>
      </c>
      <c r="AN44" s="977">
        <v>7.813205</v>
      </c>
      <c r="AO44" s="977">
        <v>8.1536600000000004</v>
      </c>
      <c r="AP44" s="977">
        <v>8.4989190000000008</v>
      </c>
      <c r="AQ44" s="977">
        <v>8.6393810000000002</v>
      </c>
      <c r="AR44" s="977">
        <v>8.8810929999999999</v>
      </c>
      <c r="BV44" s="975"/>
    </row>
    <row r="45" spans="1:104" s="972" customFormat="1">
      <c r="A45" s="976" t="str">
        <f>'HyARC Physical Property Data'!$A$74</f>
        <v>Electric Utility Natural Gas</v>
      </c>
      <c r="C45" s="974"/>
      <c r="D45" s="1164"/>
      <c r="E45" s="974"/>
      <c r="N45" s="977">
        <v>5.258165</v>
      </c>
      <c r="O45" s="977">
        <v>4.7747140000000003</v>
      </c>
      <c r="P45" s="977">
        <v>3.3217560000000002</v>
      </c>
      <c r="Q45" s="977">
        <v>3.7155300000000002</v>
      </c>
      <c r="R45" s="977">
        <v>3.758219</v>
      </c>
      <c r="S45" s="977">
        <v>3.8420709999999998</v>
      </c>
      <c r="T45" s="977">
        <v>4.2826180000000003</v>
      </c>
      <c r="U45" s="977">
        <v>4.4486730000000003</v>
      </c>
      <c r="V45" s="977">
        <v>4.7026110000000001</v>
      </c>
      <c r="W45" s="977">
        <v>4.8222319999999996</v>
      </c>
      <c r="X45" s="977">
        <v>4.8967590000000003</v>
      </c>
      <c r="Y45" s="977">
        <v>5.0074189999999996</v>
      </c>
      <c r="Z45" s="977">
        <v>5.20235</v>
      </c>
      <c r="AA45" s="977">
        <v>5.388776</v>
      </c>
      <c r="AB45" s="977">
        <v>5.5179349999999996</v>
      </c>
      <c r="AC45" s="977">
        <v>5.5779610000000002</v>
      </c>
      <c r="AD45" s="977">
        <v>5.7088080000000003</v>
      </c>
      <c r="AE45" s="977">
        <v>5.7607720000000002</v>
      </c>
      <c r="AF45" s="977">
        <v>5.8668440000000004</v>
      </c>
      <c r="AG45" s="977">
        <v>5.9650189999999998</v>
      </c>
      <c r="AH45" s="977">
        <v>6.0528500000000003</v>
      </c>
      <c r="AI45" s="977">
        <v>6.1836820000000001</v>
      </c>
      <c r="AJ45" s="977">
        <v>6.2931780000000002</v>
      </c>
      <c r="AK45" s="977">
        <v>6.4458729999999997</v>
      </c>
      <c r="AL45" s="977">
        <v>6.6983480000000002</v>
      </c>
      <c r="AM45" s="977">
        <v>6.9804459999999997</v>
      </c>
      <c r="AN45" s="977">
        <v>7.345173</v>
      </c>
      <c r="AO45" s="977">
        <v>7.6749489999999998</v>
      </c>
      <c r="AP45" s="977">
        <v>8.0219799999999992</v>
      </c>
      <c r="AQ45" s="977">
        <v>8.1549879999999995</v>
      </c>
      <c r="AR45" s="977">
        <v>8.3777830000000009</v>
      </c>
      <c r="BV45" s="975"/>
    </row>
    <row r="46" spans="1:104" s="972" customFormat="1">
      <c r="A46" s="976" t="str">
        <f>'HyARC Physical Property Data'!$A$85</f>
        <v>Woody Biomass</v>
      </c>
      <c r="C46" s="974"/>
      <c r="D46" s="1164"/>
      <c r="E46" s="974"/>
      <c r="N46" s="977"/>
      <c r="O46" s="977"/>
      <c r="P46" s="977"/>
      <c r="Q46" s="977"/>
      <c r="R46" s="977"/>
      <c r="S46" s="977"/>
      <c r="T46" s="977"/>
      <c r="U46" s="977"/>
      <c r="V46" s="977"/>
      <c r="W46" s="977"/>
      <c r="X46" s="977"/>
      <c r="Y46" s="977"/>
      <c r="Z46" s="977"/>
      <c r="AA46" s="977"/>
      <c r="AB46" s="977"/>
      <c r="AC46" s="977"/>
      <c r="AD46" s="977"/>
      <c r="AE46" s="977"/>
      <c r="AF46" s="977"/>
      <c r="AG46" s="977"/>
      <c r="AH46" s="977"/>
      <c r="AI46" s="977"/>
      <c r="AJ46" s="977"/>
      <c r="AK46" s="977"/>
      <c r="AL46" s="977"/>
      <c r="AM46" s="977"/>
      <c r="AN46" s="977"/>
      <c r="AO46" s="977"/>
      <c r="AP46" s="977"/>
      <c r="AQ46" s="977"/>
      <c r="AR46" s="977"/>
      <c r="BV46" s="975"/>
    </row>
    <row r="47" spans="1:104" s="972" customFormat="1">
      <c r="A47" s="976" t="s">
        <v>1106</v>
      </c>
      <c r="C47" s="974"/>
      <c r="D47" s="1164"/>
      <c r="E47" s="974"/>
      <c r="N47" s="977">
        <v>13.6</v>
      </c>
      <c r="O47" s="977">
        <v>13.6</v>
      </c>
      <c r="P47" s="977">
        <v>13.6</v>
      </c>
      <c r="Q47" s="977">
        <v>13.6</v>
      </c>
      <c r="R47" s="977">
        <v>13.6</v>
      </c>
      <c r="S47" s="977">
        <v>13.6</v>
      </c>
      <c r="T47" s="977">
        <v>13.6</v>
      </c>
      <c r="U47" s="977">
        <v>14.11</v>
      </c>
      <c r="V47" s="977">
        <v>14.11</v>
      </c>
      <c r="W47" s="977">
        <v>14.11</v>
      </c>
      <c r="X47" s="977">
        <v>14.11</v>
      </c>
      <c r="Y47" s="977">
        <v>14.11</v>
      </c>
      <c r="Z47" s="977">
        <v>14.11</v>
      </c>
      <c r="AA47" s="977">
        <v>14.11</v>
      </c>
      <c r="AB47" s="977">
        <v>14.11</v>
      </c>
      <c r="AC47" s="977">
        <v>14.11</v>
      </c>
      <c r="AD47" s="977">
        <v>14.11</v>
      </c>
      <c r="AE47" s="977">
        <v>14.11</v>
      </c>
      <c r="AF47" s="977">
        <v>14.11</v>
      </c>
      <c r="AG47" s="977">
        <v>14.11</v>
      </c>
      <c r="AH47" s="977">
        <v>14.11</v>
      </c>
      <c r="AI47" s="977">
        <v>14.11</v>
      </c>
      <c r="AJ47" s="977">
        <v>14.11</v>
      </c>
      <c r="AK47" s="977">
        <v>14.11</v>
      </c>
      <c r="AL47" s="977">
        <v>14.11</v>
      </c>
      <c r="AM47" s="977">
        <v>14.11</v>
      </c>
      <c r="AN47" s="977">
        <v>14.11</v>
      </c>
      <c r="AO47" s="977">
        <v>14.11</v>
      </c>
      <c r="AP47" s="977">
        <v>14.11</v>
      </c>
      <c r="AQ47" s="977">
        <v>14.11</v>
      </c>
      <c r="AR47" s="977">
        <v>14.11</v>
      </c>
      <c r="AS47" s="977">
        <v>14.11</v>
      </c>
      <c r="AT47" s="977">
        <v>14.11</v>
      </c>
      <c r="AU47" s="977">
        <v>14.11</v>
      </c>
      <c r="AV47" s="977">
        <v>14.11</v>
      </c>
      <c r="AW47" s="977">
        <v>14.11</v>
      </c>
      <c r="AX47" s="977">
        <v>14.11</v>
      </c>
      <c r="AY47" s="977">
        <v>14.11</v>
      </c>
      <c r="AZ47" s="977">
        <v>14.11</v>
      </c>
      <c r="BA47" s="977">
        <v>14.11</v>
      </c>
      <c r="BB47" s="977">
        <v>14.11</v>
      </c>
      <c r="BC47" s="977">
        <v>14.11</v>
      </c>
      <c r="BD47" s="977">
        <v>14.11</v>
      </c>
      <c r="BE47" s="977">
        <v>14.11</v>
      </c>
      <c r="BF47" s="977">
        <v>14.11</v>
      </c>
      <c r="BG47" s="977">
        <v>14.11</v>
      </c>
      <c r="BH47" s="977">
        <v>14.11</v>
      </c>
      <c r="BI47" s="977">
        <v>14.11</v>
      </c>
      <c r="BJ47" s="977">
        <v>14.11</v>
      </c>
      <c r="BK47" s="977">
        <v>14.11</v>
      </c>
      <c r="BL47" s="977">
        <v>14.11</v>
      </c>
      <c r="BM47" s="977">
        <v>14.11</v>
      </c>
      <c r="BN47" s="977">
        <v>14.11</v>
      </c>
      <c r="BO47" s="977">
        <v>14.11</v>
      </c>
      <c r="BP47" s="977">
        <v>14.11</v>
      </c>
      <c r="BQ47" s="977">
        <v>14.11</v>
      </c>
      <c r="BR47" s="977">
        <v>14.11</v>
      </c>
      <c r="BS47" s="977">
        <v>14.11</v>
      </c>
      <c r="BT47" s="977">
        <v>14.11</v>
      </c>
      <c r="BU47" s="977">
        <v>14.11</v>
      </c>
      <c r="BV47" s="978">
        <v>14.11</v>
      </c>
    </row>
    <row r="48" spans="1:104" s="972" customFormat="1">
      <c r="A48" s="976" t="s">
        <v>310</v>
      </c>
      <c r="C48" s="974"/>
      <c r="D48" s="1164"/>
      <c r="E48" s="974"/>
      <c r="N48" s="977">
        <v>23.6</v>
      </c>
      <c r="O48" s="977">
        <v>23.6</v>
      </c>
      <c r="P48" s="977">
        <v>23.6</v>
      </c>
      <c r="Q48" s="977">
        <v>23.6</v>
      </c>
      <c r="R48" s="977">
        <v>23.6</v>
      </c>
      <c r="S48" s="977">
        <v>23.6</v>
      </c>
      <c r="T48" s="977">
        <v>23.6</v>
      </c>
      <c r="U48" s="977">
        <v>23.6</v>
      </c>
      <c r="V48" s="977">
        <v>23.6</v>
      </c>
      <c r="W48" s="977">
        <v>23.6</v>
      </c>
      <c r="X48" s="977">
        <v>23.6</v>
      </c>
      <c r="Y48" s="977">
        <v>23.6</v>
      </c>
      <c r="Z48" s="977">
        <v>23.6</v>
      </c>
      <c r="AA48" s="977">
        <v>23.6</v>
      </c>
      <c r="AB48" s="977">
        <v>23.6</v>
      </c>
      <c r="AC48" s="977">
        <v>23.6</v>
      </c>
      <c r="AD48" s="977">
        <v>23.6</v>
      </c>
      <c r="AE48" s="977">
        <v>23.6</v>
      </c>
      <c r="AF48" s="977">
        <v>23.6</v>
      </c>
      <c r="AG48" s="977">
        <v>23.6</v>
      </c>
      <c r="AH48" s="977">
        <v>23.6</v>
      </c>
      <c r="AI48" s="977">
        <v>23.6</v>
      </c>
      <c r="AJ48" s="977">
        <v>23.6</v>
      </c>
      <c r="AK48" s="977">
        <v>23.6</v>
      </c>
      <c r="AL48" s="977">
        <v>23.6</v>
      </c>
      <c r="AM48" s="977">
        <v>23.6</v>
      </c>
      <c r="AN48" s="977">
        <v>23.6</v>
      </c>
      <c r="AO48" s="977">
        <v>23.6</v>
      </c>
      <c r="AP48" s="977">
        <v>23.6</v>
      </c>
      <c r="AQ48" s="977">
        <v>23.6</v>
      </c>
      <c r="AR48" s="977">
        <v>23.6</v>
      </c>
      <c r="AS48" s="977">
        <v>23.6</v>
      </c>
      <c r="AT48" s="977">
        <v>23.6</v>
      </c>
      <c r="AU48" s="977">
        <v>23.6</v>
      </c>
      <c r="AV48" s="977">
        <v>23.6</v>
      </c>
      <c r="AW48" s="977">
        <v>23.6</v>
      </c>
      <c r="AX48" s="977">
        <v>23.6</v>
      </c>
      <c r="AY48" s="977">
        <v>23.6</v>
      </c>
      <c r="AZ48" s="977">
        <v>23.6</v>
      </c>
      <c r="BA48" s="977">
        <v>23.6</v>
      </c>
      <c r="BB48" s="977">
        <v>23.6</v>
      </c>
      <c r="BC48" s="977">
        <v>23.6</v>
      </c>
      <c r="BD48" s="977">
        <v>23.6</v>
      </c>
      <c r="BE48" s="977">
        <v>23.6</v>
      </c>
      <c r="BF48" s="977">
        <v>23.6</v>
      </c>
      <c r="BG48" s="977">
        <v>23.6</v>
      </c>
      <c r="BH48" s="977">
        <v>23.6</v>
      </c>
      <c r="BI48" s="977">
        <v>23.6</v>
      </c>
      <c r="BJ48" s="977">
        <v>23.6</v>
      </c>
      <c r="BK48" s="977">
        <v>23.6</v>
      </c>
      <c r="BL48" s="977">
        <v>23.6</v>
      </c>
      <c r="BM48" s="977">
        <v>23.6</v>
      </c>
      <c r="BN48" s="977">
        <v>23.6</v>
      </c>
      <c r="BO48" s="977">
        <v>23.6</v>
      </c>
      <c r="BP48" s="977">
        <v>23.6</v>
      </c>
      <c r="BQ48" s="977">
        <v>23.6</v>
      </c>
      <c r="BR48" s="977">
        <v>23.6</v>
      </c>
      <c r="BS48" s="977">
        <v>23.6</v>
      </c>
      <c r="BT48" s="977">
        <v>23.6</v>
      </c>
      <c r="BU48" s="977">
        <v>23.6</v>
      </c>
      <c r="BV48" s="978">
        <v>23.6</v>
      </c>
    </row>
    <row r="49" spans="1:104" s="972" customFormat="1">
      <c r="A49" s="976" t="s">
        <v>1107</v>
      </c>
      <c r="C49" s="974"/>
      <c r="D49" s="1164"/>
      <c r="E49" s="974"/>
      <c r="N49" s="977">
        <v>25.561684</v>
      </c>
      <c r="O49" s="977">
        <v>25.303816000000001</v>
      </c>
      <c r="P49" s="977">
        <v>33.642014000000003</v>
      </c>
      <c r="Q49" s="977">
        <v>31.120284999999999</v>
      </c>
      <c r="R49" s="977">
        <v>24.805427999999999</v>
      </c>
      <c r="S49" s="977">
        <v>24.941547</v>
      </c>
      <c r="T49" s="977">
        <v>24.510408000000002</v>
      </c>
      <c r="U49" s="977">
        <v>24.773121</v>
      </c>
      <c r="V49" s="977">
        <v>25.840997999999999</v>
      </c>
      <c r="W49" s="977">
        <v>26.808551999999999</v>
      </c>
      <c r="X49" s="977">
        <v>29.644617</v>
      </c>
      <c r="Y49" s="977">
        <v>29.383793000000001</v>
      </c>
      <c r="Z49" s="977">
        <v>28.224442</v>
      </c>
      <c r="AA49" s="977">
        <v>28.253482999999999</v>
      </c>
      <c r="AB49" s="977">
        <v>27.145426</v>
      </c>
      <c r="AC49" s="977">
        <v>27.272445999999999</v>
      </c>
      <c r="AD49" s="977">
        <v>27.519344</v>
      </c>
      <c r="AE49" s="977">
        <v>26.363682000000001</v>
      </c>
      <c r="AF49" s="977">
        <v>26.241467</v>
      </c>
      <c r="AG49" s="977">
        <v>26.599018000000001</v>
      </c>
      <c r="AH49" s="977">
        <v>26.941008</v>
      </c>
      <c r="AI49" s="977">
        <v>27.294556</v>
      </c>
      <c r="AJ49" s="977">
        <v>27.667862</v>
      </c>
      <c r="AK49" s="977">
        <v>28.194492</v>
      </c>
      <c r="AL49" s="977">
        <v>28.632065000000001</v>
      </c>
      <c r="AM49" s="977">
        <v>29.186733</v>
      </c>
      <c r="AN49" s="977">
        <v>29.790071000000001</v>
      </c>
      <c r="AO49" s="977">
        <v>30.397635000000001</v>
      </c>
      <c r="AP49" s="977">
        <v>30.990224999999999</v>
      </c>
      <c r="AQ49" s="977">
        <v>31.671036000000001</v>
      </c>
      <c r="AR49" s="977">
        <v>30.576360999999999</v>
      </c>
      <c r="BV49" s="975"/>
    </row>
    <row r="50" spans="1:104" s="972" customFormat="1">
      <c r="A50" s="976" t="s">
        <v>1083</v>
      </c>
      <c r="C50" s="974"/>
      <c r="D50" s="1164"/>
      <c r="E50" s="974"/>
      <c r="N50" s="977">
        <v>2.2979889999999998</v>
      </c>
      <c r="O50" s="977">
        <v>2.38</v>
      </c>
      <c r="P50" s="977">
        <v>2.4052739999999999</v>
      </c>
      <c r="Q50" s="977">
        <v>2.3369110000000002</v>
      </c>
      <c r="R50" s="977">
        <v>2.3950149999999999</v>
      </c>
      <c r="S50" s="977">
        <v>2.3961070000000002</v>
      </c>
      <c r="T50" s="977">
        <v>2.4583050000000002</v>
      </c>
      <c r="U50" s="977">
        <v>2.472283</v>
      </c>
      <c r="V50" s="977">
        <v>2.4802620000000002</v>
      </c>
      <c r="W50" s="977">
        <v>2.4838239999999998</v>
      </c>
      <c r="X50" s="977">
        <v>2.516057</v>
      </c>
      <c r="Y50" s="977">
        <v>2.5464560000000001</v>
      </c>
      <c r="Z50" s="977">
        <v>2.591459</v>
      </c>
      <c r="AA50" s="977">
        <v>2.6280779999999999</v>
      </c>
      <c r="AB50" s="977">
        <v>2.6593969999999998</v>
      </c>
      <c r="AC50" s="977">
        <v>2.691643</v>
      </c>
      <c r="AD50" s="977">
        <v>2.7285810000000001</v>
      </c>
      <c r="AE50" s="977">
        <v>2.7618779999999998</v>
      </c>
      <c r="AF50" s="977">
        <v>2.7919909999999999</v>
      </c>
      <c r="AG50" s="977">
        <v>2.8282630000000002</v>
      </c>
      <c r="AH50" s="977">
        <v>2.8670900000000001</v>
      </c>
      <c r="AI50" s="977">
        <v>2.8969999999999998</v>
      </c>
      <c r="AJ50" s="977">
        <v>2.9238430000000002</v>
      </c>
      <c r="AK50" s="977">
        <v>2.954224</v>
      </c>
      <c r="AL50" s="977">
        <v>2.98759</v>
      </c>
      <c r="AM50" s="977">
        <v>3.030205</v>
      </c>
      <c r="AN50" s="977">
        <v>3.0670109999999999</v>
      </c>
      <c r="AO50" s="977">
        <v>3.1012659999999999</v>
      </c>
      <c r="AP50" s="977">
        <v>3.134995</v>
      </c>
      <c r="AQ50" s="977">
        <v>3.169994</v>
      </c>
      <c r="AR50" s="977">
        <v>3.2015440000000002</v>
      </c>
      <c r="BV50" s="975"/>
    </row>
    <row r="51" spans="1:104" s="972" customFormat="1">
      <c r="A51" s="976" t="s">
        <v>682</v>
      </c>
      <c r="C51" s="974"/>
      <c r="D51" s="1164"/>
      <c r="E51" s="974"/>
      <c r="N51" s="977">
        <v>30.492578999999999</v>
      </c>
      <c r="O51" s="977">
        <v>29.980651999999999</v>
      </c>
      <c r="P51" s="977">
        <v>28.463469</v>
      </c>
      <c r="Q51" s="977">
        <v>27.770492999999998</v>
      </c>
      <c r="R51" s="977">
        <v>27.844252000000001</v>
      </c>
      <c r="S51" s="977">
        <v>27.733993999999999</v>
      </c>
      <c r="T51" s="977">
        <v>28.230274000000001</v>
      </c>
      <c r="U51" s="977">
        <v>28.517765000000001</v>
      </c>
      <c r="V51" s="977">
        <v>28.644997</v>
      </c>
      <c r="W51" s="977">
        <v>28.576813000000001</v>
      </c>
      <c r="X51" s="977">
        <v>28.566559000000002</v>
      </c>
      <c r="Y51" s="977">
        <v>28.675744999999999</v>
      </c>
      <c r="Z51" s="977">
        <v>28.66461</v>
      </c>
      <c r="AA51" s="977">
        <v>28.628443000000001</v>
      </c>
      <c r="AB51" s="977">
        <v>28.632759</v>
      </c>
      <c r="AC51" s="977">
        <v>28.485842000000002</v>
      </c>
      <c r="AD51" s="977">
        <v>28.378672000000002</v>
      </c>
      <c r="AE51" s="977">
        <v>28.369689999999999</v>
      </c>
      <c r="AF51" s="977">
        <v>28.482963999999999</v>
      </c>
      <c r="AG51" s="977">
        <v>28.577332999999999</v>
      </c>
      <c r="AH51" s="977">
        <v>28.652301999999999</v>
      </c>
      <c r="AI51" s="977">
        <v>28.781072999999999</v>
      </c>
      <c r="AJ51" s="977">
        <v>28.912566999999999</v>
      </c>
      <c r="AK51" s="977">
        <v>29.081726</v>
      </c>
      <c r="AL51" s="977">
        <v>29.271111999999999</v>
      </c>
      <c r="AM51" s="977">
        <v>29.658476</v>
      </c>
      <c r="AN51" s="977">
        <v>30.101704000000002</v>
      </c>
      <c r="AO51" s="977">
        <v>30.503069</v>
      </c>
      <c r="AP51" s="977">
        <v>30.944068999999999</v>
      </c>
      <c r="AQ51" s="977">
        <v>31.476562000000001</v>
      </c>
      <c r="AR51" s="977">
        <v>31.747146999999998</v>
      </c>
      <c r="BV51" s="975"/>
    </row>
    <row r="52" spans="1:104" s="972" customFormat="1">
      <c r="A52" s="976" t="s">
        <v>697</v>
      </c>
      <c r="C52" s="974"/>
      <c r="D52" s="1164"/>
      <c r="E52" s="974"/>
      <c r="N52" s="977">
        <v>20.260442999999999</v>
      </c>
      <c r="O52" s="977">
        <v>19.975739999999998</v>
      </c>
      <c r="P52" s="977">
        <v>18.436015999999999</v>
      </c>
      <c r="Q52" s="977">
        <v>18.142965</v>
      </c>
      <c r="R52" s="977">
        <v>18.046112000000001</v>
      </c>
      <c r="S52" s="977">
        <v>17.884491000000001</v>
      </c>
      <c r="T52" s="977">
        <v>18.368113000000001</v>
      </c>
      <c r="U52" s="977">
        <v>18.636278000000001</v>
      </c>
      <c r="V52" s="977">
        <v>18.783104000000002</v>
      </c>
      <c r="W52" s="977">
        <v>18.727132999999998</v>
      </c>
      <c r="X52" s="977">
        <v>18.720291</v>
      </c>
      <c r="Y52" s="977">
        <v>18.854441000000001</v>
      </c>
      <c r="Z52" s="977">
        <v>18.961594000000002</v>
      </c>
      <c r="AA52" s="977">
        <v>19.089853000000002</v>
      </c>
      <c r="AB52" s="977">
        <v>19.158766</v>
      </c>
      <c r="AC52" s="977">
        <v>19.181961000000001</v>
      </c>
      <c r="AD52" s="977">
        <v>19.274345</v>
      </c>
      <c r="AE52" s="977">
        <v>19.362473000000001</v>
      </c>
      <c r="AF52" s="977">
        <v>19.467001</v>
      </c>
      <c r="AG52" s="977">
        <v>19.610374</v>
      </c>
      <c r="AH52" s="977">
        <v>19.726358000000001</v>
      </c>
      <c r="AI52" s="977">
        <v>19.866886000000001</v>
      </c>
      <c r="AJ52" s="977">
        <v>20.029399999999999</v>
      </c>
      <c r="AK52" s="977">
        <v>20.204810999999999</v>
      </c>
      <c r="AL52" s="977">
        <v>20.42868</v>
      </c>
      <c r="AM52" s="977">
        <v>20.795019</v>
      </c>
      <c r="AN52" s="977">
        <v>21.263971000000002</v>
      </c>
      <c r="AO52" s="977">
        <v>21.670811</v>
      </c>
      <c r="AP52" s="977">
        <v>22.067454999999999</v>
      </c>
      <c r="AQ52" s="977">
        <v>22.488647</v>
      </c>
      <c r="AR52" s="977">
        <v>22.744430999999999</v>
      </c>
      <c r="BV52" s="975"/>
    </row>
    <row r="53" spans="1:104" s="972" customFormat="1" ht="13.5" thickBot="1">
      <c r="A53" s="979" t="s">
        <v>683</v>
      </c>
      <c r="B53" s="980"/>
      <c r="C53" s="981"/>
      <c r="D53" s="1165"/>
      <c r="E53" s="981"/>
      <c r="F53" s="980"/>
      <c r="G53" s="980"/>
      <c r="H53" s="980"/>
      <c r="I53" s="980"/>
      <c r="J53" s="980"/>
      <c r="K53" s="980"/>
      <c r="L53" s="980"/>
      <c r="M53" s="980"/>
      <c r="N53" s="982">
        <v>34.522823000000002</v>
      </c>
      <c r="O53" s="982">
        <v>34.335875999999999</v>
      </c>
      <c r="P53" s="982">
        <v>33.266716000000002</v>
      </c>
      <c r="Q53" s="982">
        <v>32.549408</v>
      </c>
      <c r="R53" s="982">
        <v>33.007488000000002</v>
      </c>
      <c r="S53" s="982">
        <v>33.062362999999998</v>
      </c>
      <c r="T53" s="982">
        <v>33.578304000000003</v>
      </c>
      <c r="U53" s="982">
        <v>33.826259999999998</v>
      </c>
      <c r="V53" s="982">
        <v>33.834632999999997</v>
      </c>
      <c r="W53" s="982">
        <v>33.642589999999998</v>
      </c>
      <c r="X53" s="982">
        <v>33.615443999999997</v>
      </c>
      <c r="Y53" s="982">
        <v>33.658813000000002</v>
      </c>
      <c r="Z53" s="982">
        <v>33.691249999999997</v>
      </c>
      <c r="AA53" s="982">
        <v>33.703487000000003</v>
      </c>
      <c r="AB53" s="982">
        <v>33.839970000000001</v>
      </c>
      <c r="AC53" s="982">
        <v>33.959377000000003</v>
      </c>
      <c r="AD53" s="982">
        <v>34.126075999999998</v>
      </c>
      <c r="AE53" s="982">
        <v>34.265704999999997</v>
      </c>
      <c r="AF53" s="982">
        <v>34.413651000000002</v>
      </c>
      <c r="AG53" s="982">
        <v>34.510967000000001</v>
      </c>
      <c r="AH53" s="982">
        <v>34.561591999999997</v>
      </c>
      <c r="AI53" s="982">
        <v>34.686400999999996</v>
      </c>
      <c r="AJ53" s="982">
        <v>34.807406999999998</v>
      </c>
      <c r="AK53" s="982">
        <v>34.923721</v>
      </c>
      <c r="AL53" s="982">
        <v>35.082526999999999</v>
      </c>
      <c r="AM53" s="982">
        <v>35.421287999999997</v>
      </c>
      <c r="AN53" s="982">
        <v>35.835976000000002</v>
      </c>
      <c r="AO53" s="982">
        <v>36.175975999999999</v>
      </c>
      <c r="AP53" s="982">
        <v>36.502800000000001</v>
      </c>
      <c r="AQ53" s="982">
        <v>36.906086000000002</v>
      </c>
      <c r="AR53" s="982">
        <v>37.098595000000003</v>
      </c>
      <c r="AS53" s="980"/>
      <c r="AT53" s="980"/>
      <c r="AU53" s="980"/>
      <c r="AV53" s="980"/>
      <c r="AW53" s="980"/>
      <c r="AX53" s="980"/>
      <c r="AY53" s="980"/>
      <c r="AZ53" s="980"/>
      <c r="BA53" s="980"/>
      <c r="BB53" s="980"/>
      <c r="BC53" s="980"/>
      <c r="BD53" s="980"/>
      <c r="BE53" s="980"/>
      <c r="BF53" s="980"/>
      <c r="BG53" s="980"/>
      <c r="BH53" s="980"/>
      <c r="BI53" s="980"/>
      <c r="BJ53" s="980"/>
      <c r="BK53" s="980"/>
      <c r="BL53" s="980"/>
      <c r="BM53" s="980"/>
      <c r="BN53" s="980"/>
      <c r="BO53" s="980"/>
      <c r="BP53" s="980"/>
      <c r="BQ53" s="980"/>
      <c r="BR53" s="980"/>
      <c r="BS53" s="980"/>
      <c r="BT53" s="980"/>
      <c r="BU53" s="980"/>
      <c r="BV53" s="983"/>
    </row>
    <row r="54" spans="1:104">
      <c r="A54" s="813"/>
      <c r="C54" s="811"/>
      <c r="D54" s="1162"/>
      <c r="E54" s="811"/>
      <c r="BV54" s="658"/>
    </row>
    <row r="55" spans="1:104" ht="13.5" thickBot="1">
      <c r="A55" s="813"/>
      <c r="C55" s="811"/>
      <c r="D55" s="1162"/>
      <c r="E55" s="816"/>
      <c r="F55" s="541"/>
      <c r="BV55" s="658"/>
    </row>
    <row r="56" spans="1:104" ht="13.5" thickTop="1">
      <c r="A56" s="805" t="s">
        <v>1102</v>
      </c>
      <c r="B56" s="656" t="str">
        <f>"Prices are in $(" &amp; ref_year&amp;")/GJ LHV"</f>
        <v>Prices are in $(2016)/GJ LHV</v>
      </c>
      <c r="C56" s="656"/>
      <c r="D56" s="1166"/>
      <c r="E56" s="656"/>
      <c r="F56" s="806"/>
      <c r="G56" s="806"/>
      <c r="H56" s="806"/>
      <c r="I56" s="806"/>
      <c r="J56" s="806"/>
      <c r="K56" s="806"/>
      <c r="L56" s="806"/>
      <c r="M56" s="806"/>
      <c r="N56" s="806"/>
      <c r="O56" s="806"/>
      <c r="P56" s="806"/>
      <c r="Q56" s="806"/>
      <c r="R56" s="806"/>
      <c r="S56" s="806"/>
      <c r="T56" s="806"/>
      <c r="U56" s="806"/>
      <c r="V56" s="806"/>
      <c r="W56" s="806"/>
      <c r="X56" s="806"/>
      <c r="Y56" s="806"/>
      <c r="Z56" s="806"/>
      <c r="AA56" s="806"/>
      <c r="AB56" s="806"/>
      <c r="AC56" s="806"/>
      <c r="AD56" s="806"/>
      <c r="AE56" s="806"/>
      <c r="AF56" s="806"/>
      <c r="AG56" s="806"/>
      <c r="AH56" s="806"/>
      <c r="AI56" s="806"/>
      <c r="AJ56" s="806"/>
      <c r="AK56" s="806"/>
      <c r="AL56" s="806"/>
      <c r="AM56" s="806"/>
      <c r="AN56" s="806"/>
      <c r="AO56" s="806"/>
      <c r="AP56" s="806"/>
      <c r="AQ56" s="806"/>
      <c r="AR56" s="806"/>
      <c r="AS56" s="817" t="s">
        <v>771</v>
      </c>
      <c r="AT56" s="818"/>
      <c r="AU56" s="818"/>
      <c r="AV56" s="818"/>
      <c r="AW56" s="818"/>
      <c r="AX56" s="818"/>
      <c r="AY56" s="818"/>
      <c r="AZ56" s="818"/>
      <c r="BA56" s="818"/>
      <c r="BB56" s="818"/>
      <c r="BC56" s="818"/>
      <c r="BD56" s="818"/>
      <c r="BE56" s="818"/>
      <c r="BF56" s="818"/>
      <c r="BG56" s="818"/>
      <c r="BH56" s="818"/>
      <c r="BI56" s="818"/>
      <c r="BJ56" s="818"/>
      <c r="BK56" s="818"/>
      <c r="BL56" s="818"/>
      <c r="BM56" s="818"/>
      <c r="BN56" s="818"/>
      <c r="BO56" s="818"/>
      <c r="BP56" s="818"/>
      <c r="BQ56" s="818"/>
      <c r="BR56" s="818"/>
      <c r="BS56" s="818"/>
      <c r="BT56" s="818"/>
      <c r="BU56" s="818"/>
      <c r="BV56" s="819"/>
    </row>
    <row r="57" spans="1:104" ht="51.75" thickBot="1">
      <c r="A57" s="1035" t="s">
        <v>1080</v>
      </c>
      <c r="B57" s="1036" t="s">
        <v>677</v>
      </c>
      <c r="C57" s="1036" t="s">
        <v>678</v>
      </c>
      <c r="D57" s="1167" t="s">
        <v>689</v>
      </c>
      <c r="E57" s="1036" t="s">
        <v>690</v>
      </c>
      <c r="F57" s="554" t="s">
        <v>679</v>
      </c>
      <c r="G57" s="554" t="s">
        <v>691</v>
      </c>
      <c r="H57" s="984">
        <v>2004</v>
      </c>
      <c r="I57" s="984">
        <v>2005</v>
      </c>
      <c r="J57" s="984">
        <v>2006</v>
      </c>
      <c r="K57" s="984">
        <v>2007</v>
      </c>
      <c r="L57" s="984">
        <v>2008</v>
      </c>
      <c r="M57" s="984">
        <v>2009</v>
      </c>
      <c r="N57" s="554">
        <v>2010</v>
      </c>
      <c r="O57" s="554">
        <v>2011</v>
      </c>
      <c r="P57" s="554">
        <v>2012</v>
      </c>
      <c r="Q57" s="554">
        <v>2013</v>
      </c>
      <c r="R57" s="554">
        <v>2014</v>
      </c>
      <c r="S57" s="554">
        <v>2015</v>
      </c>
      <c r="T57" s="554">
        <v>2016</v>
      </c>
      <c r="U57" s="554">
        <v>2017</v>
      </c>
      <c r="V57" s="554">
        <v>2018</v>
      </c>
      <c r="W57" s="554">
        <v>2019</v>
      </c>
      <c r="X57" s="554">
        <v>2020</v>
      </c>
      <c r="Y57" s="554">
        <v>2021</v>
      </c>
      <c r="Z57" s="554">
        <v>2022</v>
      </c>
      <c r="AA57" s="554">
        <v>2023</v>
      </c>
      <c r="AB57" s="554">
        <v>2024</v>
      </c>
      <c r="AC57" s="554">
        <v>2025</v>
      </c>
      <c r="AD57" s="554">
        <v>2026</v>
      </c>
      <c r="AE57" s="554">
        <v>2027</v>
      </c>
      <c r="AF57" s="554">
        <v>2028</v>
      </c>
      <c r="AG57" s="554">
        <v>2029</v>
      </c>
      <c r="AH57" s="554">
        <v>2030</v>
      </c>
      <c r="AI57" s="554">
        <v>2031</v>
      </c>
      <c r="AJ57" s="554">
        <v>2032</v>
      </c>
      <c r="AK57" s="554">
        <v>2033</v>
      </c>
      <c r="AL57" s="554">
        <v>2034</v>
      </c>
      <c r="AM57" s="554">
        <v>2035</v>
      </c>
      <c r="AN57" s="554">
        <v>2036</v>
      </c>
      <c r="AO57" s="554">
        <v>2037</v>
      </c>
      <c r="AP57" s="554">
        <v>2038</v>
      </c>
      <c r="AQ57" s="554">
        <v>2039</v>
      </c>
      <c r="AR57" s="554">
        <v>2040</v>
      </c>
      <c r="AS57" s="554">
        <v>2041</v>
      </c>
      <c r="AT57" s="554">
        <v>2042</v>
      </c>
      <c r="AU57" s="554">
        <v>2043</v>
      </c>
      <c r="AV57" s="554">
        <v>2044</v>
      </c>
      <c r="AW57" s="554">
        <v>2045</v>
      </c>
      <c r="AX57" s="554">
        <v>2046</v>
      </c>
      <c r="AY57" s="554">
        <v>2047</v>
      </c>
      <c r="AZ57" s="554">
        <v>2048</v>
      </c>
      <c r="BA57" s="554">
        <v>2049</v>
      </c>
      <c r="BB57" s="554">
        <v>2050</v>
      </c>
      <c r="BC57" s="554">
        <v>2051</v>
      </c>
      <c r="BD57" s="554">
        <v>2052</v>
      </c>
      <c r="BE57" s="554">
        <v>2053</v>
      </c>
      <c r="BF57" s="554">
        <v>2054</v>
      </c>
      <c r="BG57" s="554">
        <v>2055</v>
      </c>
      <c r="BH57" s="554">
        <v>2056</v>
      </c>
      <c r="BI57" s="554">
        <v>2057</v>
      </c>
      <c r="BJ57" s="554">
        <v>2058</v>
      </c>
      <c r="BK57" s="554">
        <v>2059</v>
      </c>
      <c r="BL57" s="554">
        <v>2060</v>
      </c>
      <c r="BM57" s="554">
        <v>2061</v>
      </c>
      <c r="BN57" s="554">
        <v>2062</v>
      </c>
      <c r="BO57" s="554">
        <v>2063</v>
      </c>
      <c r="BP57" s="554">
        <v>2064</v>
      </c>
      <c r="BQ57" s="554">
        <v>2065</v>
      </c>
      <c r="BR57" s="554">
        <v>2066</v>
      </c>
      <c r="BS57" s="554">
        <v>2067</v>
      </c>
      <c r="BT57" s="554">
        <v>2068</v>
      </c>
      <c r="BU57" s="554">
        <v>2069</v>
      </c>
      <c r="BV57" s="1037">
        <v>2070</v>
      </c>
      <c r="BW57" s="1299">
        <f t="shared" ref="BW57" si="130">+BV57+1</f>
        <v>2071</v>
      </c>
      <c r="BX57" s="1299">
        <f t="shared" ref="BX57" si="131">+BW57+1</f>
        <v>2072</v>
      </c>
      <c r="BY57" s="1299">
        <f t="shared" ref="BY57" si="132">+BX57+1</f>
        <v>2073</v>
      </c>
      <c r="BZ57" s="1299">
        <f t="shared" ref="BZ57" si="133">+BY57+1</f>
        <v>2074</v>
      </c>
      <c r="CA57" s="1299">
        <f t="shared" ref="CA57" si="134">+BZ57+1</f>
        <v>2075</v>
      </c>
      <c r="CB57" s="1299">
        <f t="shared" ref="CB57" si="135">+CA57+1</f>
        <v>2076</v>
      </c>
      <c r="CC57" s="1299">
        <f t="shared" ref="CC57" si="136">+CB57+1</f>
        <v>2077</v>
      </c>
      <c r="CD57" s="1299">
        <f t="shared" ref="CD57" si="137">+CC57+1</f>
        <v>2078</v>
      </c>
      <c r="CE57" s="1299">
        <f t="shared" ref="CE57" si="138">+CD57+1</f>
        <v>2079</v>
      </c>
      <c r="CF57" s="1299">
        <f t="shared" ref="CF57" si="139">+CE57+1</f>
        <v>2080</v>
      </c>
      <c r="CG57" s="1299">
        <f t="shared" ref="CG57" si="140">+CF57+1</f>
        <v>2081</v>
      </c>
      <c r="CH57" s="1299">
        <f t="shared" ref="CH57" si="141">+CG57+1</f>
        <v>2082</v>
      </c>
      <c r="CI57" s="1299">
        <f t="shared" ref="CI57" si="142">+CH57+1</f>
        <v>2083</v>
      </c>
      <c r="CJ57" s="1299">
        <f t="shared" ref="CJ57" si="143">+CI57+1</f>
        <v>2084</v>
      </c>
      <c r="CK57" s="1299">
        <f t="shared" ref="CK57" si="144">+CJ57+1</f>
        <v>2085</v>
      </c>
      <c r="CL57" s="1299">
        <f t="shared" ref="CL57" si="145">+CK57+1</f>
        <v>2086</v>
      </c>
      <c r="CM57" s="1299">
        <f t="shared" ref="CM57" si="146">+CL57+1</f>
        <v>2087</v>
      </c>
      <c r="CN57" s="1299">
        <f t="shared" ref="CN57" si="147">+CM57+1</f>
        <v>2088</v>
      </c>
      <c r="CO57" s="1299">
        <f t="shared" ref="CO57" si="148">+CN57+1</f>
        <v>2089</v>
      </c>
      <c r="CP57" s="1299">
        <f t="shared" ref="CP57" si="149">+CO57+1</f>
        <v>2090</v>
      </c>
      <c r="CQ57" s="1299">
        <f t="shared" ref="CQ57" si="150">+CP57+1</f>
        <v>2091</v>
      </c>
      <c r="CR57" s="1299">
        <f t="shared" ref="CR57" si="151">+CQ57+1</f>
        <v>2092</v>
      </c>
      <c r="CS57" s="1299">
        <f t="shared" ref="CS57" si="152">+CR57+1</f>
        <v>2093</v>
      </c>
      <c r="CT57" s="1299">
        <f t="shared" ref="CT57" si="153">+CS57+1</f>
        <v>2094</v>
      </c>
      <c r="CU57" s="1299">
        <f t="shared" ref="CU57" si="154">+CT57+1</f>
        <v>2095</v>
      </c>
      <c r="CV57" s="1299">
        <f t="shared" ref="CV57" si="155">+CU57+1</f>
        <v>2096</v>
      </c>
      <c r="CW57" s="1299">
        <f t="shared" ref="CW57" si="156">+CV57+1</f>
        <v>2097</v>
      </c>
      <c r="CX57" s="1299">
        <f t="shared" ref="CX57" si="157">+CW57+1</f>
        <v>2098</v>
      </c>
      <c r="CY57" s="1299">
        <f t="shared" ref="CY57" si="158">+CX57+1</f>
        <v>2099</v>
      </c>
      <c r="CZ57" s="1299">
        <f t="shared" ref="CZ57" si="159">+CY57+1</f>
        <v>2100</v>
      </c>
    </row>
    <row r="58" spans="1:104" ht="13.5" thickBot="1">
      <c r="A58" s="807" t="s">
        <v>1086</v>
      </c>
      <c r="B58" s="808"/>
      <c r="C58" s="808"/>
      <c r="D58" s="1168"/>
      <c r="E58" s="808"/>
      <c r="F58" s="808"/>
      <c r="G58" s="808"/>
      <c r="H58" s="808"/>
      <c r="I58" s="808"/>
      <c r="J58" s="808"/>
      <c r="K58" s="808"/>
      <c r="L58" s="808"/>
      <c r="M58" s="808"/>
      <c r="N58" s="808"/>
      <c r="O58" s="808"/>
      <c r="P58" s="808"/>
      <c r="Q58" s="808"/>
      <c r="R58" s="808"/>
      <c r="S58" s="808"/>
      <c r="T58" s="808"/>
      <c r="U58" s="808"/>
      <c r="V58" s="808"/>
      <c r="W58" s="808"/>
      <c r="X58" s="808"/>
      <c r="Y58" s="808"/>
      <c r="Z58" s="808"/>
      <c r="AA58" s="808"/>
      <c r="AB58" s="808"/>
      <c r="AC58" s="808"/>
      <c r="AD58" s="808"/>
      <c r="AE58" s="808"/>
      <c r="AF58" s="808"/>
      <c r="AG58" s="808"/>
      <c r="AH58" s="808"/>
      <c r="AI58" s="808"/>
      <c r="AJ58" s="808"/>
      <c r="AK58" s="808"/>
      <c r="AL58" s="808"/>
      <c r="AM58" s="808"/>
      <c r="AN58" s="808"/>
      <c r="AO58" s="808"/>
      <c r="AP58" s="808"/>
      <c r="AQ58" s="808"/>
      <c r="AR58" s="808"/>
      <c r="AS58" s="808"/>
      <c r="AT58" s="808"/>
      <c r="AU58" s="808"/>
      <c r="AV58" s="808"/>
      <c r="AW58" s="808"/>
      <c r="AX58" s="808"/>
      <c r="AY58" s="808"/>
      <c r="AZ58" s="808"/>
      <c r="BA58" s="808"/>
      <c r="BB58" s="808"/>
      <c r="BC58" s="808"/>
      <c r="BD58" s="808"/>
      <c r="BE58" s="808"/>
      <c r="BF58" s="808"/>
      <c r="BG58" s="808"/>
      <c r="BH58" s="808"/>
      <c r="BI58" s="808"/>
      <c r="BJ58" s="808"/>
      <c r="BK58" s="808"/>
      <c r="BL58" s="808"/>
      <c r="BM58" s="808"/>
      <c r="BN58" s="808"/>
      <c r="BO58" s="808"/>
      <c r="BP58" s="808"/>
      <c r="BQ58" s="808"/>
      <c r="BR58" s="808"/>
      <c r="BS58" s="808"/>
      <c r="BT58" s="808"/>
      <c r="BU58" s="808"/>
      <c r="BV58" s="809"/>
    </row>
    <row r="59" spans="1:104">
      <c r="A59" s="810" t="str">
        <f>'HyARC Physical Property Data'!A73</f>
        <v>Residential Natural Gas</v>
      </c>
      <c r="B59">
        <v>2011</v>
      </c>
      <c r="C59" s="811">
        <f>VLOOKUP(ref_year,DeflatorTable,2,FALSE)/VLOOKUP(B59,DeflatorTable,2,FALSE)</f>
        <v>1.0784554773635862</v>
      </c>
      <c r="D59" s="1169" t="str">
        <f>'HyARC Physical Property Data'!H73</f>
        <v>mmBtu</v>
      </c>
      <c r="E59" s="811" t="s">
        <v>1054</v>
      </c>
      <c r="F59">
        <f>'HyARC Physical Property Data'!$E$6</f>
        <v>47.141269049911173</v>
      </c>
      <c r="G59">
        <f>'HyARC Physical Property Data'!$I$6</f>
        <v>52.224661236371581</v>
      </c>
      <c r="H59" s="986">
        <v>13.568796522291001</v>
      </c>
      <c r="I59" s="986">
        <v>13.568796522291001</v>
      </c>
      <c r="J59" s="986">
        <v>13.568796522291001</v>
      </c>
      <c r="K59" s="986">
        <v>12.569562315288914</v>
      </c>
      <c r="L59" s="986">
        <v>12.891154499364562</v>
      </c>
      <c r="M59" s="986">
        <v>11.574514296329017</v>
      </c>
      <c r="N59">
        <f t="shared" ref="N59:AR59" si="160">N74*(1/mmBTU_to_GJ*$C59*$G59/$F59)</f>
        <v>12.864072624231566</v>
      </c>
      <c r="O59">
        <f t="shared" si="160"/>
        <v>12.233256612302414</v>
      </c>
      <c r="P59">
        <f t="shared" si="160"/>
        <v>11.861152965490446</v>
      </c>
      <c r="Q59">
        <f t="shared" si="160"/>
        <v>11.893055588099742</v>
      </c>
      <c r="R59">
        <f t="shared" si="160"/>
        <v>11.702900284056764</v>
      </c>
      <c r="S59">
        <f t="shared" si="160"/>
        <v>11.584863638053182</v>
      </c>
      <c r="T59">
        <f t="shared" si="160"/>
        <v>12.172704934041207</v>
      </c>
      <c r="U59">
        <f t="shared" si="160"/>
        <v>12.561660766684307</v>
      </c>
      <c r="V59">
        <f t="shared" si="160"/>
        <v>13.040849007274005</v>
      </c>
      <c r="W59">
        <f t="shared" si="160"/>
        <v>13.334636024602869</v>
      </c>
      <c r="X59">
        <f t="shared" si="160"/>
        <v>13.585497021910953</v>
      </c>
      <c r="Y59">
        <f t="shared" si="160"/>
        <v>13.826832870705786</v>
      </c>
      <c r="Z59">
        <f t="shared" si="160"/>
        <v>14.133121150005612</v>
      </c>
      <c r="AA59">
        <f t="shared" si="160"/>
        <v>14.415523514141789</v>
      </c>
      <c r="AB59">
        <f t="shared" si="160"/>
        <v>14.555819858061962</v>
      </c>
      <c r="AC59">
        <f t="shared" si="160"/>
        <v>14.74260268650484</v>
      </c>
      <c r="AD59">
        <f t="shared" si="160"/>
        <v>14.962909824951016</v>
      </c>
      <c r="AE59">
        <f t="shared" si="160"/>
        <v>15.13708380741285</v>
      </c>
      <c r="AF59">
        <f t="shared" si="160"/>
        <v>15.40515937879654</v>
      </c>
      <c r="AG59">
        <f t="shared" si="160"/>
        <v>15.610444392046157</v>
      </c>
      <c r="AH59">
        <f t="shared" si="160"/>
        <v>15.844346751976293</v>
      </c>
      <c r="AI59" s="885">
        <f t="shared" si="160"/>
        <v>16.116906877885302</v>
      </c>
      <c r="AJ59" s="885">
        <f t="shared" si="160"/>
        <v>16.508795790382088</v>
      </c>
      <c r="AK59" s="885">
        <f t="shared" si="160"/>
        <v>16.937809113598334</v>
      </c>
      <c r="AL59" s="885">
        <f t="shared" si="160"/>
        <v>17.381004274269273</v>
      </c>
      <c r="AM59" s="885">
        <f t="shared" si="160"/>
        <v>17.788911879634913</v>
      </c>
      <c r="AN59" s="885">
        <f t="shared" si="160"/>
        <v>18.311687498791546</v>
      </c>
      <c r="AO59" s="885">
        <f t="shared" si="160"/>
        <v>18.65334373828842</v>
      </c>
      <c r="AP59" s="885">
        <f t="shared" si="160"/>
        <v>19.195162859691969</v>
      </c>
      <c r="AQ59" s="885">
        <f t="shared" si="160"/>
        <v>19.682735858288098</v>
      </c>
      <c r="AR59" s="885">
        <f t="shared" si="160"/>
        <v>20.015032288908259</v>
      </c>
      <c r="AS59" s="885">
        <f>($BB59-$AR59)/10+AR59</f>
        <v>20.01518684253227</v>
      </c>
      <c r="AT59" s="885">
        <f t="shared" ref="AT59:BA59" si="161">($BB59-$AR59)/10+AS59</f>
        <v>20.01534139615628</v>
      </c>
      <c r="AU59" s="885">
        <f t="shared" si="161"/>
        <v>20.015495949780291</v>
      </c>
      <c r="AV59" s="885">
        <f t="shared" si="161"/>
        <v>20.015650503404302</v>
      </c>
      <c r="AW59" s="885">
        <f t="shared" si="161"/>
        <v>20.015805057028313</v>
      </c>
      <c r="AX59" s="885">
        <f t="shared" si="161"/>
        <v>20.015959610652324</v>
      </c>
      <c r="AY59" s="885">
        <f t="shared" si="161"/>
        <v>20.016114164276335</v>
      </c>
      <c r="AZ59" s="885">
        <f t="shared" si="161"/>
        <v>20.016268717900346</v>
      </c>
      <c r="BA59" s="885">
        <f t="shared" si="161"/>
        <v>20.016423271524356</v>
      </c>
      <c r="BB59" s="887">
        <f>'AEO Data'!$B$30*AM59</f>
        <v>20.01657782514836</v>
      </c>
      <c r="BC59" s="885">
        <f>($BQ59-$BB59)/15+BB59</f>
        <v>20.179679524085394</v>
      </c>
      <c r="BD59" s="885">
        <f t="shared" ref="BD59:BP62" si="162">($BQ59-$BB59)/15+BC59</f>
        <v>20.342781223022428</v>
      </c>
      <c r="BE59" s="885">
        <f t="shared" si="162"/>
        <v>20.505882921959461</v>
      </c>
      <c r="BF59" s="885">
        <f t="shared" si="162"/>
        <v>20.668984620896495</v>
      </c>
      <c r="BG59" s="885">
        <f t="shared" si="162"/>
        <v>20.832086319833529</v>
      </c>
      <c r="BH59" s="885">
        <f t="shared" si="162"/>
        <v>20.995188018770563</v>
      </c>
      <c r="BI59" s="885">
        <f t="shared" si="162"/>
        <v>21.158289717707596</v>
      </c>
      <c r="BJ59" s="885">
        <f t="shared" si="162"/>
        <v>21.32139141664463</v>
      </c>
      <c r="BK59" s="885">
        <f t="shared" si="162"/>
        <v>21.484493115581664</v>
      </c>
      <c r="BL59" s="885">
        <f t="shared" si="162"/>
        <v>21.647594814518698</v>
      </c>
      <c r="BM59" s="885">
        <f t="shared" si="162"/>
        <v>21.810696513455731</v>
      </c>
      <c r="BN59" s="885">
        <f t="shared" si="162"/>
        <v>21.973798212392765</v>
      </c>
      <c r="BO59" s="885">
        <f t="shared" si="162"/>
        <v>22.136899911329799</v>
      </c>
      <c r="BP59" s="885">
        <f t="shared" si="162"/>
        <v>22.300001610266833</v>
      </c>
      <c r="BQ59" s="887">
        <f>'AEO Data'!$C$30*BB59</f>
        <v>22.463103309203859</v>
      </c>
      <c r="BR59" s="884">
        <f>($BV59-$BQ59)/5+BQ59</f>
        <v>22.591499473992489</v>
      </c>
      <c r="BS59" s="885">
        <f t="shared" ref="BS59:BU62" si="163">($BV59-$BQ59)/5+BR59</f>
        <v>22.719895638781118</v>
      </c>
      <c r="BT59" s="885">
        <f t="shared" si="163"/>
        <v>22.848291803569747</v>
      </c>
      <c r="BU59" s="885">
        <f t="shared" si="163"/>
        <v>22.976687968358377</v>
      </c>
      <c r="BV59" s="888">
        <f>'AEO Data'!$D$30*BQ59</f>
        <v>23.105084133146999</v>
      </c>
      <c r="BW59" s="1298">
        <f>+BV59*BW$133/BV$133</f>
        <v>23.181799806296944</v>
      </c>
      <c r="BX59" s="1298">
        <f t="shared" ref="BX59:CZ59" si="164">+BW59*BX$133/BW$133</f>
        <v>23.258770198039247</v>
      </c>
      <c r="BY59" s="1298">
        <f t="shared" si="164"/>
        <v>23.335996154114543</v>
      </c>
      <c r="BZ59" s="1298">
        <f t="shared" si="164"/>
        <v>23.413478523071561</v>
      </c>
      <c r="CA59" s="1298">
        <f t="shared" si="164"/>
        <v>23.491218156276457</v>
      </c>
      <c r="CB59" s="1298">
        <f t="shared" si="164"/>
        <v>23.541346730111329</v>
      </c>
      <c r="CC59" s="1298">
        <f t="shared" si="164"/>
        <v>23.591582274725578</v>
      </c>
      <c r="CD59" s="1298">
        <f t="shared" si="164"/>
        <v>23.641925018387173</v>
      </c>
      <c r="CE59" s="1298">
        <f t="shared" si="164"/>
        <v>23.692375189851191</v>
      </c>
      <c r="CF59" s="1298">
        <f t="shared" si="164"/>
        <v>23.742933018360848</v>
      </c>
      <c r="CG59" s="1298">
        <f t="shared" si="164"/>
        <v>23.759348824569351</v>
      </c>
      <c r="CH59" s="1298">
        <f t="shared" si="164"/>
        <v>23.775775980626385</v>
      </c>
      <c r="CI59" s="1298">
        <f t="shared" si="164"/>
        <v>23.792214494379209</v>
      </c>
      <c r="CJ59" s="1298">
        <f t="shared" si="164"/>
        <v>23.808664373680507</v>
      </c>
      <c r="CK59" s="1298">
        <f t="shared" si="164"/>
        <v>23.825125626388392</v>
      </c>
      <c r="CL59" s="1298">
        <f t="shared" si="164"/>
        <v>23.830705260336195</v>
      </c>
      <c r="CM59" s="1298">
        <f t="shared" si="164"/>
        <v>23.836286200984979</v>
      </c>
      <c r="CN59" s="1298">
        <f t="shared" si="164"/>
        <v>23.841868448640763</v>
      </c>
      <c r="CO59" s="1298">
        <f t="shared" si="164"/>
        <v>23.847452003609632</v>
      </c>
      <c r="CP59" s="1298">
        <f t="shared" si="164"/>
        <v>23.853036866197748</v>
      </c>
      <c r="CQ59" s="1298">
        <f t="shared" si="164"/>
        <v>23.861501261663879</v>
      </c>
      <c r="CR59" s="1298">
        <f t="shared" si="164"/>
        <v>23.869968660772315</v>
      </c>
      <c r="CS59" s="1298">
        <f t="shared" si="164"/>
        <v>23.878439064588914</v>
      </c>
      <c r="CT59" s="1298">
        <f t="shared" si="164"/>
        <v>23.886912474179919</v>
      </c>
      <c r="CU59" s="1298">
        <f t="shared" si="164"/>
        <v>23.89538889061194</v>
      </c>
      <c r="CV59" s="1298">
        <f t="shared" si="164"/>
        <v>23.908434131387597</v>
      </c>
      <c r="CW59" s="1298">
        <f t="shared" si="164"/>
        <v>23.921486493968537</v>
      </c>
      <c r="CX59" s="1298">
        <f t="shared" si="164"/>
        <v>23.934545982242778</v>
      </c>
      <c r="CY59" s="1298">
        <f t="shared" si="164"/>
        <v>23.947612600100459</v>
      </c>
      <c r="CZ59" s="1298">
        <f t="shared" si="164"/>
        <v>23.960686351433843</v>
      </c>
    </row>
    <row r="60" spans="1:104">
      <c r="A60" s="810" t="str">
        <f>'HyARC Physical Property Data'!A71</f>
        <v>Commercial Natural Gas</v>
      </c>
      <c r="B60">
        <v>2011</v>
      </c>
      <c r="C60" s="811">
        <f t="shared" ref="C60:C68" si="165">VLOOKUP(ref_year,DeflatorTable,2,FALSE)/VLOOKUP(B60,DeflatorTable,2,FALSE)</f>
        <v>1.0784554773635862</v>
      </c>
      <c r="D60" s="1169" t="str">
        <f>'HyARC Physical Property Data'!H71</f>
        <v>mmBtu</v>
      </c>
      <c r="E60" s="811" t="s">
        <v>1054</v>
      </c>
      <c r="F60">
        <f>'HyARC Physical Property Data'!$E$6</f>
        <v>47.141269049911173</v>
      </c>
      <c r="G60">
        <f>'HyARC Physical Property Data'!$I$6</f>
        <v>52.224661236371581</v>
      </c>
      <c r="H60" s="986">
        <v>11.78211597551449</v>
      </c>
      <c r="I60" s="986">
        <v>11.78211597551449</v>
      </c>
      <c r="J60" s="986">
        <v>11.78211597551449</v>
      </c>
      <c r="K60" s="986">
        <v>10.884547954455588</v>
      </c>
      <c r="L60" s="986">
        <v>11.412186165255939</v>
      </c>
      <c r="M60" s="986">
        <v>10.075756967258858</v>
      </c>
      <c r="N60">
        <f t="shared" ref="N60:AR60" si="166">N75*(1/mmBTU_to_GJ*$C60*$G60/$F60)</f>
        <v>10.64172897994356</v>
      </c>
      <c r="O60">
        <f t="shared" si="166"/>
        <v>10.007414788992003</v>
      </c>
      <c r="P60">
        <f t="shared" si="166"/>
        <v>9.1519429796830281</v>
      </c>
      <c r="Q60">
        <f t="shared" si="166"/>
        <v>9.6083607814240821</v>
      </c>
      <c r="R60">
        <f t="shared" si="166"/>
        <v>9.4170571596314385</v>
      </c>
      <c r="S60">
        <f t="shared" si="166"/>
        <v>9.2604963783141265</v>
      </c>
      <c r="T60">
        <f t="shared" si="166"/>
        <v>9.7880272107161694</v>
      </c>
      <c r="U60">
        <f t="shared" si="166"/>
        <v>10.102152135802671</v>
      </c>
      <c r="V60">
        <f t="shared" si="166"/>
        <v>10.510533110812647</v>
      </c>
      <c r="W60">
        <f t="shared" si="166"/>
        <v>10.749394527375706</v>
      </c>
      <c r="X60">
        <f t="shared" si="166"/>
        <v>10.957396319995588</v>
      </c>
      <c r="Y60">
        <f t="shared" si="166"/>
        <v>11.154595545540458</v>
      </c>
      <c r="Z60">
        <f t="shared" si="166"/>
        <v>11.419131036760978</v>
      </c>
      <c r="AA60">
        <f t="shared" si="166"/>
        <v>11.655986860883548</v>
      </c>
      <c r="AB60">
        <f t="shared" si="166"/>
        <v>11.761963905589115</v>
      </c>
      <c r="AC60">
        <f t="shared" si="166"/>
        <v>11.916887145026724</v>
      </c>
      <c r="AD60">
        <f t="shared" si="166"/>
        <v>12.10487944423552</v>
      </c>
      <c r="AE60">
        <f t="shared" si="166"/>
        <v>12.234521573768266</v>
      </c>
      <c r="AF60">
        <f t="shared" si="166"/>
        <v>12.450381528976834</v>
      </c>
      <c r="AG60">
        <f t="shared" si="166"/>
        <v>12.607433799350707</v>
      </c>
      <c r="AH60">
        <f t="shared" si="166"/>
        <v>12.785898685119724</v>
      </c>
      <c r="AI60">
        <f t="shared" si="166"/>
        <v>13.004609050363703</v>
      </c>
      <c r="AJ60">
        <f t="shared" si="166"/>
        <v>13.334459360333689</v>
      </c>
      <c r="AK60">
        <f t="shared" si="166"/>
        <v>13.708042004168398</v>
      </c>
      <c r="AL60">
        <f t="shared" si="166"/>
        <v>14.091726220317723</v>
      </c>
      <c r="AM60">
        <f t="shared" si="166"/>
        <v>14.43493053709644</v>
      </c>
      <c r="AN60">
        <f t="shared" si="166"/>
        <v>14.903089717958334</v>
      </c>
      <c r="AO60">
        <f t="shared" si="166"/>
        <v>15.194282261949443</v>
      </c>
      <c r="AP60">
        <f t="shared" si="166"/>
        <v>15.688899182047464</v>
      </c>
      <c r="AQ60">
        <f t="shared" si="166"/>
        <v>16.126102479588738</v>
      </c>
      <c r="AR60">
        <f t="shared" si="166"/>
        <v>16.399079351978891</v>
      </c>
      <c r="AS60">
        <f t="shared" ref="AS60:BA60" si="167">($BB60-$AR60)/10+AR60</f>
        <v>16.383429901231551</v>
      </c>
      <c r="AT60">
        <f t="shared" si="167"/>
        <v>16.367780450484211</v>
      </c>
      <c r="AU60">
        <f t="shared" si="167"/>
        <v>16.352130999736872</v>
      </c>
      <c r="AV60">
        <f t="shared" si="167"/>
        <v>16.336481548989532</v>
      </c>
      <c r="AW60">
        <f t="shared" si="167"/>
        <v>16.320832098242192</v>
      </c>
      <c r="AX60">
        <f t="shared" si="167"/>
        <v>16.305182647494853</v>
      </c>
      <c r="AY60">
        <f t="shared" si="167"/>
        <v>16.289533196747513</v>
      </c>
      <c r="AZ60">
        <f t="shared" si="167"/>
        <v>16.273883746000173</v>
      </c>
      <c r="BA60">
        <f t="shared" si="167"/>
        <v>16.258234295252834</v>
      </c>
      <c r="BB60" s="868">
        <f>'AEO Data'!$B$30*AM60</f>
        <v>16.242584844505476</v>
      </c>
      <c r="BC60">
        <f>($BQ60-$BB60)/15+BB60</f>
        <v>16.374934799947876</v>
      </c>
      <c r="BD60">
        <f t="shared" si="162"/>
        <v>16.507284755390277</v>
      </c>
      <c r="BE60">
        <f t="shared" si="162"/>
        <v>16.639634710832677</v>
      </c>
      <c r="BF60">
        <f t="shared" si="162"/>
        <v>16.771984666275078</v>
      </c>
      <c r="BG60">
        <f t="shared" si="162"/>
        <v>16.904334621717478</v>
      </c>
      <c r="BH60">
        <f t="shared" si="162"/>
        <v>17.036684577159878</v>
      </c>
      <c r="BI60">
        <f t="shared" si="162"/>
        <v>17.169034532602279</v>
      </c>
      <c r="BJ60">
        <f t="shared" si="162"/>
        <v>17.301384488044679</v>
      </c>
      <c r="BK60">
        <f t="shared" si="162"/>
        <v>17.433734443487079</v>
      </c>
      <c r="BL60">
        <f t="shared" si="162"/>
        <v>17.56608439892948</v>
      </c>
      <c r="BM60">
        <f t="shared" si="162"/>
        <v>17.69843435437188</v>
      </c>
      <c r="BN60">
        <f t="shared" si="162"/>
        <v>17.83078430981428</v>
      </c>
      <c r="BO60">
        <f t="shared" si="162"/>
        <v>17.963134265256681</v>
      </c>
      <c r="BP60">
        <f t="shared" si="162"/>
        <v>18.095484220699081</v>
      </c>
      <c r="BQ60" s="868">
        <f>'AEO Data'!$C$30*BB60</f>
        <v>18.227834176141503</v>
      </c>
      <c r="BR60" s="810">
        <f>($BV60-$BQ60)/5+BQ60</f>
        <v>18.332022095700271</v>
      </c>
      <c r="BS60">
        <f t="shared" si="163"/>
        <v>18.436210015259039</v>
      </c>
      <c r="BT60">
        <f t="shared" si="163"/>
        <v>18.540397934817808</v>
      </c>
      <c r="BU60">
        <f t="shared" si="163"/>
        <v>18.644585854376576</v>
      </c>
      <c r="BV60" s="889">
        <f>'AEO Data'!$D$30*BQ60</f>
        <v>18.748773773935348</v>
      </c>
      <c r="BW60" s="1298">
        <f>+BV60*BW$134/BV$134</f>
        <v>18.811025215761521</v>
      </c>
      <c r="BX60" s="1298">
        <f t="shared" ref="BX60:CZ60" si="168">+BW60*BX$134/BW$134</f>
        <v>18.873483350678995</v>
      </c>
      <c r="BY60" s="1298">
        <f t="shared" si="168"/>
        <v>18.93614886496961</v>
      </c>
      <c r="BZ60" s="1298">
        <f t="shared" si="168"/>
        <v>18.999022447193862</v>
      </c>
      <c r="CA60" s="1298">
        <f t="shared" si="168"/>
        <v>19.062104788198472</v>
      </c>
      <c r="CB60" s="1298">
        <f t="shared" si="168"/>
        <v>19.102781951935423</v>
      </c>
      <c r="CC60" s="1298">
        <f t="shared" si="168"/>
        <v>19.143545917820827</v>
      </c>
      <c r="CD60" s="1298">
        <f t="shared" si="168"/>
        <v>19.184396871084243</v>
      </c>
      <c r="CE60" s="1298">
        <f t="shared" si="168"/>
        <v>19.22533499735049</v>
      </c>
      <c r="CF60" s="1298">
        <f t="shared" si="168"/>
        <v>19.266360482640504</v>
      </c>
      <c r="CG60" s="1298">
        <f t="shared" si="168"/>
        <v>19.279681197473067</v>
      </c>
      <c r="CH60" s="1298">
        <f t="shared" si="168"/>
        <v>19.293011122215507</v>
      </c>
      <c r="CI60" s="1298">
        <f t="shared" si="168"/>
        <v>19.306350263235526</v>
      </c>
      <c r="CJ60" s="1298">
        <f t="shared" si="168"/>
        <v>19.319698626905243</v>
      </c>
      <c r="CK60" s="1298">
        <f t="shared" si="168"/>
        <v>19.333056219601172</v>
      </c>
      <c r="CL60" s="1298">
        <f t="shared" si="168"/>
        <v>19.337583850577364</v>
      </c>
      <c r="CM60" s="1298">
        <f t="shared" si="168"/>
        <v>19.342112541884731</v>
      </c>
      <c r="CN60" s="1298">
        <f t="shared" si="168"/>
        <v>19.346642293771598</v>
      </c>
      <c r="CO60" s="1298">
        <f t="shared" si="168"/>
        <v>19.351173106486343</v>
      </c>
      <c r="CP60" s="1298">
        <f t="shared" si="168"/>
        <v>19.355704980277398</v>
      </c>
      <c r="CQ60" s="1298">
        <f t="shared" si="168"/>
        <v>19.362573470122019</v>
      </c>
      <c r="CR60" s="1298">
        <f t="shared" si="168"/>
        <v>19.369444397292106</v>
      </c>
      <c r="CS60" s="1298">
        <f t="shared" si="168"/>
        <v>19.376317762652565</v>
      </c>
      <c r="CT60" s="1298">
        <f t="shared" si="168"/>
        <v>19.383193567068602</v>
      </c>
      <c r="CU60" s="1298">
        <f t="shared" si="168"/>
        <v>19.390071811405733</v>
      </c>
      <c r="CV60" s="1298">
        <f t="shared" si="168"/>
        <v>19.400657458561128</v>
      </c>
      <c r="CW60" s="1298">
        <f t="shared" si="168"/>
        <v>19.411248884752663</v>
      </c>
      <c r="CX60" s="1298">
        <f t="shared" si="168"/>
        <v>19.42184609313529</v>
      </c>
      <c r="CY60" s="1298">
        <f t="shared" si="168"/>
        <v>19.432449086865692</v>
      </c>
      <c r="CZ60" s="1298">
        <f t="shared" si="168"/>
        <v>19.443057869102269</v>
      </c>
    </row>
    <row r="61" spans="1:104">
      <c r="A61" s="810" t="str">
        <f>'HyARC Physical Property Data'!A72</f>
        <v>Industrial Natural Gas</v>
      </c>
      <c r="B61">
        <v>2011</v>
      </c>
      <c r="C61" s="811">
        <f t="shared" si="165"/>
        <v>1.0784554773635862</v>
      </c>
      <c r="D61" s="1169" t="str">
        <f>'HyARC Physical Property Data'!H72</f>
        <v>mmBtu</v>
      </c>
      <c r="E61" s="811" t="s">
        <v>1054</v>
      </c>
      <c r="F61">
        <f>'HyARC Physical Property Data'!$E$6</f>
        <v>47.141269049911173</v>
      </c>
      <c r="G61">
        <f>'HyARC Physical Property Data'!$I$6</f>
        <v>52.224661236371581</v>
      </c>
      <c r="H61" s="986">
        <v>7.8800725307970341</v>
      </c>
      <c r="I61" s="986">
        <v>7.8800725307970341</v>
      </c>
      <c r="J61" s="986">
        <v>7.8800725307970341</v>
      </c>
      <c r="K61" s="986">
        <v>7.4431315976064605</v>
      </c>
      <c r="L61" s="986">
        <v>8.8750360136942668</v>
      </c>
      <c r="M61" s="986">
        <v>6.5580125743803235</v>
      </c>
      <c r="N61">
        <f t="shared" ref="N61:AR61" si="169">N76*(1/mmBTU_to_GJ*$C61*$G61/$F61)</f>
        <v>6.2103798436905873</v>
      </c>
      <c r="O61">
        <f t="shared" si="169"/>
        <v>5.5365993079896789</v>
      </c>
      <c r="P61">
        <f t="shared" si="169"/>
        <v>4.2658486899298849</v>
      </c>
      <c r="Q61">
        <f t="shared" si="169"/>
        <v>4.9262435098506687</v>
      </c>
      <c r="R61">
        <f t="shared" si="169"/>
        <v>5.0011287756439424</v>
      </c>
      <c r="S61">
        <f t="shared" si="169"/>
        <v>5.043267733696263</v>
      </c>
      <c r="T61">
        <f t="shared" si="169"/>
        <v>5.5677692268671866</v>
      </c>
      <c r="U61">
        <f t="shared" si="169"/>
        <v>5.811978134962712</v>
      </c>
      <c r="V61">
        <f t="shared" si="169"/>
        <v>6.1008547915790015</v>
      </c>
      <c r="W61">
        <f t="shared" si="169"/>
        <v>6.2889829863794731</v>
      </c>
      <c r="X61">
        <f t="shared" si="169"/>
        <v>6.4543826434720692</v>
      </c>
      <c r="Y61">
        <f t="shared" si="169"/>
        <v>6.6186022738436092</v>
      </c>
      <c r="Z61">
        <f t="shared" si="169"/>
        <v>6.8574772799658357</v>
      </c>
      <c r="AA61">
        <f t="shared" si="169"/>
        <v>7.0784899430254651</v>
      </c>
      <c r="AB61">
        <f t="shared" si="169"/>
        <v>7.1627859785423293</v>
      </c>
      <c r="AC61">
        <f t="shared" si="169"/>
        <v>7.2980043571868638</v>
      </c>
      <c r="AD61">
        <f t="shared" si="169"/>
        <v>7.4390911604652894</v>
      </c>
      <c r="AE61">
        <f t="shared" si="169"/>
        <v>7.5449878002791149</v>
      </c>
      <c r="AF61">
        <f t="shared" si="169"/>
        <v>7.7612180709749996</v>
      </c>
      <c r="AG61">
        <f t="shared" si="169"/>
        <v>7.9069717553642462</v>
      </c>
      <c r="AH61">
        <f t="shared" si="169"/>
        <v>8.0635665105794754</v>
      </c>
      <c r="AI61">
        <f t="shared" si="169"/>
        <v>8.2711923253957185</v>
      </c>
      <c r="AJ61">
        <f t="shared" si="169"/>
        <v>8.5949477180790161</v>
      </c>
      <c r="AK61">
        <f t="shared" si="169"/>
        <v>8.9590199354229085</v>
      </c>
      <c r="AL61">
        <f t="shared" si="169"/>
        <v>9.332634288229011</v>
      </c>
      <c r="AM61">
        <f t="shared" si="169"/>
        <v>9.6599444830979113</v>
      </c>
      <c r="AN61">
        <f t="shared" si="169"/>
        <v>10.080315979146802</v>
      </c>
      <c r="AO61">
        <f t="shared" si="169"/>
        <v>10.318380141572026</v>
      </c>
      <c r="AP61">
        <f t="shared" si="169"/>
        <v>10.748724109123437</v>
      </c>
      <c r="AQ61">
        <f t="shared" si="169"/>
        <v>11.112492826312584</v>
      </c>
      <c r="AR61">
        <f t="shared" si="169"/>
        <v>11.338483797880626</v>
      </c>
      <c r="AS61">
        <f t="shared" ref="AS61:BA61" si="170">($BB61-$AR61)/10+AR61</f>
        <v>11.291599206776587</v>
      </c>
      <c r="AT61">
        <f t="shared" si="170"/>
        <v>11.244714615672548</v>
      </c>
      <c r="AU61">
        <f t="shared" si="170"/>
        <v>11.197830024568509</v>
      </c>
      <c r="AV61">
        <f t="shared" si="170"/>
        <v>11.15094543346447</v>
      </c>
      <c r="AW61">
        <f t="shared" si="170"/>
        <v>11.104060842360431</v>
      </c>
      <c r="AX61">
        <f t="shared" si="170"/>
        <v>11.057176251256392</v>
      </c>
      <c r="AY61">
        <f t="shared" si="170"/>
        <v>11.010291660152353</v>
      </c>
      <c r="AZ61">
        <f t="shared" si="170"/>
        <v>10.963407069048314</v>
      </c>
      <c r="BA61">
        <f t="shared" si="170"/>
        <v>10.916522477944275</v>
      </c>
      <c r="BB61" s="868">
        <f>'AEO Data'!$B$30*AM61</f>
        <v>10.869637886840229</v>
      </c>
      <c r="BC61">
        <f>($BQ61-$BB61)/15+BB61</f>
        <v>10.958207292742701</v>
      </c>
      <c r="BD61">
        <f t="shared" si="162"/>
        <v>11.046776698645173</v>
      </c>
      <c r="BE61">
        <f t="shared" si="162"/>
        <v>11.135346104547645</v>
      </c>
      <c r="BF61">
        <f t="shared" si="162"/>
        <v>11.223915510450118</v>
      </c>
      <c r="BG61">
        <f t="shared" si="162"/>
        <v>11.31248491635259</v>
      </c>
      <c r="BH61">
        <f t="shared" si="162"/>
        <v>11.401054322255062</v>
      </c>
      <c r="BI61">
        <f t="shared" si="162"/>
        <v>11.489623728157534</v>
      </c>
      <c r="BJ61">
        <f t="shared" si="162"/>
        <v>11.578193134060006</v>
      </c>
      <c r="BK61">
        <f t="shared" si="162"/>
        <v>11.666762539962479</v>
      </c>
      <c r="BL61">
        <f t="shared" si="162"/>
        <v>11.755331945864951</v>
      </c>
      <c r="BM61">
        <f t="shared" si="162"/>
        <v>11.843901351767423</v>
      </c>
      <c r="BN61">
        <f t="shared" si="162"/>
        <v>11.932470757669895</v>
      </c>
      <c r="BO61">
        <f t="shared" si="162"/>
        <v>12.021040163572367</v>
      </c>
      <c r="BP61">
        <f t="shared" si="162"/>
        <v>12.10960956947484</v>
      </c>
      <c r="BQ61" s="868">
        <f>'AEO Data'!$C$30*BB61</f>
        <v>12.19817897537731</v>
      </c>
      <c r="BR61" s="810">
        <f>($BV61-$BQ61)/5+BQ61</f>
        <v>12.26790217329369</v>
      </c>
      <c r="BS61">
        <f t="shared" si="163"/>
        <v>12.33762537121007</v>
      </c>
      <c r="BT61">
        <f t="shared" si="163"/>
        <v>12.40734856912645</v>
      </c>
      <c r="BU61">
        <f t="shared" si="163"/>
        <v>12.47707176704283</v>
      </c>
      <c r="BV61" s="889">
        <f>'AEO Data'!$D$30*BQ61</f>
        <v>12.546794964959213</v>
      </c>
      <c r="BW61" s="1298">
        <f>+BV61*BW$135/BV$135</f>
        <v>12.588454013507333</v>
      </c>
      <c r="BX61" s="1298">
        <f t="shared" ref="BX61:CZ61" si="171">+BW61*BX$135/BW$135</f>
        <v>12.630251382346072</v>
      </c>
      <c r="BY61" s="1298">
        <f t="shared" si="171"/>
        <v>12.672187530739475</v>
      </c>
      <c r="BZ61" s="1298">
        <f t="shared" si="171"/>
        <v>12.714262919476461</v>
      </c>
      <c r="CA61" s="1298">
        <f t="shared" si="171"/>
        <v>12.75647801087592</v>
      </c>
      <c r="CB61" s="1298">
        <f t="shared" si="171"/>
        <v>12.78369941955669</v>
      </c>
      <c r="CC61" s="1298">
        <f t="shared" si="171"/>
        <v>12.810978916770198</v>
      </c>
      <c r="CD61" s="1298">
        <f t="shared" si="171"/>
        <v>12.838316626473205</v>
      </c>
      <c r="CE61" s="1298">
        <f t="shared" si="171"/>
        <v>12.865712672886987</v>
      </c>
      <c r="CF61" s="1298">
        <f t="shared" si="171"/>
        <v>12.893167180497899</v>
      </c>
      <c r="CG61" s="1298">
        <f t="shared" si="171"/>
        <v>12.90208148496421</v>
      </c>
      <c r="CH61" s="1298">
        <f t="shared" si="171"/>
        <v>12.911001952758973</v>
      </c>
      <c r="CI61" s="1298">
        <f t="shared" si="171"/>
        <v>12.919928588143499</v>
      </c>
      <c r="CJ61" s="1298">
        <f t="shared" si="171"/>
        <v>12.928861395382043</v>
      </c>
      <c r="CK61" s="1298">
        <f t="shared" si="171"/>
        <v>12.937800378741811</v>
      </c>
      <c r="CL61" s="1298">
        <f t="shared" si="171"/>
        <v>12.940830297296499</v>
      </c>
      <c r="CM61" s="1298">
        <f t="shared" si="171"/>
        <v>12.943860925431345</v>
      </c>
      <c r="CN61" s="1298">
        <f t="shared" si="171"/>
        <v>12.946892263312527</v>
      </c>
      <c r="CO61" s="1298">
        <f t="shared" si="171"/>
        <v>12.949924311106264</v>
      </c>
      <c r="CP61" s="1298">
        <f t="shared" si="171"/>
        <v>12.952957068978808</v>
      </c>
      <c r="CQ61" s="1298">
        <f t="shared" si="171"/>
        <v>12.957553504715802</v>
      </c>
      <c r="CR61" s="1298">
        <f t="shared" si="171"/>
        <v>12.962151571526023</v>
      </c>
      <c r="CS61" s="1298">
        <f t="shared" si="171"/>
        <v>12.966751269988269</v>
      </c>
      <c r="CT61" s="1298">
        <f t="shared" si="171"/>
        <v>12.971352600681538</v>
      </c>
      <c r="CU61" s="1298">
        <f t="shared" si="171"/>
        <v>12.975955564185037</v>
      </c>
      <c r="CV61" s="1298">
        <f t="shared" si="171"/>
        <v>12.983039544504583</v>
      </c>
      <c r="CW61" s="1298">
        <f t="shared" si="171"/>
        <v>12.990127392190731</v>
      </c>
      <c r="CX61" s="1298">
        <f t="shared" si="171"/>
        <v>12.997219109354795</v>
      </c>
      <c r="CY61" s="1298">
        <f t="shared" si="171"/>
        <v>13.004314698109246</v>
      </c>
      <c r="CZ61" s="1298">
        <f t="shared" si="171"/>
        <v>13.011414160567707</v>
      </c>
    </row>
    <row r="62" spans="1:104">
      <c r="A62" s="810" t="str">
        <f>'HyARC Physical Property Data'!A74</f>
        <v>Electric Utility Natural Gas</v>
      </c>
      <c r="B62">
        <v>2011</v>
      </c>
      <c r="C62" s="811">
        <f t="shared" si="165"/>
        <v>1.0784554773635862</v>
      </c>
      <c r="D62" s="1169" t="str">
        <f>'HyARC Physical Property Data'!H74</f>
        <v>mmBtu</v>
      </c>
      <c r="E62" s="811" t="s">
        <v>1054</v>
      </c>
      <c r="F62">
        <f>'HyARC Physical Property Data'!$E$6</f>
        <v>47.141269049911173</v>
      </c>
      <c r="G62">
        <f>'HyARC Physical Property Data'!$I$6</f>
        <v>52.224661236371581</v>
      </c>
      <c r="H62" s="986">
        <v>6.9870463159656619</v>
      </c>
      <c r="I62" s="986">
        <v>6.9870463159656619</v>
      </c>
      <c r="J62" s="986">
        <v>6.9870463159656619</v>
      </c>
      <c r="K62" s="986">
        <v>6.9519071777354364</v>
      </c>
      <c r="L62" s="986">
        <v>9.0904707383294223</v>
      </c>
      <c r="M62" s="986">
        <v>6.2626950486669273</v>
      </c>
      <c r="N62">
        <f t="shared" ref="N62:AR62" si="172">N77*(1/mmBTU_to_GJ*$C62*$G62/$F62)</f>
        <v>5.9546798308555591</v>
      </c>
      <c r="O62">
        <f t="shared" si="172"/>
        <v>5.4071882009627821</v>
      </c>
      <c r="P62">
        <f t="shared" si="172"/>
        <v>3.768852464514262</v>
      </c>
      <c r="Q62">
        <f t="shared" si="172"/>
        <v>4.2197914089842286</v>
      </c>
      <c r="R62">
        <f t="shared" si="172"/>
        <v>4.3421608594357606</v>
      </c>
      <c r="S62">
        <f t="shared" si="172"/>
        <v>4.4350092575221245</v>
      </c>
      <c r="T62">
        <f t="shared" si="172"/>
        <v>4.9227430659017379</v>
      </c>
      <c r="U62">
        <f t="shared" si="172"/>
        <v>5.1227134290535421</v>
      </c>
      <c r="V62">
        <f t="shared" si="172"/>
        <v>5.404199630409166</v>
      </c>
      <c r="W62">
        <f t="shared" si="172"/>
        <v>5.5835002740669921</v>
      </c>
      <c r="X62">
        <f t="shared" si="172"/>
        <v>5.7378889908440085</v>
      </c>
      <c r="Y62">
        <f t="shared" si="172"/>
        <v>5.8922335415537308</v>
      </c>
      <c r="Z62">
        <f t="shared" si="172"/>
        <v>6.1313078612104164</v>
      </c>
      <c r="AA62">
        <f t="shared" si="172"/>
        <v>6.355420076223532</v>
      </c>
      <c r="AB62">
        <f t="shared" si="172"/>
        <v>6.4754872288594125</v>
      </c>
      <c r="AC62">
        <f t="shared" si="172"/>
        <v>6.6246700120119595</v>
      </c>
      <c r="AD62">
        <f t="shared" si="172"/>
        <v>6.7907434847466179</v>
      </c>
      <c r="AE62">
        <f t="shared" si="172"/>
        <v>6.9234738416002104</v>
      </c>
      <c r="AF62">
        <f t="shared" si="172"/>
        <v>7.1128771900359125</v>
      </c>
      <c r="AG62">
        <f t="shared" si="172"/>
        <v>7.2589977925226847</v>
      </c>
      <c r="AH62">
        <f t="shared" si="172"/>
        <v>7.4163003372778959</v>
      </c>
      <c r="AI62">
        <f t="shared" si="172"/>
        <v>7.6223407035245794</v>
      </c>
      <c r="AJ62">
        <f t="shared" si="172"/>
        <v>7.9461017585241978</v>
      </c>
      <c r="AK62">
        <f t="shared" si="172"/>
        <v>8.2927532934784409</v>
      </c>
      <c r="AL62">
        <f t="shared" si="172"/>
        <v>8.6454827587704095</v>
      </c>
      <c r="AM62">
        <f t="shared" si="172"/>
        <v>8.9495797216544553</v>
      </c>
      <c r="AN62">
        <f t="shared" si="172"/>
        <v>9.3600297070477065</v>
      </c>
      <c r="AO62">
        <f t="shared" si="172"/>
        <v>9.6003452064417036</v>
      </c>
      <c r="AP62">
        <f t="shared" si="172"/>
        <v>10.02812074731043</v>
      </c>
      <c r="AQ62">
        <f t="shared" si="172"/>
        <v>10.386438918810089</v>
      </c>
      <c r="AR62">
        <f t="shared" si="172"/>
        <v>10.572567183486392</v>
      </c>
      <c r="AS62">
        <f t="shared" ref="AS62:BA62" si="173">($BB62-$AR62)/10+AR62</f>
        <v>10.522342037462021</v>
      </c>
      <c r="AT62">
        <f t="shared" si="173"/>
        <v>10.472116891437651</v>
      </c>
      <c r="AU62">
        <f t="shared" si="173"/>
        <v>10.42189174541328</v>
      </c>
      <c r="AV62">
        <f t="shared" si="173"/>
        <v>10.371666599388909</v>
      </c>
      <c r="AW62">
        <f t="shared" si="173"/>
        <v>10.321441453364539</v>
      </c>
      <c r="AX62">
        <f t="shared" si="173"/>
        <v>10.271216307340168</v>
      </c>
      <c r="AY62">
        <f t="shared" si="173"/>
        <v>10.220991161315798</v>
      </c>
      <c r="AZ62">
        <f t="shared" si="173"/>
        <v>10.170766015291427</v>
      </c>
      <c r="BA62">
        <f t="shared" si="173"/>
        <v>10.120540869267057</v>
      </c>
      <c r="BB62" s="868">
        <f>'AEO Data'!$B$30*AM62</f>
        <v>10.070315723242683</v>
      </c>
      <c r="BC62">
        <f>($BQ62-$BB62)/15+BB62</f>
        <v>10.152371987687129</v>
      </c>
      <c r="BD62">
        <f t="shared" si="162"/>
        <v>10.234428252131575</v>
      </c>
      <c r="BE62">
        <f t="shared" si="162"/>
        <v>10.316484516576022</v>
      </c>
      <c r="BF62">
        <f t="shared" si="162"/>
        <v>10.398540781020468</v>
      </c>
      <c r="BG62">
        <f t="shared" si="162"/>
        <v>10.480597045464915</v>
      </c>
      <c r="BH62">
        <f t="shared" si="162"/>
        <v>10.562653309909361</v>
      </c>
      <c r="BI62">
        <f t="shared" si="162"/>
        <v>10.644709574353808</v>
      </c>
      <c r="BJ62">
        <f t="shared" si="162"/>
        <v>10.726765838798254</v>
      </c>
      <c r="BK62">
        <f t="shared" si="162"/>
        <v>10.808822103242701</v>
      </c>
      <c r="BL62">
        <f t="shared" si="162"/>
        <v>10.890878367687147</v>
      </c>
      <c r="BM62">
        <f t="shared" si="162"/>
        <v>10.972934632131594</v>
      </c>
      <c r="BN62">
        <f t="shared" si="162"/>
        <v>11.05499089657604</v>
      </c>
      <c r="BO62">
        <f t="shared" si="162"/>
        <v>11.137047161020487</v>
      </c>
      <c r="BP62">
        <f t="shared" si="162"/>
        <v>11.219103425464933</v>
      </c>
      <c r="BQ62" s="868">
        <f>'AEO Data'!$C$30*BB62</f>
        <v>11.301159689909367</v>
      </c>
      <c r="BR62" s="810">
        <f>($BV62-$BQ62)/5+BQ62</f>
        <v>11.365755642742549</v>
      </c>
      <c r="BS62">
        <f t="shared" si="163"/>
        <v>11.430351595575731</v>
      </c>
      <c r="BT62">
        <f t="shared" si="163"/>
        <v>11.494947548408913</v>
      </c>
      <c r="BU62">
        <f t="shared" si="163"/>
        <v>11.559543501242095</v>
      </c>
      <c r="BV62" s="889">
        <f>'AEO Data'!$D$30*BQ62</f>
        <v>11.624139454075273</v>
      </c>
      <c r="BW62" s="1298">
        <f>+BV62*BW$136/BV$136</f>
        <v>11.662735015029273</v>
      </c>
      <c r="BX62" s="1298">
        <f t="shared" ref="BX62:CZ63" si="174">+BW62*BX$136/BW$136</f>
        <v>11.701458724594294</v>
      </c>
      <c r="BY62" s="1298">
        <f t="shared" si="174"/>
        <v>11.740311008261404</v>
      </c>
      <c r="BZ62" s="1298">
        <f t="shared" si="174"/>
        <v>11.779292292934432</v>
      </c>
      <c r="CA62" s="1298">
        <f t="shared" si="174"/>
        <v>11.818403006934647</v>
      </c>
      <c r="CB62" s="1298">
        <f t="shared" si="174"/>
        <v>11.843622630872503</v>
      </c>
      <c r="CC62" s="1298">
        <f t="shared" si="174"/>
        <v>11.868896071678103</v>
      </c>
      <c r="CD62" s="1298">
        <f t="shared" si="174"/>
        <v>11.894223444192779</v>
      </c>
      <c r="CE62" s="1298">
        <f t="shared" si="174"/>
        <v>11.919604863502929</v>
      </c>
      <c r="CF62" s="1298">
        <f t="shared" si="174"/>
        <v>11.94504044494054</v>
      </c>
      <c r="CG62" s="1298">
        <f t="shared" si="174"/>
        <v>11.95329921688524</v>
      </c>
      <c r="CH62" s="1298">
        <f t="shared" si="174"/>
        <v>11.961563698924795</v>
      </c>
      <c r="CI62" s="1298">
        <f t="shared" si="174"/>
        <v>11.969833895007156</v>
      </c>
      <c r="CJ62" s="1298">
        <f t="shared" si="174"/>
        <v>11.978109809082998</v>
      </c>
      <c r="CK62" s="1298">
        <f t="shared" si="174"/>
        <v>11.986391445105726</v>
      </c>
      <c r="CL62" s="1298">
        <f t="shared" si="174"/>
        <v>11.98919855209301</v>
      </c>
      <c r="CM62" s="1298">
        <f t="shared" si="174"/>
        <v>11.992006316479953</v>
      </c>
      <c r="CN62" s="1298">
        <f t="shared" si="174"/>
        <v>11.994814738420512</v>
      </c>
      <c r="CO62" s="1298">
        <f t="shared" si="174"/>
        <v>11.99762381806868</v>
      </c>
      <c r="CP62" s="1298">
        <f t="shared" si="174"/>
        <v>12.000433555578486</v>
      </c>
      <c r="CQ62" s="1298">
        <f t="shared" si="174"/>
        <v>12.00469198254312</v>
      </c>
      <c r="CR62" s="1298">
        <f t="shared" si="174"/>
        <v>12.008951920636509</v>
      </c>
      <c r="CS62" s="1298">
        <f t="shared" si="174"/>
        <v>12.013213370394887</v>
      </c>
      <c r="CT62" s="1298">
        <f t="shared" si="174"/>
        <v>12.017476332354676</v>
      </c>
      <c r="CU62" s="1298">
        <f t="shared" si="174"/>
        <v>12.021740807052488</v>
      </c>
      <c r="CV62" s="1298">
        <f t="shared" si="174"/>
        <v>12.028303851667012</v>
      </c>
      <c r="CW62" s="1298">
        <f t="shared" si="174"/>
        <v>12.034870479253032</v>
      </c>
      <c r="CX62" s="1298">
        <f t="shared" si="174"/>
        <v>12.041440691766601</v>
      </c>
      <c r="CY62" s="1298">
        <f t="shared" si="174"/>
        <v>12.048014491164842</v>
      </c>
      <c r="CZ62" s="1298">
        <f t="shared" si="174"/>
        <v>12.054591879405951</v>
      </c>
    </row>
    <row r="63" spans="1:104">
      <c r="A63" s="810" t="str">
        <f>'HyARC Physical Property Data'!A75</f>
        <v>Bio Methane</v>
      </c>
      <c r="B63">
        <v>2007</v>
      </c>
      <c r="C63" s="811">
        <f t="shared" si="165"/>
        <v>1.1446359956438654</v>
      </c>
      <c r="D63" s="1172" t="str">
        <f>'HyARC Physical Property Data'!H75</f>
        <v>mmBtu</v>
      </c>
      <c r="E63" s="811" t="s">
        <v>1054</v>
      </c>
      <c r="F63">
        <f>'HyARC Physical Property Data'!$E$6</f>
        <v>47.141269049911173</v>
      </c>
      <c r="G63">
        <f>'HyARC Physical Property Data'!$I$6</f>
        <v>52.224661236371581</v>
      </c>
      <c r="H63" s="986">
        <v>12.42654028436019</v>
      </c>
      <c r="I63" s="986">
        <v>12.42654028436019</v>
      </c>
      <c r="J63" s="986">
        <v>12.42654028436019</v>
      </c>
      <c r="K63" s="986">
        <v>12.42654028436019</v>
      </c>
      <c r="L63" s="986">
        <v>12.42654028436019</v>
      </c>
      <c r="M63" s="986">
        <v>12.42654028436019</v>
      </c>
      <c r="N63">
        <f t="shared" ref="N63:AM63" si="175">13.11*($C$63/mmBTU_to_GJ)</f>
        <v>14.223865310797228</v>
      </c>
      <c r="O63">
        <f t="shared" si="175"/>
        <v>14.223865310797228</v>
      </c>
      <c r="P63">
        <f t="shared" si="175"/>
        <v>14.223865310797228</v>
      </c>
      <c r="Q63">
        <f t="shared" si="175"/>
        <v>14.223865310797228</v>
      </c>
      <c r="R63">
        <f t="shared" si="175"/>
        <v>14.223865310797228</v>
      </c>
      <c r="S63">
        <f t="shared" si="175"/>
        <v>14.223865310797228</v>
      </c>
      <c r="T63">
        <f t="shared" si="175"/>
        <v>14.223865310797228</v>
      </c>
      <c r="U63">
        <f t="shared" si="175"/>
        <v>14.223865310797228</v>
      </c>
      <c r="V63">
        <f t="shared" si="175"/>
        <v>14.223865310797228</v>
      </c>
      <c r="W63">
        <f t="shared" si="175"/>
        <v>14.223865310797228</v>
      </c>
      <c r="X63">
        <f t="shared" si="175"/>
        <v>14.223865310797228</v>
      </c>
      <c r="Y63">
        <f t="shared" si="175"/>
        <v>14.223865310797228</v>
      </c>
      <c r="Z63">
        <f t="shared" si="175"/>
        <v>14.223865310797228</v>
      </c>
      <c r="AA63">
        <f t="shared" si="175"/>
        <v>14.223865310797228</v>
      </c>
      <c r="AB63">
        <f t="shared" si="175"/>
        <v>14.223865310797228</v>
      </c>
      <c r="AC63">
        <f t="shared" si="175"/>
        <v>14.223865310797228</v>
      </c>
      <c r="AD63">
        <f t="shared" si="175"/>
        <v>14.223865310797228</v>
      </c>
      <c r="AE63">
        <f t="shared" si="175"/>
        <v>14.223865310797228</v>
      </c>
      <c r="AF63">
        <f t="shared" si="175"/>
        <v>14.223865310797228</v>
      </c>
      <c r="AG63">
        <f t="shared" si="175"/>
        <v>14.223865310797228</v>
      </c>
      <c r="AH63">
        <f t="shared" si="175"/>
        <v>14.223865310797228</v>
      </c>
      <c r="AI63">
        <f t="shared" si="175"/>
        <v>14.223865310797228</v>
      </c>
      <c r="AJ63">
        <f t="shared" si="175"/>
        <v>14.223865310797228</v>
      </c>
      <c r="AK63">
        <f t="shared" si="175"/>
        <v>14.223865310797228</v>
      </c>
      <c r="AL63">
        <f t="shared" si="175"/>
        <v>14.223865310797228</v>
      </c>
      <c r="AM63">
        <f t="shared" si="175"/>
        <v>14.223865310797228</v>
      </c>
      <c r="AN63">
        <f t="shared" ref="AN63:BV63" si="176">13.11*($C$63/mmBTU_to_GJ)</f>
        <v>14.223865310797228</v>
      </c>
      <c r="AO63">
        <f t="shared" si="176"/>
        <v>14.223865310797228</v>
      </c>
      <c r="AP63">
        <f t="shared" si="176"/>
        <v>14.223865310797228</v>
      </c>
      <c r="AQ63">
        <f t="shared" si="176"/>
        <v>14.223865310797228</v>
      </c>
      <c r="AR63">
        <f t="shared" si="176"/>
        <v>14.223865310797228</v>
      </c>
      <c r="AS63">
        <f t="shared" si="176"/>
        <v>14.223865310797228</v>
      </c>
      <c r="AT63">
        <f t="shared" si="176"/>
        <v>14.223865310797228</v>
      </c>
      <c r="AU63">
        <f t="shared" si="176"/>
        <v>14.223865310797228</v>
      </c>
      <c r="AV63">
        <f t="shared" si="176"/>
        <v>14.223865310797228</v>
      </c>
      <c r="AW63">
        <f t="shared" si="176"/>
        <v>14.223865310797228</v>
      </c>
      <c r="AX63">
        <f t="shared" si="176"/>
        <v>14.223865310797228</v>
      </c>
      <c r="AY63">
        <f t="shared" si="176"/>
        <v>14.223865310797228</v>
      </c>
      <c r="AZ63">
        <f t="shared" si="176"/>
        <v>14.223865310797228</v>
      </c>
      <c r="BA63">
        <f t="shared" si="176"/>
        <v>14.223865310797228</v>
      </c>
      <c r="BB63">
        <f t="shared" si="176"/>
        <v>14.223865310797228</v>
      </c>
      <c r="BC63">
        <f t="shared" si="176"/>
        <v>14.223865310797228</v>
      </c>
      <c r="BD63">
        <f t="shared" si="176"/>
        <v>14.223865310797228</v>
      </c>
      <c r="BE63">
        <f t="shared" si="176"/>
        <v>14.223865310797228</v>
      </c>
      <c r="BF63">
        <f t="shared" si="176"/>
        <v>14.223865310797228</v>
      </c>
      <c r="BG63">
        <f t="shared" si="176"/>
        <v>14.223865310797228</v>
      </c>
      <c r="BH63">
        <f t="shared" si="176"/>
        <v>14.223865310797228</v>
      </c>
      <c r="BI63">
        <f t="shared" si="176"/>
        <v>14.223865310797228</v>
      </c>
      <c r="BJ63">
        <f t="shared" si="176"/>
        <v>14.223865310797228</v>
      </c>
      <c r="BK63">
        <f t="shared" si="176"/>
        <v>14.223865310797228</v>
      </c>
      <c r="BL63">
        <f t="shared" si="176"/>
        <v>14.223865310797228</v>
      </c>
      <c r="BM63">
        <f t="shared" si="176"/>
        <v>14.223865310797228</v>
      </c>
      <c r="BN63">
        <f t="shared" si="176"/>
        <v>14.223865310797228</v>
      </c>
      <c r="BO63">
        <f t="shared" si="176"/>
        <v>14.223865310797228</v>
      </c>
      <c r="BP63">
        <f t="shared" si="176"/>
        <v>14.223865310797228</v>
      </c>
      <c r="BQ63">
        <f t="shared" si="176"/>
        <v>14.223865310797228</v>
      </c>
      <c r="BR63" s="810">
        <f t="shared" si="176"/>
        <v>14.223865310797228</v>
      </c>
      <c r="BS63">
        <f t="shared" si="176"/>
        <v>14.223865310797228</v>
      </c>
      <c r="BT63">
        <f t="shared" si="176"/>
        <v>14.223865310797228</v>
      </c>
      <c r="BU63">
        <f t="shared" si="176"/>
        <v>14.223865310797228</v>
      </c>
      <c r="BV63" s="658">
        <f t="shared" si="176"/>
        <v>14.223865310797228</v>
      </c>
      <c r="BW63" s="1298">
        <f>+BV63*BW$136/BV$136</f>
        <v>14.271092726019944</v>
      </c>
      <c r="BX63" s="1298">
        <f t="shared" si="174"/>
        <v>14.318476950147966</v>
      </c>
      <c r="BY63" s="1298">
        <f t="shared" si="174"/>
        <v>14.366018503832969</v>
      </c>
      <c r="BZ63" s="1298">
        <f t="shared" si="174"/>
        <v>14.413717909455341</v>
      </c>
      <c r="CA63" s="1298">
        <f t="shared" si="174"/>
        <v>14.461575691129934</v>
      </c>
      <c r="CB63" s="1298">
        <f t="shared" si="174"/>
        <v>14.49243565590395</v>
      </c>
      <c r="CC63" s="1298">
        <f t="shared" si="174"/>
        <v>14.523361473628309</v>
      </c>
      <c r="CD63" s="1298">
        <f t="shared" si="174"/>
        <v>14.554353284828478</v>
      </c>
      <c r="CE63" s="1298">
        <f t="shared" si="174"/>
        <v>14.585411230329802</v>
      </c>
      <c r="CF63" s="1298">
        <f t="shared" si="174"/>
        <v>14.616535451258134</v>
      </c>
      <c r="CG63" s="1298">
        <f t="shared" si="174"/>
        <v>14.626641288360148</v>
      </c>
      <c r="CH63" s="1298">
        <f t="shared" si="174"/>
        <v>14.636754112613382</v>
      </c>
      <c r="CI63" s="1298">
        <f t="shared" si="174"/>
        <v>14.646873928848736</v>
      </c>
      <c r="CJ63" s="1298">
        <f t="shared" si="174"/>
        <v>14.657000741900452</v>
      </c>
      <c r="CK63" s="1298">
        <f t="shared" si="174"/>
        <v>14.667134556606111</v>
      </c>
      <c r="CL63" s="1298">
        <f t="shared" si="174"/>
        <v>14.670569469948116</v>
      </c>
      <c r="CM63" s="1298">
        <f t="shared" si="174"/>
        <v>14.674005187716483</v>
      </c>
      <c r="CN63" s="1298">
        <f t="shared" si="174"/>
        <v>14.6774417100996</v>
      </c>
      <c r="CO63" s="1298">
        <f t="shared" si="174"/>
        <v>14.6808790372859</v>
      </c>
      <c r="CP63" s="1298">
        <f t="shared" si="174"/>
        <v>14.684317169463862</v>
      </c>
      <c r="CQ63" s="1298">
        <f t="shared" si="174"/>
        <v>14.689527988881515</v>
      </c>
      <c r="CR63" s="1298">
        <f t="shared" si="174"/>
        <v>14.69474065739019</v>
      </c>
      <c r="CS63" s="1298">
        <f t="shared" si="174"/>
        <v>14.699955175646044</v>
      </c>
      <c r="CT63" s="1298">
        <f t="shared" si="174"/>
        <v>14.705171544305472</v>
      </c>
      <c r="CU63" s="1298">
        <f t="shared" si="174"/>
        <v>14.710389764025104</v>
      </c>
      <c r="CV63" s="1298">
        <f t="shared" si="174"/>
        <v>14.718420626266095</v>
      </c>
      <c r="CW63" s="1298">
        <f t="shared" si="174"/>
        <v>14.726455872806168</v>
      </c>
      <c r="CX63" s="1298">
        <f t="shared" si="174"/>
        <v>14.734495506038849</v>
      </c>
      <c r="CY63" s="1298">
        <f t="shared" si="174"/>
        <v>14.74253952835897</v>
      </c>
      <c r="CZ63" s="1298">
        <f t="shared" si="174"/>
        <v>14.750587942162673</v>
      </c>
    </row>
    <row r="64" spans="1:104">
      <c r="A64" s="890" t="str">
        <f>'HyARC Physical Property Data'!A85</f>
        <v>Woody Biomass</v>
      </c>
      <c r="B64">
        <v>2005</v>
      </c>
      <c r="C64" s="811">
        <f>VLOOKUP(ref_year,DeflatorTable,2,FALSE)/VLOOKUP(B64,DeflatorTable,2,FALSE)</f>
        <v>1.2112501494873942</v>
      </c>
      <c r="D64" s="1171" t="str">
        <f>+'HyARC Physical Property Data'!$H$85</f>
        <v>kg</v>
      </c>
      <c r="E64" s="834" t="s">
        <v>1048</v>
      </c>
      <c r="F64">
        <f>'HyARC Physical Property Data'!$E$45</f>
        <v>19.551069237418005</v>
      </c>
      <c r="G64">
        <f>'HyARC Physical Property Data'!$I$45</f>
        <v>20.588656379262464</v>
      </c>
      <c r="H64" s="986">
        <v>1.3438238843289665</v>
      </c>
      <c r="I64" s="986">
        <v>1.3438238843289665</v>
      </c>
      <c r="J64" s="986">
        <v>1.3438238843289665</v>
      </c>
      <c r="K64" s="986">
        <v>1.3438238843289665</v>
      </c>
      <c r="L64" s="986">
        <v>1.3438238843289665</v>
      </c>
      <c r="M64" s="986">
        <v>1.3438238843289665</v>
      </c>
      <c r="N64">
        <f>1.27*($C$64)</f>
        <v>1.5382876898489906</v>
      </c>
      <c r="O64">
        <f>1.27*($C$64)</f>
        <v>1.5382876898489906</v>
      </c>
      <c r="P64">
        <f>1.28*($C$64)</f>
        <v>1.5504001913438645</v>
      </c>
      <c r="Q64">
        <f>1.32*($C$64)</f>
        <v>1.5988501973233604</v>
      </c>
      <c r="R64">
        <f>1.32*($C$64)</f>
        <v>1.5988501973233604</v>
      </c>
      <c r="S64">
        <f>1.34*($C$64)</f>
        <v>1.6230752003131084</v>
      </c>
      <c r="T64">
        <f>1.34*($C$64)</f>
        <v>1.6230752003131084</v>
      </c>
      <c r="U64">
        <f>1.36*($C$64)</f>
        <v>1.6473002033028561</v>
      </c>
      <c r="V64">
        <f>1.36*($C$64)</f>
        <v>1.6473002033028561</v>
      </c>
      <c r="W64">
        <f>1.38*($C$64)</f>
        <v>1.6715252062926038</v>
      </c>
      <c r="X64">
        <f>1.4*($C$64)</f>
        <v>1.6957502092823518</v>
      </c>
      <c r="Y64">
        <f>1.46*($C$64)</f>
        <v>1.7684252182515954</v>
      </c>
      <c r="Z64">
        <f>1.48*($C$64)</f>
        <v>1.7926502212413433</v>
      </c>
      <c r="AA64">
        <f>1.48*($C$64)</f>
        <v>1.7926502212413433</v>
      </c>
      <c r="AB64">
        <f>1.51*($C$64)</f>
        <v>1.8289877257259652</v>
      </c>
      <c r="AC64">
        <f>1.52*($C$64)</f>
        <v>1.8411002272208392</v>
      </c>
      <c r="AD64">
        <f>1.62*($C$64)</f>
        <v>1.9622252421695787</v>
      </c>
      <c r="AE64">
        <f>1.72*($C$64)</f>
        <v>2.083350257118318</v>
      </c>
      <c r="AF64">
        <f>1.82*($C$64)</f>
        <v>2.2044752720670573</v>
      </c>
      <c r="AG64">
        <f>1.91*($C$64)</f>
        <v>2.3134877855209228</v>
      </c>
      <c r="AH64">
        <f>2.01*($C$64)</f>
        <v>2.4346128004696621</v>
      </c>
      <c r="AI64">
        <f>2.11*($C$64)</f>
        <v>2.5557378154184014</v>
      </c>
      <c r="AJ64">
        <f>2.2*($C$64)</f>
        <v>2.6647503288722674</v>
      </c>
      <c r="AK64">
        <f>2.3*($C$64)</f>
        <v>2.7858753438210062</v>
      </c>
      <c r="AL64">
        <f>2.4*($C$64)</f>
        <v>2.9070003587697459</v>
      </c>
      <c r="AM64">
        <f>2.5*($C$64)</f>
        <v>3.0281253737184857</v>
      </c>
      <c r="AN64">
        <f>2.57*($C$64)</f>
        <v>3.1129128841826028</v>
      </c>
      <c r="AO64">
        <f>2.64*($C$64)</f>
        <v>3.1977003946467208</v>
      </c>
      <c r="AP64">
        <f>2.71*($C$64)</f>
        <v>3.282487905110838</v>
      </c>
      <c r="AQ64">
        <f>2.78*($C$64)</f>
        <v>3.3672754155749556</v>
      </c>
      <c r="AR64">
        <f>2.85*($C$64)</f>
        <v>3.4520629260390736</v>
      </c>
      <c r="AS64">
        <f>2.92*($C$64)</f>
        <v>3.5368504365031908</v>
      </c>
      <c r="AT64">
        <f>2.99*($C$64)</f>
        <v>3.6216379469673088</v>
      </c>
      <c r="AU64">
        <f>3.07*($C$64)</f>
        <v>3.7185379589263001</v>
      </c>
      <c r="AV64">
        <f>3.14*($C$64)</f>
        <v>3.8033254693904177</v>
      </c>
      <c r="AW64">
        <f>3.21*($C$64)</f>
        <v>3.8881129798545353</v>
      </c>
      <c r="AX64">
        <f>3.28*($C$64)</f>
        <v>3.9729004903186529</v>
      </c>
      <c r="AY64">
        <f>3.35*($C$64)</f>
        <v>4.0576880007827709</v>
      </c>
      <c r="AZ64">
        <f>3.42*($C$64)</f>
        <v>4.1424755112468876</v>
      </c>
      <c r="BA64">
        <f>3.49*($C$64)</f>
        <v>4.2272630217110061</v>
      </c>
      <c r="BB64">
        <f>3.56*($C$64)</f>
        <v>4.3120505321751237</v>
      </c>
      <c r="BC64">
        <f>3.64*($C$64)</f>
        <v>4.4089505441341146</v>
      </c>
      <c r="BD64">
        <f>3.71*($C$64)</f>
        <v>4.4937380545982322</v>
      </c>
      <c r="BE64">
        <f>3.78*($C$64)</f>
        <v>4.5785255650623498</v>
      </c>
      <c r="BF64">
        <f>3.85*($C$64)</f>
        <v>4.6633130755264673</v>
      </c>
      <c r="BG64">
        <f>3.92*($C$64)</f>
        <v>4.7481005859905849</v>
      </c>
      <c r="BH64">
        <f>3.99*($C$64)</f>
        <v>4.8328880964547034</v>
      </c>
      <c r="BI64">
        <f>4.06*($C$64)</f>
        <v>4.9176756069188201</v>
      </c>
      <c r="BJ64">
        <f>4.14*($C$64)</f>
        <v>5.0145756188778119</v>
      </c>
      <c r="BK64">
        <f>4.21*($C$64)</f>
        <v>5.0993631293419295</v>
      </c>
      <c r="BL64">
        <f>4.28*($C$64)</f>
        <v>5.1841506398060471</v>
      </c>
      <c r="BM64">
        <f>4.35*($C$64)</f>
        <v>5.2689381502701647</v>
      </c>
      <c r="BN64">
        <f>4.42*($C$64)</f>
        <v>5.3537256607342822</v>
      </c>
      <c r="BO64">
        <f>4.49*($C$64)</f>
        <v>5.4385131711983998</v>
      </c>
      <c r="BP64">
        <f>4.56*($C$64)</f>
        <v>5.5233006816625174</v>
      </c>
      <c r="BQ64">
        <f>4.63*($C$64)</f>
        <v>5.608088192126635</v>
      </c>
      <c r="BR64" s="810">
        <f>4.71*($C$64)</f>
        <v>5.7049882040856268</v>
      </c>
      <c r="BS64">
        <f>4.78*($C$64)</f>
        <v>5.7897757145497444</v>
      </c>
      <c r="BT64">
        <f>4.85*($C$64)</f>
        <v>5.8745632250138611</v>
      </c>
      <c r="BU64">
        <f>4.92*($C$64)</f>
        <v>5.9593507354779796</v>
      </c>
      <c r="BV64" s="658">
        <f>4.99*($C$64)</f>
        <v>6.0441382459420971</v>
      </c>
      <c r="BW64" s="1298">
        <f>+BV64*BW$137/BV$137</f>
        <v>6.0586659764672328</v>
      </c>
      <c r="BX64" s="1298">
        <f t="shared" ref="BX64:CZ64" si="177">+BW64*BX$137/BW$137</f>
        <v>6.0732286259412112</v>
      </c>
      <c r="BY64" s="1298">
        <f t="shared" si="177"/>
        <v>6.0878262782954495</v>
      </c>
      <c r="BZ64" s="1298">
        <f t="shared" si="177"/>
        <v>6.1024590176630999</v>
      </c>
      <c r="CA64" s="1298">
        <f t="shared" si="177"/>
        <v>6.1171269283795393</v>
      </c>
      <c r="CB64" s="1298">
        <f t="shared" si="177"/>
        <v>6.1299667153690152</v>
      </c>
      <c r="CC64" s="1298">
        <f t="shared" si="177"/>
        <v>6.1428334529403346</v>
      </c>
      <c r="CD64" s="1298">
        <f t="shared" si="177"/>
        <v>6.155727197662495</v>
      </c>
      <c r="CE64" s="1298">
        <f t="shared" si="177"/>
        <v>6.1686480062232301</v>
      </c>
      <c r="CF64" s="1298">
        <f t="shared" si="177"/>
        <v>6.18159593542926</v>
      </c>
      <c r="CG64" s="1298">
        <f t="shared" si="177"/>
        <v>6.197524392005751</v>
      </c>
      <c r="CH64" s="1298">
        <f t="shared" si="177"/>
        <v>6.2134938923080965</v>
      </c>
      <c r="CI64" s="1298">
        <f t="shared" si="177"/>
        <v>6.229504542095909</v>
      </c>
      <c r="CJ64" s="1298">
        <f t="shared" si="177"/>
        <v>6.245556447401321</v>
      </c>
      <c r="CK64" s="1298">
        <f t="shared" si="177"/>
        <v>6.2616497145296828</v>
      </c>
      <c r="CL64" s="1298">
        <f t="shared" si="177"/>
        <v>6.2750522655841658</v>
      </c>
      <c r="CM64" s="1298">
        <f t="shared" si="177"/>
        <v>6.2884835037072264</v>
      </c>
      <c r="CN64" s="1298">
        <f t="shared" si="177"/>
        <v>6.3019434903011975</v>
      </c>
      <c r="CO64" s="1298">
        <f t="shared" si="177"/>
        <v>6.3154322868998385</v>
      </c>
      <c r="CP64" s="1298">
        <f t="shared" si="177"/>
        <v>6.3289499551686168</v>
      </c>
      <c r="CQ64" s="1298">
        <f t="shared" si="177"/>
        <v>6.3413225489579119</v>
      </c>
      <c r="CR64" s="1298">
        <f t="shared" si="177"/>
        <v>6.3537193301840116</v>
      </c>
      <c r="CS64" s="1298">
        <f t="shared" si="177"/>
        <v>6.3661403461314299</v>
      </c>
      <c r="CT64" s="1298">
        <f t="shared" si="177"/>
        <v>6.3785856441771198</v>
      </c>
      <c r="CU64" s="1298">
        <f t="shared" si="177"/>
        <v>6.3910552717906537</v>
      </c>
      <c r="CV64" s="1298">
        <f t="shared" si="177"/>
        <v>6.4057772391562917</v>
      </c>
      <c r="CW64" s="1298">
        <f t="shared" si="177"/>
        <v>6.4205331189689208</v>
      </c>
      <c r="CX64" s="1298">
        <f t="shared" si="177"/>
        <v>6.4353229893467718</v>
      </c>
      <c r="CY64" s="1298">
        <f t="shared" si="177"/>
        <v>6.4501469285880244</v>
      </c>
      <c r="CZ64" s="1298">
        <f t="shared" si="177"/>
        <v>6.4650050151712186</v>
      </c>
    </row>
    <row r="65" spans="1:104">
      <c r="A65" s="841" t="str">
        <f>'HyARC Physical Property Data'!A79</f>
        <v>Electric Utility Steam Coal</v>
      </c>
      <c r="B65">
        <v>2011</v>
      </c>
      <c r="C65" s="811">
        <f>VLOOKUP(ref_year,DeflatorTable,2,FALSE)/VLOOKUP(B65,DeflatorTable,2,FALSE)</f>
        <v>1.0784554773635862</v>
      </c>
      <c r="D65" s="1171" t="str">
        <f>+'HyARC Physical Property Data'!$H$79</f>
        <v>kg</v>
      </c>
      <c r="E65" s="834" t="s">
        <v>1048</v>
      </c>
      <c r="F65">
        <f>'HyARC Physical Property Data'!$E$42</f>
        <v>22.7322030001394</v>
      </c>
      <c r="G65">
        <f>'HyARC Physical Property Data'!$I$42</f>
        <v>23.967615189707661</v>
      </c>
      <c r="H65" s="986">
        <v>1.6359074751967535</v>
      </c>
      <c r="I65" s="986">
        <v>1.6359074751967535</v>
      </c>
      <c r="J65" s="986">
        <v>1.6359074751967535</v>
      </c>
      <c r="K65" s="986">
        <v>1.6778298347292193</v>
      </c>
      <c r="L65" s="986">
        <v>1.8315470257945772</v>
      </c>
      <c r="M65" s="986">
        <v>1.8060149340317679</v>
      </c>
      <c r="N65">
        <f t="shared" ref="N65:AR65" si="178">N79*($C65/mmBTU_to_GJ*$G65/$F65)</f>
        <v>2.4767433408545654</v>
      </c>
      <c r="O65">
        <f t="shared" si="178"/>
        <v>2.5651337544408896</v>
      </c>
      <c r="P65">
        <f t="shared" si="178"/>
        <v>2.6023831610321637</v>
      </c>
      <c r="Q65">
        <f t="shared" si="178"/>
        <v>2.5126832358863247</v>
      </c>
      <c r="R65">
        <f t="shared" si="178"/>
        <v>2.6585542013179602</v>
      </c>
      <c r="S65">
        <f t="shared" si="178"/>
        <v>2.6840072260006811</v>
      </c>
      <c r="T65">
        <f t="shared" si="178"/>
        <v>2.7699747737550795</v>
      </c>
      <c r="U65">
        <f t="shared" si="178"/>
        <v>2.7766301102818329</v>
      </c>
      <c r="V65">
        <f t="shared" si="178"/>
        <v>2.7968493998756609</v>
      </c>
      <c r="W65">
        <f t="shared" si="178"/>
        <v>2.8115213182786878</v>
      </c>
      <c r="X65">
        <f t="shared" si="178"/>
        <v>2.8489776600299841</v>
      </c>
      <c r="Y65">
        <f t="shared" si="178"/>
        <v>2.8785704657004394</v>
      </c>
      <c r="Z65">
        <f t="shared" si="178"/>
        <v>2.9253496675256483</v>
      </c>
      <c r="AA65">
        <f t="shared" si="178"/>
        <v>2.9630312668209267</v>
      </c>
      <c r="AB65">
        <f t="shared" si="178"/>
        <v>3.0053645960675355</v>
      </c>
      <c r="AC65">
        <f t="shared" si="178"/>
        <v>3.0521599647021214</v>
      </c>
      <c r="AD65">
        <f t="shared" si="178"/>
        <v>3.0924023866026737</v>
      </c>
      <c r="AE65">
        <f t="shared" si="178"/>
        <v>3.1249741963476141</v>
      </c>
      <c r="AF65">
        <f t="shared" si="178"/>
        <v>3.1652489518669196</v>
      </c>
      <c r="AG65">
        <f t="shared" si="178"/>
        <v>3.2097820449760555</v>
      </c>
      <c r="AH65">
        <f t="shared" si="178"/>
        <v>3.2527092350204363</v>
      </c>
      <c r="AI65">
        <f t="shared" si="178"/>
        <v>3.2901989881777776</v>
      </c>
      <c r="AJ65">
        <f t="shared" si="178"/>
        <v>3.3307065457521077</v>
      </c>
      <c r="AK65">
        <f t="shared" si="178"/>
        <v>3.3733136329708291</v>
      </c>
      <c r="AL65">
        <f t="shared" si="178"/>
        <v>3.4171795757463519</v>
      </c>
      <c r="AM65">
        <f t="shared" si="178"/>
        <v>3.4665778006905912</v>
      </c>
      <c r="AN65">
        <f t="shared" si="178"/>
        <v>3.5046355477507012</v>
      </c>
      <c r="AO65">
        <f t="shared" si="178"/>
        <v>3.5333294788198106</v>
      </c>
      <c r="AP65">
        <f t="shared" si="178"/>
        <v>3.5689945380921646</v>
      </c>
      <c r="AQ65">
        <f t="shared" si="178"/>
        <v>3.6172858754877444</v>
      </c>
      <c r="AR65">
        <f t="shared" si="178"/>
        <v>3.6632858371009949</v>
      </c>
      <c r="AS65">
        <f>($BB65-$AR65)/10+AR65</f>
        <v>3.6603339305711646</v>
      </c>
      <c r="AT65">
        <f t="shared" ref="AT65:BA65" si="179">($BB65-$AR65)/10+AS65</f>
        <v>3.6573820240413344</v>
      </c>
      <c r="AU65">
        <f t="shared" si="179"/>
        <v>3.6544301175115042</v>
      </c>
      <c r="AV65">
        <f t="shared" si="179"/>
        <v>3.6514782109816739</v>
      </c>
      <c r="AW65">
        <f t="shared" si="179"/>
        <v>3.6485263044518437</v>
      </c>
      <c r="AX65">
        <f t="shared" si="179"/>
        <v>3.6455743979220134</v>
      </c>
      <c r="AY65">
        <f t="shared" si="179"/>
        <v>3.6426224913921832</v>
      </c>
      <c r="AZ65">
        <f t="shared" si="179"/>
        <v>3.639670584862353</v>
      </c>
      <c r="BA65">
        <f t="shared" si="179"/>
        <v>3.6367186783325227</v>
      </c>
      <c r="BB65" s="868">
        <f>('AEO Data'!$B$28*AM65)</f>
        <v>3.6337667718026938</v>
      </c>
      <c r="BC65">
        <f>($BQ65-$BB65)/15+BB65</f>
        <v>3.6465192456024029</v>
      </c>
      <c r="BD65">
        <f t="shared" ref="BD65:BP68" si="180">($BQ65-$BB65)/15+BC65</f>
        <v>3.659271719402112</v>
      </c>
      <c r="BE65">
        <f t="shared" si="180"/>
        <v>3.6720241932018212</v>
      </c>
      <c r="BF65">
        <f t="shared" si="180"/>
        <v>3.6847766670015303</v>
      </c>
      <c r="BG65">
        <f t="shared" si="180"/>
        <v>3.6975291408012394</v>
      </c>
      <c r="BH65">
        <f t="shared" si="180"/>
        <v>3.7102816146009485</v>
      </c>
      <c r="BI65">
        <f t="shared" si="180"/>
        <v>3.7230340884006576</v>
      </c>
      <c r="BJ65">
        <f t="shared" si="180"/>
        <v>3.7357865622003668</v>
      </c>
      <c r="BK65">
        <f t="shared" si="180"/>
        <v>3.7485390360000759</v>
      </c>
      <c r="BL65">
        <f t="shared" si="180"/>
        <v>3.761291509799785</v>
      </c>
      <c r="BM65">
        <f t="shared" si="180"/>
        <v>3.7740439835994941</v>
      </c>
      <c r="BN65">
        <f t="shared" si="180"/>
        <v>3.7867964573992032</v>
      </c>
      <c r="BO65">
        <f t="shared" si="180"/>
        <v>3.7995489311989123</v>
      </c>
      <c r="BP65">
        <f t="shared" si="180"/>
        <v>3.8123014049986215</v>
      </c>
      <c r="BQ65" s="868">
        <f>('AEO Data'!$C$28*BB65)</f>
        <v>3.8250538787983337</v>
      </c>
      <c r="BR65" s="810">
        <f t="shared" ref="BR65:BU68" si="181">($BV65-$BQ65)/5+BQ65</f>
        <v>3.8373166225762918</v>
      </c>
      <c r="BS65">
        <f t="shared" si="181"/>
        <v>3.8495793663542499</v>
      </c>
      <c r="BT65">
        <f t="shared" si="181"/>
        <v>3.861842110132208</v>
      </c>
      <c r="BU65">
        <f t="shared" si="181"/>
        <v>3.8741048539101661</v>
      </c>
      <c r="BV65" s="889">
        <f>('AEO Data'!$D$28*BQ65)</f>
        <v>3.8863675976881238</v>
      </c>
      <c r="BW65" s="1298">
        <f>+BV65*BW$138/BV$138</f>
        <v>3.8995072326040932</v>
      </c>
      <c r="BX65" s="1298">
        <f t="shared" ref="BX65:CZ65" si="182">+BW65*BX$138/BW$138</f>
        <v>3.9126912920376582</v>
      </c>
      <c r="BY65" s="1298">
        <f t="shared" si="182"/>
        <v>3.9259199261861233</v>
      </c>
      <c r="BZ65" s="1298">
        <f t="shared" si="182"/>
        <v>3.9391932857546061</v>
      </c>
      <c r="CA65" s="1298">
        <f t="shared" si="182"/>
        <v>3.9525115219577494</v>
      </c>
      <c r="CB65" s="1298">
        <f t="shared" si="182"/>
        <v>3.9638281829885078</v>
      </c>
      <c r="CC65" s="1298">
        <f t="shared" si="182"/>
        <v>3.9751772453965106</v>
      </c>
      <c r="CD65" s="1298">
        <f t="shared" si="182"/>
        <v>3.9865588019519875</v>
      </c>
      <c r="CE65" s="1298">
        <f t="shared" si="182"/>
        <v>3.9979729456907847</v>
      </c>
      <c r="CF65" s="1298">
        <f t="shared" si="182"/>
        <v>4.0094197699151231</v>
      </c>
      <c r="CG65" s="1298">
        <f t="shared" si="182"/>
        <v>4.0181594321320722</v>
      </c>
      <c r="CH65" s="1298">
        <f t="shared" si="182"/>
        <v>4.0269181449099625</v>
      </c>
      <c r="CI65" s="1298">
        <f t="shared" si="182"/>
        <v>4.0356959497748699</v>
      </c>
      <c r="CJ65" s="1298">
        <f t="shared" si="182"/>
        <v>4.0444928883433882</v>
      </c>
      <c r="CK65" s="1298">
        <f t="shared" si="182"/>
        <v>4.0533090023228242</v>
      </c>
      <c r="CL65" s="1298">
        <f t="shared" si="182"/>
        <v>4.0592855925032651</v>
      </c>
      <c r="CM65" s="1298">
        <f t="shared" si="182"/>
        <v>4.0652709951453678</v>
      </c>
      <c r="CN65" s="1298">
        <f t="shared" si="182"/>
        <v>4.0712652232430759</v>
      </c>
      <c r="CO65" s="1298">
        <f t="shared" si="182"/>
        <v>4.0772682898094939</v>
      </c>
      <c r="CP65" s="1298">
        <f t="shared" si="182"/>
        <v>4.0832802078769133</v>
      </c>
      <c r="CQ65" s="1298">
        <f t="shared" si="182"/>
        <v>4.0852935052227286</v>
      </c>
      <c r="CR65" s="1298">
        <f t="shared" si="182"/>
        <v>4.0873077952425705</v>
      </c>
      <c r="CS65" s="1298">
        <f t="shared" si="182"/>
        <v>4.0893230784258847</v>
      </c>
      <c r="CT65" s="1298">
        <f t="shared" si="182"/>
        <v>4.0913393552623587</v>
      </c>
      <c r="CU65" s="1298">
        <f t="shared" si="182"/>
        <v>4.0933566262419232</v>
      </c>
      <c r="CV65" s="1298">
        <f t="shared" si="182"/>
        <v>4.0904573728021916</v>
      </c>
      <c r="CW65" s="1298">
        <f t="shared" si="182"/>
        <v>4.0875601728533422</v>
      </c>
      <c r="CX65" s="1298">
        <f t="shared" si="182"/>
        <v>4.0846650249409233</v>
      </c>
      <c r="CY65" s="1298">
        <f t="shared" si="182"/>
        <v>4.081771927611511</v>
      </c>
      <c r="CZ65" s="1298">
        <f t="shared" si="182"/>
        <v>4.0788808794127149</v>
      </c>
    </row>
    <row r="66" spans="1:104">
      <c r="A66" s="813" t="str">
        <f>'HyARC Physical Property Data'!A76</f>
        <v>Commercial Electricity</v>
      </c>
      <c r="B66">
        <v>2011</v>
      </c>
      <c r="C66" s="811">
        <f t="shared" si="165"/>
        <v>1.0784554773635862</v>
      </c>
      <c r="D66" s="1171" t="str">
        <f>'HyARC Physical Property Data'!$H$76</f>
        <v>kWh</v>
      </c>
      <c r="E66" s="811" t="s">
        <v>1067</v>
      </c>
      <c r="F66" s="814"/>
      <c r="G66" s="811"/>
      <c r="H66" s="986">
        <v>26.764062885406638</v>
      </c>
      <c r="I66" s="986">
        <v>26.764062885406638</v>
      </c>
      <c r="J66" s="986">
        <v>26.764062885406638</v>
      </c>
      <c r="K66" s="986">
        <v>26.478521097803213</v>
      </c>
      <c r="L66" s="986">
        <v>27.879470162766175</v>
      </c>
      <c r="M66" s="986">
        <v>27.895326399478549</v>
      </c>
      <c r="N66">
        <f>N80*($C66)</f>
        <v>32.884888841491865</v>
      </c>
      <c r="O66">
        <f t="shared" ref="O66:AR68" si="183">O80*($C66)</f>
        <v>32.332798364331552</v>
      </c>
      <c r="P66">
        <f t="shared" si="183"/>
        <v>30.737262309969314</v>
      </c>
      <c r="Q66">
        <f t="shared" si="183"/>
        <v>29.97242384233401</v>
      </c>
      <c r="R66">
        <f t="shared" si="183"/>
        <v>30.387977542238183</v>
      </c>
      <c r="S66">
        <f t="shared" si="183"/>
        <v>30.347150453231627</v>
      </c>
      <c r="T66">
        <f t="shared" si="183"/>
        <v>30.940154295836678</v>
      </c>
      <c r="U66">
        <f t="shared" si="183"/>
        <v>31.301692474701618</v>
      </c>
      <c r="V66">
        <f t="shared" si="183"/>
        <v>31.392652645028893</v>
      </c>
      <c r="W66">
        <f t="shared" si="183"/>
        <v>31.248251770431818</v>
      </c>
      <c r="X66">
        <f t="shared" si="183"/>
        <v>31.319545226673895</v>
      </c>
      <c r="Y66">
        <f t="shared" si="183"/>
        <v>31.450144028071669</v>
      </c>
      <c r="Z66">
        <f t="shared" si="183"/>
        <v>31.542321774632889</v>
      </c>
      <c r="AA66">
        <f t="shared" si="183"/>
        <v>31.486595823206557</v>
      </c>
      <c r="AB66">
        <f t="shared" si="183"/>
        <v>31.399882610549138</v>
      </c>
      <c r="AC66">
        <f t="shared" si="183"/>
        <v>31.493015868663306</v>
      </c>
      <c r="AD66">
        <f t="shared" si="183"/>
        <v>31.467305490082953</v>
      </c>
      <c r="AE66">
        <f t="shared" si="183"/>
        <v>31.504678286195514</v>
      </c>
      <c r="AF66">
        <f t="shared" si="183"/>
        <v>31.506435090168136</v>
      </c>
      <c r="AG66">
        <f t="shared" si="183"/>
        <v>31.647141176299762</v>
      </c>
      <c r="AH66">
        <f t="shared" si="183"/>
        <v>31.868543771980598</v>
      </c>
      <c r="AI66">
        <f t="shared" si="183"/>
        <v>32.132385747606648</v>
      </c>
      <c r="AJ66">
        <f t="shared" si="183"/>
        <v>32.307495641921648</v>
      </c>
      <c r="AK66">
        <f t="shared" si="183"/>
        <v>32.65090606266758</v>
      </c>
      <c r="AL66">
        <f t="shared" si="183"/>
        <v>33.217937462011285</v>
      </c>
      <c r="AM66">
        <f t="shared" si="183"/>
        <v>33.746086227574118</v>
      </c>
      <c r="AN66">
        <f t="shared" si="183"/>
        <v>34.302393465650923</v>
      </c>
      <c r="AO66">
        <f t="shared" si="183"/>
        <v>34.800179395704063</v>
      </c>
      <c r="AP66">
        <f t="shared" si="183"/>
        <v>35.230419502298972</v>
      </c>
      <c r="AQ66">
        <f t="shared" si="183"/>
        <v>35.829986824939262</v>
      </c>
      <c r="AR66">
        <f t="shared" si="183"/>
        <v>36.211973598110482</v>
      </c>
      <c r="AS66">
        <f t="shared" ref="AS66:BA66" si="184">($BB66-$AR66)/10+AR66</f>
        <v>35.881261041922635</v>
      </c>
      <c r="AT66">
        <f t="shared" si="184"/>
        <v>35.550548485734787</v>
      </c>
      <c r="AU66">
        <f t="shared" si="184"/>
        <v>35.219835929546939</v>
      </c>
      <c r="AV66">
        <f t="shared" si="184"/>
        <v>34.889123373359091</v>
      </c>
      <c r="AW66">
        <f t="shared" si="184"/>
        <v>34.558410817171243</v>
      </c>
      <c r="AX66">
        <f t="shared" si="184"/>
        <v>34.227698260983395</v>
      </c>
      <c r="AY66">
        <f t="shared" si="184"/>
        <v>33.896985704795547</v>
      </c>
      <c r="AZ66">
        <f t="shared" si="184"/>
        <v>33.566273148607699</v>
      </c>
      <c r="BA66">
        <f t="shared" si="184"/>
        <v>33.235560592419851</v>
      </c>
      <c r="BB66" s="868">
        <f>'AEO Data'!$B$33*AM66</f>
        <v>32.904848036232032</v>
      </c>
      <c r="BC66">
        <f>($BQ66-$BB66)/15+BB66</f>
        <v>32.924019184217244</v>
      </c>
      <c r="BD66">
        <f t="shared" si="180"/>
        <v>32.943190332202455</v>
      </c>
      <c r="BE66">
        <f t="shared" si="180"/>
        <v>32.962361480187667</v>
      </c>
      <c r="BF66">
        <f t="shared" si="180"/>
        <v>32.981532628172879</v>
      </c>
      <c r="BG66">
        <f t="shared" si="180"/>
        <v>33.00070377615809</v>
      </c>
      <c r="BH66">
        <f t="shared" si="180"/>
        <v>33.019874924143302</v>
      </c>
      <c r="BI66">
        <f t="shared" si="180"/>
        <v>33.039046072128514</v>
      </c>
      <c r="BJ66">
        <f t="shared" si="180"/>
        <v>33.058217220113725</v>
      </c>
      <c r="BK66">
        <f t="shared" si="180"/>
        <v>33.077388368098937</v>
      </c>
      <c r="BL66">
        <f t="shared" si="180"/>
        <v>33.096559516084149</v>
      </c>
      <c r="BM66">
        <f t="shared" si="180"/>
        <v>33.115730664069361</v>
      </c>
      <c r="BN66">
        <f t="shared" si="180"/>
        <v>33.134901812054572</v>
      </c>
      <c r="BO66">
        <f t="shared" si="180"/>
        <v>33.154072960039784</v>
      </c>
      <c r="BP66">
        <f t="shared" si="180"/>
        <v>33.173244108024996</v>
      </c>
      <c r="BQ66" s="868">
        <f>'AEO Data'!$C$33*BB66</f>
        <v>33.192415256010214</v>
      </c>
      <c r="BR66" s="810">
        <f t="shared" si="181"/>
        <v>33.170065135939467</v>
      </c>
      <c r="BS66">
        <f t="shared" si="181"/>
        <v>33.147715015868719</v>
      </c>
      <c r="BT66">
        <f t="shared" si="181"/>
        <v>33.125364895797972</v>
      </c>
      <c r="BU66">
        <f t="shared" si="181"/>
        <v>33.103014775727225</v>
      </c>
      <c r="BV66" s="889">
        <f>'AEO Data'!$D$33*BQ66</f>
        <v>33.080664655656477</v>
      </c>
      <c r="BW66" s="1298">
        <f>+BV66*BW$139/BV$139</f>
        <v>33.066099114275488</v>
      </c>
      <c r="BX66" s="1298">
        <f t="shared" ref="BX66:CZ66" si="185">+BW66*BX$139/BW$139</f>
        <v>33.051539986157294</v>
      </c>
      <c r="BY66" s="1298">
        <f t="shared" si="185"/>
        <v>33.0369872684781</v>
      </c>
      <c r="BZ66" s="1298">
        <f t="shared" si="185"/>
        <v>33.022440958415373</v>
      </c>
      <c r="CA66" s="1298">
        <f t="shared" si="185"/>
        <v>33.007901053147819</v>
      </c>
      <c r="CB66" s="1298">
        <f t="shared" si="185"/>
        <v>32.98146223987488</v>
      </c>
      <c r="CC66" s="1298">
        <f t="shared" si="185"/>
        <v>32.955044603678495</v>
      </c>
      <c r="CD66" s="1298">
        <f t="shared" si="185"/>
        <v>32.928648127596141</v>
      </c>
      <c r="CE66" s="1298">
        <f t="shared" si="185"/>
        <v>32.902272794678915</v>
      </c>
      <c r="CF66" s="1298">
        <f t="shared" si="185"/>
        <v>32.875918587991457</v>
      </c>
      <c r="CG66" s="1298">
        <f t="shared" si="185"/>
        <v>32.839614191376278</v>
      </c>
      <c r="CH66" s="1298">
        <f t="shared" si="185"/>
        <v>32.803349885175919</v>
      </c>
      <c r="CI66" s="1298">
        <f t="shared" si="185"/>
        <v>32.767125625119114</v>
      </c>
      <c r="CJ66" s="1298">
        <f t="shared" si="185"/>
        <v>32.730941366983494</v>
      </c>
      <c r="CK66" s="1298">
        <f t="shared" si="185"/>
        <v>32.69479706659552</v>
      </c>
      <c r="CL66" s="1298">
        <f t="shared" si="185"/>
        <v>32.65539094584242</v>
      </c>
      <c r="CM66" s="1298">
        <f t="shared" si="185"/>
        <v>32.616032320180047</v>
      </c>
      <c r="CN66" s="1298">
        <f t="shared" si="185"/>
        <v>32.576721132363886</v>
      </c>
      <c r="CO66" s="1298">
        <f t="shared" si="185"/>
        <v>32.537457325218448</v>
      </c>
      <c r="CP66" s="1298">
        <f t="shared" si="185"/>
        <v>32.498240841637141</v>
      </c>
      <c r="CQ66" s="1298">
        <f t="shared" si="185"/>
        <v>32.452817913303896</v>
      </c>
      <c r="CR66" s="1298">
        <f t="shared" si="185"/>
        <v>32.407458472789216</v>
      </c>
      <c r="CS66" s="1298">
        <f t="shared" si="185"/>
        <v>32.362162431355912</v>
      </c>
      <c r="CT66" s="1298">
        <f t="shared" si="185"/>
        <v>32.31692970039083</v>
      </c>
      <c r="CU66" s="1298">
        <f t="shared" si="185"/>
        <v>32.271760191404653</v>
      </c>
      <c r="CV66" s="1298">
        <f t="shared" si="185"/>
        <v>32.22766670904133</v>
      </c>
      <c r="CW66" s="1298">
        <f t="shared" si="185"/>
        <v>32.183633472390525</v>
      </c>
      <c r="CX66" s="1298">
        <f t="shared" si="185"/>
        <v>32.139660399137448</v>
      </c>
      <c r="CY66" s="1298">
        <f t="shared" si="185"/>
        <v>32.09574740707977</v>
      </c>
      <c r="CZ66" s="1298">
        <f t="shared" si="185"/>
        <v>32.051894414127482</v>
      </c>
    </row>
    <row r="67" spans="1:104">
      <c r="A67" s="813" t="str">
        <f>'HyARC Physical Property Data'!A77</f>
        <v>Industrial Electricity</v>
      </c>
      <c r="B67">
        <v>2011</v>
      </c>
      <c r="C67" s="811">
        <f t="shared" si="165"/>
        <v>1.0784554773635862</v>
      </c>
      <c r="D67" s="1159" t="str">
        <f>'HyARC Physical Property Data'!$H$77</f>
        <v>kWh</v>
      </c>
      <c r="E67" s="811" t="s">
        <v>1067</v>
      </c>
      <c r="F67" s="812"/>
      <c r="H67" s="986">
        <v>17.365230901091444</v>
      </c>
      <c r="I67" s="986">
        <v>17.365230901091444</v>
      </c>
      <c r="J67" s="986">
        <v>17.365230901091444</v>
      </c>
      <c r="K67" s="986">
        <v>17.575551809904887</v>
      </c>
      <c r="L67" s="986">
        <v>19.530121721487372</v>
      </c>
      <c r="M67" s="986">
        <v>19.467200489895287</v>
      </c>
      <c r="N67">
        <f t="shared" ref="N67:AC68" si="186">N81*($C67)</f>
        <v>21.849987884073684</v>
      </c>
      <c r="O67">
        <f t="shared" si="186"/>
        <v>21.542925726736811</v>
      </c>
      <c r="P67">
        <f t="shared" si="186"/>
        <v>19.902451511088309</v>
      </c>
      <c r="Q67">
        <f t="shared" si="186"/>
        <v>19.582235432294034</v>
      </c>
      <c r="R67">
        <f t="shared" si="186"/>
        <v>19.704756602166356</v>
      </c>
      <c r="S67">
        <f t="shared" si="186"/>
        <v>19.619020470171431</v>
      </c>
      <c r="T67">
        <f t="shared" si="186"/>
        <v>20.171031141626411</v>
      </c>
      <c r="U67">
        <f t="shared" si="186"/>
        <v>20.49385492576495</v>
      </c>
      <c r="V67">
        <f t="shared" si="186"/>
        <v>20.594470507981068</v>
      </c>
      <c r="W67">
        <f t="shared" si="186"/>
        <v>20.544822731625157</v>
      </c>
      <c r="X67">
        <f t="shared" si="186"/>
        <v>20.594035890423687</v>
      </c>
      <c r="Y67">
        <f t="shared" si="186"/>
        <v>20.76255102949461</v>
      </c>
      <c r="Z67">
        <f t="shared" si="186"/>
        <v>20.94633062739214</v>
      </c>
      <c r="AA67">
        <f t="shared" si="186"/>
        <v>21.072253245840066</v>
      </c>
      <c r="AB67">
        <f t="shared" si="186"/>
        <v>21.100348089480867</v>
      </c>
      <c r="AC67">
        <f t="shared" si="186"/>
        <v>21.269441280687655</v>
      </c>
      <c r="AD67">
        <f t="shared" si="183"/>
        <v>21.365271755950712</v>
      </c>
      <c r="AE67">
        <f t="shared" si="183"/>
        <v>21.508514369365095</v>
      </c>
      <c r="AF67">
        <f t="shared" si="183"/>
        <v>21.619174685897374</v>
      </c>
      <c r="AG67">
        <f t="shared" si="183"/>
        <v>21.826218725352589</v>
      </c>
      <c r="AH67">
        <f t="shared" si="183"/>
        <v>22.023947066394335</v>
      </c>
      <c r="AI67">
        <f t="shared" si="183"/>
        <v>22.224293897335123</v>
      </c>
      <c r="AJ67">
        <f t="shared" si="183"/>
        <v>22.474376937980967</v>
      </c>
      <c r="AK67">
        <f t="shared" si="183"/>
        <v>22.838414976642433</v>
      </c>
      <c r="AL67">
        <f t="shared" si="183"/>
        <v>23.325651455216004</v>
      </c>
      <c r="AM67">
        <f t="shared" si="183"/>
        <v>23.843532246178864</v>
      </c>
      <c r="AN67">
        <f t="shared" si="183"/>
        <v>24.337545738972189</v>
      </c>
      <c r="AO67">
        <f t="shared" si="183"/>
        <v>24.794215553950846</v>
      </c>
      <c r="AP67">
        <f t="shared" si="183"/>
        <v>25.214004348514621</v>
      </c>
      <c r="AQ67">
        <f t="shared" si="183"/>
        <v>25.744343457151981</v>
      </c>
      <c r="AR67">
        <f t="shared" si="183"/>
        <v>26.063271860106287</v>
      </c>
      <c r="AS67">
        <f t="shared" ref="AS67:BA67" si="187">($BB67-$AR67)/10+AR67</f>
        <v>25.78185962843024</v>
      </c>
      <c r="AT67">
        <f t="shared" si="187"/>
        <v>25.500447396754193</v>
      </c>
      <c r="AU67">
        <f t="shared" si="187"/>
        <v>25.219035165078147</v>
      </c>
      <c r="AV67">
        <f t="shared" si="187"/>
        <v>24.9376229334021</v>
      </c>
      <c r="AW67">
        <f t="shared" si="187"/>
        <v>24.656210701726053</v>
      </c>
      <c r="AX67">
        <f t="shared" si="187"/>
        <v>24.374798470050006</v>
      </c>
      <c r="AY67">
        <f t="shared" si="187"/>
        <v>24.093386238373959</v>
      </c>
      <c r="AZ67">
        <f t="shared" si="187"/>
        <v>23.811974006697913</v>
      </c>
      <c r="BA67">
        <f t="shared" si="187"/>
        <v>23.530561775021866</v>
      </c>
      <c r="BB67" s="868">
        <f>'AEO Data'!$B$33*AM67</f>
        <v>23.24914954334583</v>
      </c>
      <c r="BC67">
        <f>($BQ67-$BB67)/15+BB67</f>
        <v>23.262695051470804</v>
      </c>
      <c r="BD67">
        <f t="shared" si="180"/>
        <v>23.276240559595777</v>
      </c>
      <c r="BE67">
        <f t="shared" si="180"/>
        <v>23.289786067720751</v>
      </c>
      <c r="BF67">
        <f t="shared" si="180"/>
        <v>23.303331575845725</v>
      </c>
      <c r="BG67">
        <f t="shared" si="180"/>
        <v>23.316877083970699</v>
      </c>
      <c r="BH67">
        <f t="shared" si="180"/>
        <v>23.330422592095672</v>
      </c>
      <c r="BI67">
        <f t="shared" si="180"/>
        <v>23.343968100220646</v>
      </c>
      <c r="BJ67">
        <f t="shared" si="180"/>
        <v>23.35751360834562</v>
      </c>
      <c r="BK67">
        <f t="shared" si="180"/>
        <v>23.371059116470594</v>
      </c>
      <c r="BL67">
        <f t="shared" si="180"/>
        <v>23.384604624595568</v>
      </c>
      <c r="BM67">
        <f t="shared" si="180"/>
        <v>23.398150132720541</v>
      </c>
      <c r="BN67">
        <f t="shared" si="180"/>
        <v>23.411695640845515</v>
      </c>
      <c r="BO67">
        <f t="shared" si="180"/>
        <v>23.425241148970489</v>
      </c>
      <c r="BP67">
        <f t="shared" si="180"/>
        <v>23.438786657095463</v>
      </c>
      <c r="BQ67" s="868">
        <f>'AEO Data'!$C$33*BB67</f>
        <v>23.45233216522044</v>
      </c>
      <c r="BR67" s="810">
        <f t="shared" si="181"/>
        <v>23.436540532228719</v>
      </c>
      <c r="BS67">
        <f t="shared" si="181"/>
        <v>23.420748899236997</v>
      </c>
      <c r="BT67">
        <f t="shared" si="181"/>
        <v>23.404957266245276</v>
      </c>
      <c r="BU67">
        <f t="shared" si="181"/>
        <v>23.389165633253555</v>
      </c>
      <c r="BV67" s="889">
        <f>'AEO Data'!$D$33*BQ67</f>
        <v>23.373374000261833</v>
      </c>
      <c r="BW67" s="1298">
        <f>+BV67*BW$140/BV$140</f>
        <v>23.380436490829396</v>
      </c>
      <c r="BX67" s="1298">
        <f t="shared" ref="BX67:CZ67" si="188">+BW67*BX$140/BW$140</f>
        <v>23.387501115396649</v>
      </c>
      <c r="BY67" s="1298">
        <f t="shared" si="188"/>
        <v>23.394567874608409</v>
      </c>
      <c r="BZ67" s="1298">
        <f t="shared" si="188"/>
        <v>23.401636769109679</v>
      </c>
      <c r="CA67" s="1298">
        <f t="shared" si="188"/>
        <v>23.408707799545656</v>
      </c>
      <c r="CB67" s="1298">
        <f t="shared" si="188"/>
        <v>23.406060454578945</v>
      </c>
      <c r="CC67" s="1298">
        <f t="shared" si="188"/>
        <v>23.403413409006607</v>
      </c>
      <c r="CD67" s="1298">
        <f t="shared" si="188"/>
        <v>23.40076666279478</v>
      </c>
      <c r="CE67" s="1298">
        <f t="shared" si="188"/>
        <v>23.398120215909611</v>
      </c>
      <c r="CF67" s="1298">
        <f t="shared" si="188"/>
        <v>23.395474068317245</v>
      </c>
      <c r="CG67" s="1298">
        <f t="shared" si="188"/>
        <v>23.384861674186023</v>
      </c>
      <c r="CH67" s="1298">
        <f t="shared" si="188"/>
        <v>23.374254093930716</v>
      </c>
      <c r="CI67" s="1298">
        <f t="shared" si="188"/>
        <v>23.363651325367709</v>
      </c>
      <c r="CJ67" s="1298">
        <f t="shared" si="188"/>
        <v>23.353053366314384</v>
      </c>
      <c r="CK67" s="1298">
        <f t="shared" si="188"/>
        <v>23.342460214589092</v>
      </c>
      <c r="CL67" s="1298">
        <f t="shared" si="188"/>
        <v>23.329464593323419</v>
      </c>
      <c r="CM67" s="1298">
        <f t="shared" si="188"/>
        <v>23.316476207206502</v>
      </c>
      <c r="CN67" s="1298">
        <f t="shared" si="188"/>
        <v>23.303495052210266</v>
      </c>
      <c r="CO67" s="1298">
        <f t="shared" si="188"/>
        <v>23.290521124308881</v>
      </c>
      <c r="CP67" s="1298">
        <f t="shared" si="188"/>
        <v>23.277554419478744</v>
      </c>
      <c r="CQ67" s="1298">
        <f t="shared" si="188"/>
        <v>23.259789388655847</v>
      </c>
      <c r="CR67" s="1298">
        <f t="shared" si="188"/>
        <v>23.242037915800186</v>
      </c>
      <c r="CS67" s="1298">
        <f t="shared" si="188"/>
        <v>23.224299990564553</v>
      </c>
      <c r="CT67" s="1298">
        <f t="shared" si="188"/>
        <v>23.206575602609636</v>
      </c>
      <c r="CU67" s="1298">
        <f t="shared" si="188"/>
        <v>23.188864741604011</v>
      </c>
      <c r="CV67" s="1298">
        <f t="shared" si="188"/>
        <v>23.17221317404951</v>
      </c>
      <c r="CW67" s="1298">
        <f t="shared" si="188"/>
        <v>23.155573563729877</v>
      </c>
      <c r="CX67" s="1298">
        <f t="shared" si="188"/>
        <v>23.138945902058804</v>
      </c>
      <c r="CY67" s="1298">
        <f t="shared" si="188"/>
        <v>23.122330180456149</v>
      </c>
      <c r="CZ67" s="1298">
        <f t="shared" si="188"/>
        <v>23.105726390347936</v>
      </c>
    </row>
    <row r="68" spans="1:104" ht="13.5" thickBot="1">
      <c r="A68" s="815" t="str">
        <f>'HyARC Physical Property Data'!A78</f>
        <v>Residential Electricity</v>
      </c>
      <c r="B68" s="541">
        <v>2011</v>
      </c>
      <c r="C68" s="816">
        <f t="shared" si="165"/>
        <v>1.0784554773635862</v>
      </c>
      <c r="D68" s="1160" t="str">
        <f>'HyARC Physical Property Data'!$H$78</f>
        <v>kWh</v>
      </c>
      <c r="E68" s="816" t="s">
        <v>1067</v>
      </c>
      <c r="F68" s="820"/>
      <c r="G68" s="541"/>
      <c r="H68" s="988">
        <v>29.433773538887177</v>
      </c>
      <c r="I68" s="988">
        <v>29.433773538887177</v>
      </c>
      <c r="J68" s="988">
        <v>29.433773538887177</v>
      </c>
      <c r="K68" s="988">
        <v>29.415861064534436</v>
      </c>
      <c r="L68" s="988">
        <v>30.500905105766051</v>
      </c>
      <c r="M68" s="988">
        <v>30.574559070308627</v>
      </c>
      <c r="N68" s="541">
        <f t="shared" si="186"/>
        <v>37.231327558403592</v>
      </c>
      <c r="O68" s="541">
        <f t="shared" si="183"/>
        <v>37.029713542276902</v>
      </c>
      <c r="P68" s="541">
        <f t="shared" si="183"/>
        <v>35.904219072357151</v>
      </c>
      <c r="Q68" s="541">
        <f t="shared" si="183"/>
        <v>35.115964100941852</v>
      </c>
      <c r="R68" s="541">
        <f t="shared" si="183"/>
        <v>35.969434353528804</v>
      </c>
      <c r="S68" s="541">
        <f t="shared" si="183"/>
        <v>36.116413815172251</v>
      </c>
      <c r="T68" s="541">
        <f t="shared" si="183"/>
        <v>36.717853336521245</v>
      </c>
      <c r="U68" s="541">
        <f t="shared" si="183"/>
        <v>37.019523216471292</v>
      </c>
      <c r="V68" s="541">
        <f t="shared" si="183"/>
        <v>36.994572070547008</v>
      </c>
      <c r="W68" s="541">
        <f t="shared" si="183"/>
        <v>36.749885621109897</v>
      </c>
      <c r="X68" s="541">
        <f t="shared" si="183"/>
        <v>36.78085131323143</v>
      </c>
      <c r="Y68" s="541">
        <f t="shared" si="183"/>
        <v>36.866643524911183</v>
      </c>
      <c r="Z68" s="541">
        <f t="shared" si="183"/>
        <v>36.980382831831335</v>
      </c>
      <c r="AA68" s="541">
        <f t="shared" si="183"/>
        <v>37.011953537475684</v>
      </c>
      <c r="AB68" s="541">
        <f t="shared" si="183"/>
        <v>37.116621955375727</v>
      </c>
      <c r="AC68" s="541">
        <f t="shared" si="183"/>
        <v>37.450882759851702</v>
      </c>
      <c r="AD68" s="541">
        <f t="shared" si="183"/>
        <v>37.642585770141416</v>
      </c>
      <c r="AE68" s="541">
        <f t="shared" si="183"/>
        <v>37.813937247117813</v>
      </c>
      <c r="AF68" s="541">
        <f t="shared" si="183"/>
        <v>37.937612364350912</v>
      </c>
      <c r="AG68" s="541">
        <f t="shared" si="183"/>
        <v>38.109761898380555</v>
      </c>
      <c r="AH68" s="541">
        <f t="shared" si="183"/>
        <v>38.292401568838507</v>
      </c>
      <c r="AI68" s="541">
        <f t="shared" si="183"/>
        <v>38.52845390372385</v>
      </c>
      <c r="AJ68" s="541">
        <f t="shared" si="183"/>
        <v>38.699570277406174</v>
      </c>
      <c r="AK68" s="541">
        <f t="shared" si="183"/>
        <v>38.991412192591014</v>
      </c>
      <c r="AL68" s="541">
        <f t="shared" si="183"/>
        <v>39.480914506122524</v>
      </c>
      <c r="AM68" s="541">
        <f t="shared" si="183"/>
        <v>39.991294639240323</v>
      </c>
      <c r="AN68" s="541">
        <f t="shared" si="183"/>
        <v>40.444338686904082</v>
      </c>
      <c r="AO68" s="541">
        <f t="shared" si="183"/>
        <v>40.811228161847694</v>
      </c>
      <c r="AP68" s="541">
        <f t="shared" si="183"/>
        <v>41.155489483965269</v>
      </c>
      <c r="AQ68" s="541">
        <f t="shared" si="183"/>
        <v>41.648278929791786</v>
      </c>
      <c r="AR68" s="541">
        <f t="shared" si="183"/>
        <v>41.89880413718334</v>
      </c>
      <c r="AS68" s="541">
        <f t="shared" ref="AS68:BA68" si="189">($BB68-$AR68)/10+AR68</f>
        <v>41.608361021177913</v>
      </c>
      <c r="AT68" s="541">
        <f t="shared" si="189"/>
        <v>41.317917905172486</v>
      </c>
      <c r="AU68" s="541">
        <f t="shared" si="189"/>
        <v>41.027474789167059</v>
      </c>
      <c r="AV68" s="541">
        <f t="shared" si="189"/>
        <v>40.737031673161631</v>
      </c>
      <c r="AW68" s="541">
        <f t="shared" si="189"/>
        <v>40.446588557156204</v>
      </c>
      <c r="AX68" s="541">
        <f t="shared" si="189"/>
        <v>40.156145441150777</v>
      </c>
      <c r="AY68" s="541">
        <f t="shared" si="189"/>
        <v>39.86570232514535</v>
      </c>
      <c r="AZ68" s="541">
        <f t="shared" si="189"/>
        <v>39.575259209139922</v>
      </c>
      <c r="BA68" s="541">
        <f t="shared" si="189"/>
        <v>39.284816093134495</v>
      </c>
      <c r="BB68" s="894">
        <f>'AEO Data'!$B$33*AM68</f>
        <v>38.994372977129068</v>
      </c>
      <c r="BC68" s="541">
        <f>($BQ68-$BB68)/15+BB68</f>
        <v>39.017092027346592</v>
      </c>
      <c r="BD68" s="541">
        <f t="shared" si="180"/>
        <v>39.039811077564117</v>
      </c>
      <c r="BE68" s="541">
        <f t="shared" si="180"/>
        <v>39.062530127781642</v>
      </c>
      <c r="BF68" s="541">
        <f t="shared" si="180"/>
        <v>39.085249177999167</v>
      </c>
      <c r="BG68" s="541">
        <f t="shared" si="180"/>
        <v>39.107968228216691</v>
      </c>
      <c r="BH68" s="541">
        <f t="shared" si="180"/>
        <v>39.130687278434216</v>
      </c>
      <c r="BI68" s="541">
        <f t="shared" si="180"/>
        <v>39.153406328651741</v>
      </c>
      <c r="BJ68" s="541">
        <f t="shared" si="180"/>
        <v>39.176125378869266</v>
      </c>
      <c r="BK68" s="541">
        <f t="shared" si="180"/>
        <v>39.19884442908679</v>
      </c>
      <c r="BL68" s="541">
        <f t="shared" si="180"/>
        <v>39.221563479304315</v>
      </c>
      <c r="BM68" s="541">
        <f t="shared" si="180"/>
        <v>39.24428252952184</v>
      </c>
      <c r="BN68" s="541">
        <f t="shared" si="180"/>
        <v>39.267001579739365</v>
      </c>
      <c r="BO68" s="541">
        <f t="shared" si="180"/>
        <v>39.289720629956889</v>
      </c>
      <c r="BP68" s="541">
        <f t="shared" si="180"/>
        <v>39.312439680174414</v>
      </c>
      <c r="BQ68" s="894">
        <f>'AEO Data'!$C$33*BB68</f>
        <v>39.335158730391903</v>
      </c>
      <c r="BR68" s="901">
        <f t="shared" si="181"/>
        <v>39.30867239265946</v>
      </c>
      <c r="BS68" s="541">
        <f t="shared" si="181"/>
        <v>39.282186054927017</v>
      </c>
      <c r="BT68" s="541">
        <f t="shared" si="181"/>
        <v>39.255699717194574</v>
      </c>
      <c r="BU68" s="541">
        <f t="shared" si="181"/>
        <v>39.229213379462131</v>
      </c>
      <c r="BV68" s="895">
        <f>'AEO Data'!$D$33*BQ68</f>
        <v>39.202727041729688</v>
      </c>
      <c r="BW68" s="1298">
        <f>+BV68*BW$141/BV$141</f>
        <v>39.185465933196419</v>
      </c>
      <c r="BX68" s="1298">
        <f t="shared" ref="BX68:CZ68" si="190">+BW68*BX$141/BW$141</f>
        <v>39.168212424794326</v>
      </c>
      <c r="BY68" s="1298">
        <f t="shared" si="190"/>
        <v>39.150966513177039</v>
      </c>
      <c r="BZ68" s="1298">
        <f t="shared" si="190"/>
        <v>39.133728194999662</v>
      </c>
      <c r="CA68" s="1298">
        <f t="shared" si="190"/>
        <v>39.11649746691878</v>
      </c>
      <c r="CB68" s="1298">
        <f t="shared" si="190"/>
        <v>39.085165763313817</v>
      </c>
      <c r="CC68" s="1298">
        <f t="shared" si="190"/>
        <v>39.053859155914154</v>
      </c>
      <c r="CD68" s="1298">
        <f t="shared" si="190"/>
        <v>39.022577624618116</v>
      </c>
      <c r="CE68" s="1298">
        <f t="shared" si="190"/>
        <v>38.991321149340131</v>
      </c>
      <c r="CF68" s="1298">
        <f t="shared" si="190"/>
        <v>38.960089710010728</v>
      </c>
      <c r="CG68" s="1298">
        <f t="shared" si="190"/>
        <v>38.917066652108652</v>
      </c>
      <c r="CH68" s="1298">
        <f t="shared" si="190"/>
        <v>38.874091103940906</v>
      </c>
      <c r="CI68" s="1298">
        <f t="shared" si="190"/>
        <v>38.831163013043174</v>
      </c>
      <c r="CJ68" s="1298">
        <f t="shared" si="190"/>
        <v>38.788282327009078</v>
      </c>
      <c r="CK68" s="1298">
        <f t="shared" si="190"/>
        <v>38.745448993490129</v>
      </c>
      <c r="CL68" s="1298">
        <f t="shared" si="190"/>
        <v>38.698750191886909</v>
      </c>
      <c r="CM68" s="1298">
        <f t="shared" si="190"/>
        <v>38.652107675037847</v>
      </c>
      <c r="CN68" s="1298">
        <f t="shared" si="190"/>
        <v>38.605521375104502</v>
      </c>
      <c r="CO68" s="1298">
        <f t="shared" si="190"/>
        <v>38.558991224330207</v>
      </c>
      <c r="CP68" s="1298">
        <f t="shared" si="190"/>
        <v>38.512517155039959</v>
      </c>
      <c r="CQ68" s="1298">
        <f t="shared" si="190"/>
        <v>38.45868804732946</v>
      </c>
      <c r="CR68" s="1298">
        <f t="shared" si="190"/>
        <v>38.404934176789915</v>
      </c>
      <c r="CS68" s="1298">
        <f t="shared" si="190"/>
        <v>38.351255438262001</v>
      </c>
      <c r="CT68" s="1298">
        <f t="shared" si="190"/>
        <v>38.297651726733392</v>
      </c>
      <c r="CU68" s="1298">
        <f t="shared" si="190"/>
        <v>38.244122937338538</v>
      </c>
      <c r="CV68" s="1298">
        <f t="shared" si="190"/>
        <v>38.191869309081618</v>
      </c>
      <c r="CW68" s="1298">
        <f t="shared" si="190"/>
        <v>38.139687075890301</v>
      </c>
      <c r="CX68" s="1298">
        <f t="shared" si="190"/>
        <v>38.087576140216228</v>
      </c>
      <c r="CY68" s="1298">
        <f t="shared" si="190"/>
        <v>38.03553640464434</v>
      </c>
      <c r="CZ68" s="1298">
        <f t="shared" si="190"/>
        <v>37.983567771892652</v>
      </c>
    </row>
    <row r="69" spans="1:104" ht="13.5" thickTop="1">
      <c r="D69" s="1010"/>
    </row>
    <row r="70" spans="1:104" ht="13.5" thickBot="1">
      <c r="D70" s="1010"/>
      <c r="E70" s="811"/>
    </row>
    <row r="71" spans="1:104" s="972" customFormat="1">
      <c r="A71" s="968" t="s">
        <v>1108</v>
      </c>
      <c r="B71" s="969"/>
      <c r="C71" s="970"/>
      <c r="D71" s="1163"/>
      <c r="E71" s="970"/>
      <c r="F71" s="969"/>
      <c r="G71" s="969"/>
      <c r="H71" s="969"/>
      <c r="I71" s="969"/>
      <c r="J71" s="969"/>
      <c r="K71" s="969"/>
      <c r="L71" s="969"/>
      <c r="M71" s="969"/>
      <c r="N71" s="969"/>
      <c r="O71" s="969"/>
      <c r="P71" s="969"/>
      <c r="Q71" s="969"/>
      <c r="R71" s="969"/>
      <c r="S71" s="969"/>
      <c r="T71" s="969"/>
      <c r="U71" s="969"/>
      <c r="V71" s="969"/>
      <c r="W71" s="969"/>
      <c r="X71" s="969"/>
      <c r="Y71" s="969"/>
      <c r="Z71" s="969"/>
      <c r="AA71" s="969"/>
      <c r="AB71" s="969"/>
      <c r="AC71" s="969"/>
      <c r="AD71" s="969"/>
      <c r="AE71" s="969"/>
      <c r="AF71" s="969"/>
      <c r="AG71" s="969"/>
      <c r="AH71" s="969"/>
      <c r="AI71" s="969"/>
      <c r="AJ71" s="969"/>
      <c r="AK71" s="969"/>
      <c r="AL71" s="969"/>
      <c r="AM71" s="969"/>
      <c r="AN71" s="969"/>
      <c r="AO71" s="969"/>
      <c r="AP71" s="969"/>
      <c r="AQ71" s="969"/>
      <c r="AR71" s="969"/>
      <c r="AS71" s="969"/>
      <c r="AT71" s="969"/>
      <c r="AU71" s="969"/>
      <c r="AV71" s="969"/>
      <c r="AW71" s="969"/>
      <c r="AX71" s="969"/>
      <c r="AY71" s="969"/>
      <c r="AZ71" s="969"/>
      <c r="BA71" s="969"/>
      <c r="BB71" s="969"/>
      <c r="BC71" s="969"/>
      <c r="BD71" s="969"/>
      <c r="BE71" s="969"/>
      <c r="BF71" s="969"/>
      <c r="BG71" s="969"/>
      <c r="BH71" s="969"/>
      <c r="BI71" s="969"/>
      <c r="BJ71" s="969"/>
      <c r="BK71" s="969"/>
      <c r="BL71" s="969"/>
      <c r="BM71" s="969"/>
      <c r="BN71" s="969"/>
      <c r="BO71" s="969"/>
      <c r="BP71" s="969"/>
      <c r="BQ71" s="969"/>
      <c r="BR71" s="969"/>
      <c r="BS71" s="969"/>
      <c r="BT71" s="969"/>
      <c r="BU71" s="969"/>
      <c r="BV71" s="971"/>
    </row>
    <row r="72" spans="1:104" s="972" customFormat="1">
      <c r="A72" s="973" t="s">
        <v>1105</v>
      </c>
      <c r="C72" s="974"/>
      <c r="D72" s="1164"/>
      <c r="E72" s="974"/>
      <c r="BV72" s="975"/>
    </row>
    <row r="73" spans="1:104" s="972" customFormat="1">
      <c r="A73" s="976"/>
      <c r="C73" s="974"/>
      <c r="D73" s="1164"/>
      <c r="E73" s="989"/>
      <c r="BV73" s="975"/>
    </row>
    <row r="74" spans="1:104" s="972" customFormat="1">
      <c r="A74" s="976" t="s">
        <v>680</v>
      </c>
      <c r="C74" s="974"/>
      <c r="D74" s="1164"/>
      <c r="E74" s="974"/>
      <c r="N74" s="977">
        <v>11.359373</v>
      </c>
      <c r="O74" s="977">
        <v>10.802343</v>
      </c>
      <c r="P74" s="977">
        <v>10.473763999999999</v>
      </c>
      <c r="Q74" s="977">
        <v>10.501935</v>
      </c>
      <c r="R74" s="977">
        <v>10.334021999999999</v>
      </c>
      <c r="S74" s="977">
        <v>10.229792</v>
      </c>
      <c r="T74" s="977">
        <v>10.748874000000001</v>
      </c>
      <c r="U74" s="977">
        <v>11.092333999999999</v>
      </c>
      <c r="V74" s="977">
        <v>11.515472000000001</v>
      </c>
      <c r="W74" s="977">
        <v>11.774895000000001</v>
      </c>
      <c r="X74" s="977">
        <v>11.996413</v>
      </c>
      <c r="Y74" s="977">
        <v>12.209519999999999</v>
      </c>
      <c r="Z74" s="977">
        <v>12.479982</v>
      </c>
      <c r="AA74" s="977">
        <v>12.729352</v>
      </c>
      <c r="AB74" s="977">
        <v>12.853237999999999</v>
      </c>
      <c r="AC74" s="977">
        <v>13.018173000000001</v>
      </c>
      <c r="AD74" s="977">
        <v>13.212711000000001</v>
      </c>
      <c r="AE74" s="977">
        <v>13.366512</v>
      </c>
      <c r="AF74" s="977">
        <v>13.603230999999999</v>
      </c>
      <c r="AG74" s="977">
        <v>13.784504</v>
      </c>
      <c r="AH74" s="977">
        <v>13.991047</v>
      </c>
      <c r="AI74" s="977">
        <v>14.231726</v>
      </c>
      <c r="AJ74" s="977">
        <v>14.577776</v>
      </c>
      <c r="AK74" s="977">
        <v>14.956607999999999</v>
      </c>
      <c r="AL74" s="977">
        <v>15.347963</v>
      </c>
      <c r="AM74" s="977">
        <v>15.708157999999999</v>
      </c>
      <c r="AN74" s="977">
        <v>16.169785000000001</v>
      </c>
      <c r="AO74" s="977">
        <v>16.471478000000001</v>
      </c>
      <c r="AP74" s="977">
        <v>16.949921</v>
      </c>
      <c r="AQ74" s="977">
        <v>17.380462999999999</v>
      </c>
      <c r="AR74" s="977">
        <v>17.673891000000001</v>
      </c>
      <c r="BV74" s="975"/>
    </row>
    <row r="75" spans="1:104" s="972" customFormat="1">
      <c r="A75" s="976" t="s">
        <v>1081</v>
      </c>
      <c r="C75" s="974"/>
      <c r="D75" s="1164"/>
      <c r="E75" s="974"/>
      <c r="N75" s="977">
        <v>9.3969749999999994</v>
      </c>
      <c r="O75" s="977">
        <v>8.8368559999999992</v>
      </c>
      <c r="P75" s="977">
        <v>8.081448</v>
      </c>
      <c r="Q75" s="977">
        <v>8.4844790000000003</v>
      </c>
      <c r="R75" s="977">
        <v>8.3155520000000003</v>
      </c>
      <c r="S75" s="977">
        <v>8.1773039999999995</v>
      </c>
      <c r="T75" s="977">
        <v>8.6431299999999993</v>
      </c>
      <c r="U75" s="977">
        <v>8.9205120000000004</v>
      </c>
      <c r="V75" s="977">
        <v>9.2811249999999994</v>
      </c>
      <c r="W75" s="977">
        <v>9.4920469999999995</v>
      </c>
      <c r="X75" s="977">
        <v>9.6757190000000008</v>
      </c>
      <c r="Y75" s="977">
        <v>9.8498520000000003</v>
      </c>
      <c r="Z75" s="977">
        <v>10.083444999999999</v>
      </c>
      <c r="AA75" s="977">
        <v>10.292596</v>
      </c>
      <c r="AB75" s="977">
        <v>10.386177</v>
      </c>
      <c r="AC75" s="977">
        <v>10.522978999999999</v>
      </c>
      <c r="AD75" s="977">
        <v>10.688981999999999</v>
      </c>
      <c r="AE75" s="977">
        <v>10.803459999999999</v>
      </c>
      <c r="AF75" s="977">
        <v>10.994071</v>
      </c>
      <c r="AG75" s="977">
        <v>11.132752999999999</v>
      </c>
      <c r="AH75" s="977">
        <v>11.290343</v>
      </c>
      <c r="AI75" s="977">
        <v>11.483471</v>
      </c>
      <c r="AJ75" s="977">
        <v>11.774739</v>
      </c>
      <c r="AK75" s="977">
        <v>12.104623999999999</v>
      </c>
      <c r="AL75" s="977">
        <v>12.443429</v>
      </c>
      <c r="AM75" s="977">
        <v>12.746489</v>
      </c>
      <c r="AN75" s="977">
        <v>13.159888</v>
      </c>
      <c r="AO75" s="977">
        <v>13.417020000000001</v>
      </c>
      <c r="AP75" s="977">
        <v>13.853782000000001</v>
      </c>
      <c r="AQ75" s="977">
        <v>14.239846</v>
      </c>
      <c r="AR75" s="977">
        <v>14.480893</v>
      </c>
      <c r="BV75" s="975"/>
    </row>
    <row r="76" spans="1:104" s="972" customFormat="1">
      <c r="A76" s="976" t="s">
        <v>282</v>
      </c>
      <c r="C76" s="974"/>
      <c r="D76" s="1164"/>
      <c r="E76" s="974"/>
      <c r="N76" s="977">
        <v>5.4839570000000002</v>
      </c>
      <c r="O76" s="977">
        <v>4.8889880000000003</v>
      </c>
      <c r="P76" s="977">
        <v>3.7668759999999999</v>
      </c>
      <c r="Q76" s="977">
        <v>4.3500249999999996</v>
      </c>
      <c r="R76" s="977">
        <v>4.4161510000000002</v>
      </c>
      <c r="S76" s="977">
        <v>4.4533610000000001</v>
      </c>
      <c r="T76" s="977">
        <v>4.916512</v>
      </c>
      <c r="U76" s="977">
        <v>5.1321560000000002</v>
      </c>
      <c r="V76" s="977">
        <v>5.3872429999999998</v>
      </c>
      <c r="W76" s="977">
        <v>5.5533659999999996</v>
      </c>
      <c r="X76" s="977">
        <v>5.6994189999999998</v>
      </c>
      <c r="Y76" s="977">
        <v>5.84443</v>
      </c>
      <c r="Z76" s="977">
        <v>6.055364</v>
      </c>
      <c r="AA76" s="977">
        <v>6.2505249999999997</v>
      </c>
      <c r="AB76" s="977">
        <v>6.3249610000000001</v>
      </c>
      <c r="AC76" s="977">
        <v>6.4443630000000001</v>
      </c>
      <c r="AD76" s="977">
        <v>6.5689469999999996</v>
      </c>
      <c r="AE76" s="977">
        <v>6.6624569999999999</v>
      </c>
      <c r="AF76" s="977">
        <v>6.8533949999999999</v>
      </c>
      <c r="AG76" s="977">
        <v>6.9821</v>
      </c>
      <c r="AH76" s="977">
        <v>7.1203779999999997</v>
      </c>
      <c r="AI76" s="977">
        <v>7.3037179999999999</v>
      </c>
      <c r="AJ76" s="977">
        <v>7.5896039999999996</v>
      </c>
      <c r="AK76" s="977">
        <v>7.9110909999999999</v>
      </c>
      <c r="AL76" s="977">
        <v>8.2410040000000002</v>
      </c>
      <c r="AM76" s="977">
        <v>8.5300290000000007</v>
      </c>
      <c r="AN76" s="977">
        <v>8.90123</v>
      </c>
      <c r="AO76" s="977">
        <v>9.1114479999999993</v>
      </c>
      <c r="AP76" s="977">
        <v>9.4914550000000002</v>
      </c>
      <c r="AQ76" s="977">
        <v>9.8126739999999995</v>
      </c>
      <c r="AR76" s="977">
        <v>10.012231</v>
      </c>
      <c r="BV76" s="975"/>
    </row>
    <row r="77" spans="1:104" s="972" customFormat="1">
      <c r="A77" s="976" t="str">
        <f>'HyARC Physical Property Data'!$A$74</f>
        <v>Electric Utility Natural Gas</v>
      </c>
      <c r="C77" s="974"/>
      <c r="D77" s="1164"/>
      <c r="E77" s="974"/>
      <c r="N77" s="977">
        <v>5.2581660000000001</v>
      </c>
      <c r="O77" s="977">
        <v>4.7747140000000003</v>
      </c>
      <c r="P77" s="977">
        <v>3.3280129999999999</v>
      </c>
      <c r="Q77" s="977">
        <v>3.7262059999999999</v>
      </c>
      <c r="R77" s="977">
        <v>3.8342619999999998</v>
      </c>
      <c r="S77" s="977">
        <v>3.9162499999999998</v>
      </c>
      <c r="T77" s="977">
        <v>4.3469340000000001</v>
      </c>
      <c r="U77" s="977">
        <v>4.5235139999999996</v>
      </c>
      <c r="V77" s="977">
        <v>4.7720750000000001</v>
      </c>
      <c r="W77" s="977">
        <v>4.9304030000000001</v>
      </c>
      <c r="X77" s="977">
        <v>5.0667330000000002</v>
      </c>
      <c r="Y77" s="977">
        <v>5.2030240000000001</v>
      </c>
      <c r="Z77" s="977">
        <v>5.4141339999999998</v>
      </c>
      <c r="AA77" s="977">
        <v>5.6120320000000001</v>
      </c>
      <c r="AB77" s="977">
        <v>5.7180549999999997</v>
      </c>
      <c r="AC77" s="977">
        <v>5.8497880000000002</v>
      </c>
      <c r="AD77" s="977">
        <v>5.9964360000000001</v>
      </c>
      <c r="AE77" s="977">
        <v>6.1136410000000003</v>
      </c>
      <c r="AF77" s="977">
        <v>6.2808900000000003</v>
      </c>
      <c r="AG77" s="977">
        <v>6.4099190000000004</v>
      </c>
      <c r="AH77" s="977">
        <v>6.5488220000000004</v>
      </c>
      <c r="AI77" s="977">
        <v>6.7307620000000004</v>
      </c>
      <c r="AJ77" s="977">
        <v>7.0166529999999998</v>
      </c>
      <c r="AK77" s="977">
        <v>7.3227570000000002</v>
      </c>
      <c r="AL77" s="977">
        <v>7.6342280000000002</v>
      </c>
      <c r="AM77" s="977">
        <v>7.902755</v>
      </c>
      <c r="AN77" s="977">
        <v>8.2651950000000003</v>
      </c>
      <c r="AO77" s="977">
        <v>8.4774010000000004</v>
      </c>
      <c r="AP77" s="977">
        <v>8.8551400000000005</v>
      </c>
      <c r="AQ77" s="977">
        <v>9.1715459999999993</v>
      </c>
      <c r="AR77" s="977">
        <v>9.3359030000000001</v>
      </c>
      <c r="BV77" s="975"/>
    </row>
    <row r="78" spans="1:104" s="972" customFormat="1">
      <c r="A78" s="976" t="s">
        <v>1077</v>
      </c>
      <c r="C78" s="974"/>
      <c r="D78" s="1164"/>
      <c r="E78" s="974"/>
      <c r="N78" s="977"/>
      <c r="O78" s="977"/>
      <c r="P78" s="977"/>
      <c r="Q78" s="977"/>
      <c r="R78" s="977"/>
      <c r="S78" s="977"/>
      <c r="T78" s="977"/>
      <c r="U78" s="977"/>
      <c r="V78" s="977"/>
      <c r="W78" s="977"/>
      <c r="X78" s="977"/>
      <c r="Y78" s="977"/>
      <c r="Z78" s="977"/>
      <c r="AA78" s="977"/>
      <c r="AB78" s="977"/>
      <c r="AC78" s="977"/>
      <c r="AD78" s="977"/>
      <c r="AE78" s="977"/>
      <c r="AF78" s="977"/>
      <c r="AG78" s="977"/>
      <c r="AH78" s="977"/>
      <c r="AI78" s="977"/>
      <c r="AJ78" s="977"/>
      <c r="AK78" s="977"/>
      <c r="AL78" s="977"/>
      <c r="AM78" s="977"/>
      <c r="AN78" s="977"/>
      <c r="AO78" s="977"/>
      <c r="AP78" s="977"/>
      <c r="AQ78" s="977"/>
      <c r="AR78" s="977"/>
      <c r="BV78" s="975"/>
    </row>
    <row r="79" spans="1:104" s="972" customFormat="1">
      <c r="A79" s="976" t="s">
        <v>1083</v>
      </c>
      <c r="C79" s="974"/>
      <c r="D79" s="1164"/>
      <c r="E79" s="974"/>
      <c r="N79" s="977">
        <v>2.2979889999999998</v>
      </c>
      <c r="O79" s="977">
        <v>2.38</v>
      </c>
      <c r="P79" s="977">
        <v>2.414561</v>
      </c>
      <c r="Q79" s="977">
        <v>2.3313350000000002</v>
      </c>
      <c r="R79" s="977">
        <v>2.4666779999999999</v>
      </c>
      <c r="S79" s="977">
        <v>2.490294</v>
      </c>
      <c r="T79" s="977">
        <v>2.5700569999999998</v>
      </c>
      <c r="U79" s="977">
        <v>2.5762320000000001</v>
      </c>
      <c r="V79" s="977">
        <v>2.594992</v>
      </c>
      <c r="W79" s="977">
        <v>2.6086049999999998</v>
      </c>
      <c r="X79" s="977">
        <v>2.6433580000000001</v>
      </c>
      <c r="Y79" s="977">
        <v>2.6708150000000002</v>
      </c>
      <c r="Z79" s="977">
        <v>2.7142179999999998</v>
      </c>
      <c r="AA79" s="977">
        <v>2.74918</v>
      </c>
      <c r="AB79" s="977">
        <v>2.7884579999999999</v>
      </c>
      <c r="AC79" s="977">
        <v>2.8318759999999998</v>
      </c>
      <c r="AD79" s="977">
        <v>2.8692139999999999</v>
      </c>
      <c r="AE79" s="977">
        <v>2.899435</v>
      </c>
      <c r="AF79" s="977">
        <v>2.9368029999999998</v>
      </c>
      <c r="AG79" s="977">
        <v>2.9781219999999999</v>
      </c>
      <c r="AH79" s="977">
        <v>3.0179510000000001</v>
      </c>
      <c r="AI79" s="977">
        <v>3.0527350000000002</v>
      </c>
      <c r="AJ79" s="977">
        <v>3.090319</v>
      </c>
      <c r="AK79" s="977">
        <v>3.1298509999999999</v>
      </c>
      <c r="AL79" s="977">
        <v>3.1705510000000001</v>
      </c>
      <c r="AM79" s="977">
        <v>3.2163840000000001</v>
      </c>
      <c r="AN79" s="977">
        <v>3.2516949999999998</v>
      </c>
      <c r="AO79" s="977">
        <v>3.2783180000000001</v>
      </c>
      <c r="AP79" s="977">
        <v>3.3114089999999998</v>
      </c>
      <c r="AQ79" s="977">
        <v>3.3562150000000002</v>
      </c>
      <c r="AR79" s="977">
        <v>3.398895</v>
      </c>
      <c r="BV79" s="975"/>
    </row>
    <row r="80" spans="1:104" s="972" customFormat="1">
      <c r="A80" s="976" t="s">
        <v>682</v>
      </c>
      <c r="C80" s="974"/>
      <c r="D80" s="1164"/>
      <c r="E80" s="974"/>
      <c r="N80" s="977">
        <v>30.492578999999999</v>
      </c>
      <c r="O80" s="977">
        <v>29.980651999999999</v>
      </c>
      <c r="P80" s="977">
        <v>28.501187999999999</v>
      </c>
      <c r="Q80" s="977">
        <v>27.791989999999998</v>
      </c>
      <c r="R80" s="977">
        <v>28.177313000000002</v>
      </c>
      <c r="S80" s="977">
        <v>28.139455999999999</v>
      </c>
      <c r="T80" s="977">
        <v>28.689319999999999</v>
      </c>
      <c r="U80" s="977">
        <v>29.024557000000001</v>
      </c>
      <c r="V80" s="977">
        <v>29.108899999999998</v>
      </c>
      <c r="W80" s="977">
        <v>28.975003999999998</v>
      </c>
      <c r="X80" s="977">
        <v>29.041111000000001</v>
      </c>
      <c r="Y80" s="977">
        <v>29.162209000000001</v>
      </c>
      <c r="Z80" s="977">
        <v>29.247681</v>
      </c>
      <c r="AA80" s="977">
        <v>29.196009</v>
      </c>
      <c r="AB80" s="977">
        <v>29.115604000000001</v>
      </c>
      <c r="AC80" s="977">
        <v>29.201962000000002</v>
      </c>
      <c r="AD80" s="977">
        <v>29.178121999999998</v>
      </c>
      <c r="AE80" s="977">
        <v>29.212776000000002</v>
      </c>
      <c r="AF80" s="977">
        <v>29.214404999999999</v>
      </c>
      <c r="AG80" s="977">
        <v>29.344874999999998</v>
      </c>
      <c r="AH80" s="977">
        <v>29.550170999999999</v>
      </c>
      <c r="AI80" s="977">
        <v>29.794819</v>
      </c>
      <c r="AJ80" s="977">
        <v>29.957190000000001</v>
      </c>
      <c r="AK80" s="977">
        <v>30.275618000000001</v>
      </c>
      <c r="AL80" s="977">
        <v>30.801399</v>
      </c>
      <c r="AM80" s="977">
        <v>31.291125999999998</v>
      </c>
      <c r="AN80" s="977">
        <v>31.806963</v>
      </c>
      <c r="AO80" s="977">
        <v>32.268535999999997</v>
      </c>
      <c r="AP80" s="977">
        <v>32.667476999999998</v>
      </c>
      <c r="AQ80" s="977">
        <v>33.223427000000001</v>
      </c>
      <c r="AR80" s="977">
        <v>33.577624999999998</v>
      </c>
      <c r="BV80" s="975"/>
    </row>
    <row r="81" spans="1:104" s="972" customFormat="1">
      <c r="A81" s="976" t="s">
        <v>697</v>
      </c>
      <c r="C81" s="974"/>
      <c r="D81" s="1164"/>
      <c r="E81" s="974"/>
      <c r="N81" s="977">
        <v>20.260445000000001</v>
      </c>
      <c r="O81" s="977">
        <v>19.975721</v>
      </c>
      <c r="P81" s="977">
        <v>18.454588000000001</v>
      </c>
      <c r="Q81" s="977">
        <v>18.157667</v>
      </c>
      <c r="R81" s="977">
        <v>18.271274999999999</v>
      </c>
      <c r="S81" s="977">
        <v>18.191776000000001</v>
      </c>
      <c r="T81" s="977">
        <v>18.703628999999999</v>
      </c>
      <c r="U81" s="977">
        <v>19.002967999999999</v>
      </c>
      <c r="V81" s="977">
        <v>19.096264000000001</v>
      </c>
      <c r="W81" s="977">
        <v>19.050228000000001</v>
      </c>
      <c r="X81" s="977">
        <v>19.095860999999999</v>
      </c>
      <c r="Y81" s="977">
        <v>19.252116999999998</v>
      </c>
      <c r="Z81" s="977">
        <v>19.422526999999999</v>
      </c>
      <c r="AA81" s="977">
        <v>19.539289</v>
      </c>
      <c r="AB81" s="977">
        <v>19.565339999999999</v>
      </c>
      <c r="AC81" s="977">
        <v>19.722131999999998</v>
      </c>
      <c r="AD81" s="977">
        <v>19.810991000000001</v>
      </c>
      <c r="AE81" s="977">
        <v>19.943812999999999</v>
      </c>
      <c r="AF81" s="977">
        <v>20.046423000000001</v>
      </c>
      <c r="AG81" s="977">
        <v>20.238405</v>
      </c>
      <c r="AH81" s="977">
        <v>20.421748999999998</v>
      </c>
      <c r="AI81" s="977">
        <v>20.607520999999998</v>
      </c>
      <c r="AJ81" s="977">
        <v>20.839410999999998</v>
      </c>
      <c r="AK81" s="977">
        <v>21.176966</v>
      </c>
      <c r="AL81" s="977">
        <v>21.628757</v>
      </c>
      <c r="AM81" s="977">
        <v>22.108962999999999</v>
      </c>
      <c r="AN81" s="977">
        <v>22.567038</v>
      </c>
      <c r="AO81" s="977">
        <v>22.990486000000001</v>
      </c>
      <c r="AP81" s="977">
        <v>23.379736000000001</v>
      </c>
      <c r="AQ81" s="977">
        <v>23.871493999999998</v>
      </c>
      <c r="AR81" s="977">
        <v>24.167221000000001</v>
      </c>
      <c r="BV81" s="975"/>
    </row>
    <row r="82" spans="1:104" s="972" customFormat="1" ht="13.5" thickBot="1">
      <c r="A82" s="979" t="s">
        <v>683</v>
      </c>
      <c r="B82" s="980"/>
      <c r="C82" s="981"/>
      <c r="D82" s="1165"/>
      <c r="E82" s="981"/>
      <c r="F82" s="980"/>
      <c r="G82" s="980"/>
      <c r="H82" s="980"/>
      <c r="I82" s="980"/>
      <c r="J82" s="980"/>
      <c r="K82" s="980"/>
      <c r="L82" s="980"/>
      <c r="M82" s="980"/>
      <c r="N82" s="982">
        <v>34.522823000000002</v>
      </c>
      <c r="O82" s="982">
        <v>34.335875999999999</v>
      </c>
      <c r="P82" s="982">
        <v>33.292259000000001</v>
      </c>
      <c r="Q82" s="982">
        <v>32.561348000000002</v>
      </c>
      <c r="R82" s="982">
        <v>33.352730000000001</v>
      </c>
      <c r="S82" s="982">
        <v>33.489016999999997</v>
      </c>
      <c r="T82" s="982">
        <v>34.046703000000001</v>
      </c>
      <c r="U82" s="982">
        <v>34.326427000000002</v>
      </c>
      <c r="V82" s="982">
        <v>34.303291000000002</v>
      </c>
      <c r="W82" s="982">
        <v>34.076405000000001</v>
      </c>
      <c r="X82" s="982">
        <v>34.105117999999997</v>
      </c>
      <c r="Y82" s="982">
        <v>34.184669</v>
      </c>
      <c r="Z82" s="982">
        <v>34.290134000000002</v>
      </c>
      <c r="AA82" s="982">
        <v>34.319408000000003</v>
      </c>
      <c r="AB82" s="982">
        <v>34.416462000000003</v>
      </c>
      <c r="AC82" s="982">
        <v>34.726405999999997</v>
      </c>
      <c r="AD82" s="982">
        <v>34.904162999999997</v>
      </c>
      <c r="AE82" s="982">
        <v>35.063048999999999</v>
      </c>
      <c r="AF82" s="982">
        <v>35.177726999999997</v>
      </c>
      <c r="AG82" s="982">
        <v>35.337353</v>
      </c>
      <c r="AH82" s="982">
        <v>35.506706000000001</v>
      </c>
      <c r="AI82" s="982">
        <v>35.725586</v>
      </c>
      <c r="AJ82" s="982">
        <v>35.884253999999999</v>
      </c>
      <c r="AK82" s="982">
        <v>36.154865000000001</v>
      </c>
      <c r="AL82" s="982">
        <v>36.608756999999997</v>
      </c>
      <c r="AM82" s="982">
        <v>37.082008000000002</v>
      </c>
      <c r="AN82" s="982">
        <v>37.502094</v>
      </c>
      <c r="AO82" s="982">
        <v>37.842292999999998</v>
      </c>
      <c r="AP82" s="982">
        <v>38.16151</v>
      </c>
      <c r="AQ82" s="982">
        <v>38.618450000000003</v>
      </c>
      <c r="AR82" s="982">
        <v>38.850749999999998</v>
      </c>
      <c r="AS82" s="980"/>
      <c r="AT82" s="980"/>
      <c r="AU82" s="980"/>
      <c r="AV82" s="980"/>
      <c r="AW82" s="980"/>
      <c r="AX82" s="980"/>
      <c r="AY82" s="980"/>
      <c r="AZ82" s="980"/>
      <c r="BA82" s="980"/>
      <c r="BB82" s="980"/>
      <c r="BC82" s="980"/>
      <c r="BD82" s="980"/>
      <c r="BE82" s="980"/>
      <c r="BF82" s="980"/>
      <c r="BG82" s="980"/>
      <c r="BH82" s="980"/>
      <c r="BI82" s="980"/>
      <c r="BJ82" s="980"/>
      <c r="BK82" s="980"/>
      <c r="BL82" s="980"/>
      <c r="BM82" s="980"/>
      <c r="BN82" s="980"/>
      <c r="BO82" s="980"/>
      <c r="BP82" s="980"/>
      <c r="BQ82" s="980"/>
      <c r="BR82" s="980"/>
      <c r="BS82" s="980"/>
      <c r="BT82" s="980"/>
      <c r="BU82" s="980"/>
      <c r="BV82" s="983"/>
    </row>
    <row r="83" spans="1:104">
      <c r="D83" s="1010"/>
      <c r="E83" s="811"/>
    </row>
    <row r="84" spans="1:104">
      <c r="D84" s="1010"/>
    </row>
    <row r="85" spans="1:104" ht="13.5" thickBot="1">
      <c r="D85" s="1010"/>
    </row>
    <row r="86" spans="1:104" ht="13.5" thickTop="1">
      <c r="A86" s="805" t="s">
        <v>1103</v>
      </c>
      <c r="B86" s="656" t="str">
        <f>"Prices are in $(" &amp; ref_year&amp;")/GJ LHV"</f>
        <v>Prices are in $(2016)/GJ LHV</v>
      </c>
      <c r="C86" s="656"/>
      <c r="D86" s="1166"/>
      <c r="E86" s="656"/>
      <c r="F86" s="806"/>
      <c r="G86" s="806"/>
      <c r="H86" s="806"/>
      <c r="I86" s="806"/>
      <c r="J86" s="806"/>
      <c r="K86" s="806"/>
      <c r="L86" s="806"/>
      <c r="M86" s="806"/>
      <c r="N86" s="806"/>
      <c r="O86" s="806"/>
      <c r="P86" s="806"/>
      <c r="Q86" s="806"/>
      <c r="R86" s="806"/>
      <c r="S86" s="806"/>
      <c r="T86" s="806"/>
      <c r="U86" s="806"/>
      <c r="V86" s="806"/>
      <c r="W86" s="806"/>
      <c r="X86" s="806"/>
      <c r="Y86" s="806"/>
      <c r="Z86" s="806"/>
      <c r="AA86" s="806"/>
      <c r="AB86" s="806"/>
      <c r="AC86" s="806"/>
      <c r="AD86" s="806"/>
      <c r="AE86" s="806"/>
      <c r="AF86" s="806"/>
      <c r="AG86" s="806"/>
      <c r="AH86" s="806"/>
      <c r="AI86" s="806"/>
      <c r="AJ86" s="806"/>
      <c r="AK86" s="806"/>
      <c r="AL86" s="806"/>
      <c r="AM86" s="806"/>
      <c r="AN86" s="806"/>
      <c r="AO86" s="806"/>
      <c r="AP86" s="806"/>
      <c r="AQ86" s="806"/>
      <c r="AR86" s="806"/>
      <c r="AS86" s="817" t="s">
        <v>771</v>
      </c>
      <c r="AT86" s="818"/>
      <c r="AU86" s="818"/>
      <c r="AV86" s="818"/>
      <c r="AW86" s="818"/>
      <c r="AX86" s="818"/>
      <c r="AY86" s="818"/>
      <c r="AZ86" s="818"/>
      <c r="BA86" s="818"/>
      <c r="BB86" s="818"/>
      <c r="BC86" s="818"/>
      <c r="BD86" s="818"/>
      <c r="BE86" s="818"/>
      <c r="BF86" s="818"/>
      <c r="BG86" s="818"/>
      <c r="BH86" s="818"/>
      <c r="BI86" s="818"/>
      <c r="BJ86" s="818"/>
      <c r="BK86" s="818"/>
      <c r="BL86" s="818"/>
      <c r="BM86" s="818"/>
      <c r="BN86" s="818"/>
      <c r="BO86" s="818"/>
      <c r="BP86" s="818"/>
      <c r="BQ86" s="818"/>
      <c r="BR86" s="818"/>
      <c r="BS86" s="818"/>
      <c r="BT86" s="818"/>
      <c r="BU86" s="818"/>
      <c r="BV86" s="819"/>
    </row>
    <row r="87" spans="1:104" ht="51.75" thickBot="1">
      <c r="A87" s="1035" t="s">
        <v>1080</v>
      </c>
      <c r="B87" s="1036" t="s">
        <v>677</v>
      </c>
      <c r="C87" s="1036" t="s">
        <v>678</v>
      </c>
      <c r="D87" s="1167" t="s">
        <v>689</v>
      </c>
      <c r="E87" s="1036" t="s">
        <v>690</v>
      </c>
      <c r="F87" s="554" t="s">
        <v>679</v>
      </c>
      <c r="G87" s="554" t="s">
        <v>691</v>
      </c>
      <c r="H87" s="1">
        <v>2004</v>
      </c>
      <c r="I87" s="1">
        <v>2005</v>
      </c>
      <c r="J87" s="1">
        <v>2006</v>
      </c>
      <c r="K87" s="1">
        <v>2007</v>
      </c>
      <c r="L87" s="1">
        <v>2008</v>
      </c>
      <c r="M87" s="1">
        <v>2009</v>
      </c>
      <c r="N87" s="1">
        <v>2010</v>
      </c>
      <c r="O87" s="1">
        <v>2011</v>
      </c>
      <c r="P87" s="1">
        <v>2012</v>
      </c>
      <c r="Q87" s="1">
        <v>2013</v>
      </c>
      <c r="R87" s="1">
        <v>2014</v>
      </c>
      <c r="S87" s="1">
        <v>2015</v>
      </c>
      <c r="T87" s="1">
        <v>2016</v>
      </c>
      <c r="U87" s="1">
        <v>2017</v>
      </c>
      <c r="V87" s="1">
        <v>2018</v>
      </c>
      <c r="W87" s="1">
        <v>2019</v>
      </c>
      <c r="X87" s="1">
        <v>2020</v>
      </c>
      <c r="Y87" s="1">
        <v>2021</v>
      </c>
      <c r="Z87" s="1">
        <v>2022</v>
      </c>
      <c r="AA87" s="1">
        <v>2023</v>
      </c>
      <c r="AB87" s="1">
        <v>2024</v>
      </c>
      <c r="AC87" s="1">
        <v>2025</v>
      </c>
      <c r="AD87" s="1">
        <v>2026</v>
      </c>
      <c r="AE87" s="1">
        <v>2027</v>
      </c>
      <c r="AF87" s="1">
        <v>2028</v>
      </c>
      <c r="AG87" s="1">
        <v>2029</v>
      </c>
      <c r="AH87" s="1">
        <v>2030</v>
      </c>
      <c r="AI87" s="1">
        <v>2031</v>
      </c>
      <c r="AJ87" s="1">
        <v>2032</v>
      </c>
      <c r="AK87" s="1">
        <v>2033</v>
      </c>
      <c r="AL87" s="1">
        <v>2034</v>
      </c>
      <c r="AM87" s="1">
        <v>2035</v>
      </c>
      <c r="AN87" s="1">
        <v>2036</v>
      </c>
      <c r="AO87" s="1">
        <v>2037</v>
      </c>
      <c r="AP87" s="1">
        <v>2038</v>
      </c>
      <c r="AQ87" s="1">
        <v>2039</v>
      </c>
      <c r="AR87" s="1">
        <v>2040</v>
      </c>
      <c r="AS87" s="1">
        <v>2041</v>
      </c>
      <c r="AT87" s="1">
        <v>2042</v>
      </c>
      <c r="AU87" s="1">
        <v>2043</v>
      </c>
      <c r="AV87" s="1">
        <v>2044</v>
      </c>
      <c r="AW87" s="1">
        <v>2045</v>
      </c>
      <c r="AX87" s="1">
        <v>2046</v>
      </c>
      <c r="AY87" s="1">
        <v>2047</v>
      </c>
      <c r="AZ87" s="1">
        <v>2048</v>
      </c>
      <c r="BA87" s="1">
        <v>2049</v>
      </c>
      <c r="BB87" s="1">
        <v>2050</v>
      </c>
      <c r="BC87" s="1">
        <v>2051</v>
      </c>
      <c r="BD87" s="1">
        <v>2052</v>
      </c>
      <c r="BE87" s="1">
        <v>2053</v>
      </c>
      <c r="BF87" s="1">
        <v>2054</v>
      </c>
      <c r="BG87" s="1">
        <v>2055</v>
      </c>
      <c r="BH87" s="1">
        <v>2056</v>
      </c>
      <c r="BI87" s="1">
        <v>2057</v>
      </c>
      <c r="BJ87" s="1">
        <v>2058</v>
      </c>
      <c r="BK87" s="1">
        <v>2059</v>
      </c>
      <c r="BL87" s="1">
        <v>2060</v>
      </c>
      <c r="BM87" s="1">
        <v>2061</v>
      </c>
      <c r="BN87" s="1">
        <v>2062</v>
      </c>
      <c r="BO87" s="1">
        <v>2063</v>
      </c>
      <c r="BP87" s="1">
        <v>2064</v>
      </c>
      <c r="BQ87" s="1">
        <v>2065</v>
      </c>
      <c r="BR87" s="1">
        <v>2066</v>
      </c>
      <c r="BS87" s="1">
        <v>2067</v>
      </c>
      <c r="BT87" s="1">
        <v>2068</v>
      </c>
      <c r="BU87" s="1">
        <v>2069</v>
      </c>
      <c r="BV87" s="823">
        <v>2070</v>
      </c>
      <c r="BW87" s="1299">
        <f t="shared" ref="BW87" si="191">+BV87+1</f>
        <v>2071</v>
      </c>
      <c r="BX87" s="1299">
        <f t="shared" ref="BX87" si="192">+BW87+1</f>
        <v>2072</v>
      </c>
      <c r="BY87" s="1299">
        <f t="shared" ref="BY87" si="193">+BX87+1</f>
        <v>2073</v>
      </c>
      <c r="BZ87" s="1299">
        <f t="shared" ref="BZ87" si="194">+BY87+1</f>
        <v>2074</v>
      </c>
      <c r="CA87" s="1299">
        <f t="shared" ref="CA87" si="195">+BZ87+1</f>
        <v>2075</v>
      </c>
      <c r="CB87" s="1299">
        <f t="shared" ref="CB87" si="196">+CA87+1</f>
        <v>2076</v>
      </c>
      <c r="CC87" s="1299">
        <f t="shared" ref="CC87" si="197">+CB87+1</f>
        <v>2077</v>
      </c>
      <c r="CD87" s="1299">
        <f t="shared" ref="CD87" si="198">+CC87+1</f>
        <v>2078</v>
      </c>
      <c r="CE87" s="1299">
        <f t="shared" ref="CE87" si="199">+CD87+1</f>
        <v>2079</v>
      </c>
      <c r="CF87" s="1299">
        <f t="shared" ref="CF87" si="200">+CE87+1</f>
        <v>2080</v>
      </c>
      <c r="CG87" s="1299">
        <f t="shared" ref="CG87" si="201">+CF87+1</f>
        <v>2081</v>
      </c>
      <c r="CH87" s="1299">
        <f t="shared" ref="CH87" si="202">+CG87+1</f>
        <v>2082</v>
      </c>
      <c r="CI87" s="1299">
        <f t="shared" ref="CI87" si="203">+CH87+1</f>
        <v>2083</v>
      </c>
      <c r="CJ87" s="1299">
        <f t="shared" ref="CJ87" si="204">+CI87+1</f>
        <v>2084</v>
      </c>
      <c r="CK87" s="1299">
        <f t="shared" ref="CK87" si="205">+CJ87+1</f>
        <v>2085</v>
      </c>
      <c r="CL87" s="1299">
        <f t="shared" ref="CL87" si="206">+CK87+1</f>
        <v>2086</v>
      </c>
      <c r="CM87" s="1299">
        <f t="shared" ref="CM87" si="207">+CL87+1</f>
        <v>2087</v>
      </c>
      <c r="CN87" s="1299">
        <f t="shared" ref="CN87" si="208">+CM87+1</f>
        <v>2088</v>
      </c>
      <c r="CO87" s="1299">
        <f t="shared" ref="CO87" si="209">+CN87+1</f>
        <v>2089</v>
      </c>
      <c r="CP87" s="1299">
        <f t="shared" ref="CP87" si="210">+CO87+1</f>
        <v>2090</v>
      </c>
      <c r="CQ87" s="1299">
        <f t="shared" ref="CQ87" si="211">+CP87+1</f>
        <v>2091</v>
      </c>
      <c r="CR87" s="1299">
        <f t="shared" ref="CR87" si="212">+CQ87+1</f>
        <v>2092</v>
      </c>
      <c r="CS87" s="1299">
        <f t="shared" ref="CS87" si="213">+CR87+1</f>
        <v>2093</v>
      </c>
      <c r="CT87" s="1299">
        <f t="shared" ref="CT87" si="214">+CS87+1</f>
        <v>2094</v>
      </c>
      <c r="CU87" s="1299">
        <f t="shared" ref="CU87" si="215">+CT87+1</f>
        <v>2095</v>
      </c>
      <c r="CV87" s="1299">
        <f t="shared" ref="CV87" si="216">+CU87+1</f>
        <v>2096</v>
      </c>
      <c r="CW87" s="1299">
        <f t="shared" ref="CW87" si="217">+CV87+1</f>
        <v>2097</v>
      </c>
      <c r="CX87" s="1299">
        <f t="shared" ref="CX87" si="218">+CW87+1</f>
        <v>2098</v>
      </c>
      <c r="CY87" s="1299">
        <f t="shared" ref="CY87" si="219">+CX87+1</f>
        <v>2099</v>
      </c>
      <c r="CZ87" s="1299">
        <f t="shared" ref="CZ87" si="220">+CY87+1</f>
        <v>2100</v>
      </c>
    </row>
    <row r="88" spans="1:104" ht="13.5" thickBot="1">
      <c r="A88" s="807" t="s">
        <v>1086</v>
      </c>
      <c r="B88" s="808"/>
      <c r="C88" s="808"/>
      <c r="D88" s="1168"/>
      <c r="E88" s="808"/>
      <c r="F88" s="808"/>
      <c r="G88" s="808"/>
      <c r="H88" s="885"/>
      <c r="I88" s="885"/>
      <c r="J88" s="885"/>
      <c r="K88" s="885"/>
      <c r="L88" s="885"/>
      <c r="M88" s="885"/>
      <c r="N88" s="885"/>
      <c r="O88" s="885"/>
      <c r="P88" s="885"/>
      <c r="Q88" s="885"/>
      <c r="R88" s="885"/>
      <c r="S88" s="885"/>
      <c r="T88" s="885"/>
      <c r="U88" s="885"/>
      <c r="V88" s="885"/>
      <c r="W88" s="885"/>
      <c r="X88" s="885"/>
      <c r="Y88" s="885"/>
      <c r="Z88" s="885"/>
      <c r="AA88" s="885"/>
      <c r="AB88" s="885"/>
      <c r="AC88" s="885"/>
      <c r="AD88" s="885"/>
      <c r="AE88" s="885"/>
      <c r="AF88" s="885"/>
      <c r="AG88" s="885"/>
      <c r="AH88" s="885"/>
      <c r="AI88" s="885"/>
      <c r="AJ88" s="885"/>
      <c r="AK88" s="885"/>
      <c r="AL88" s="885"/>
      <c r="AM88" s="885"/>
      <c r="AN88" s="885"/>
      <c r="AO88" s="885"/>
      <c r="AP88" s="885"/>
      <c r="AQ88" s="885"/>
      <c r="AR88" s="885"/>
      <c r="AS88" s="885"/>
      <c r="AT88" s="885"/>
      <c r="AU88" s="885"/>
      <c r="AV88" s="885"/>
      <c r="AW88" s="885"/>
      <c r="AX88" s="885"/>
      <c r="AY88" s="885"/>
      <c r="AZ88" s="885"/>
      <c r="BA88" s="885"/>
      <c r="BC88" s="885"/>
      <c r="BD88" s="885"/>
      <c r="BE88" s="885"/>
      <c r="BF88" s="885"/>
      <c r="BG88" s="885"/>
      <c r="BH88" s="885"/>
      <c r="BI88" s="885"/>
      <c r="BJ88" s="885"/>
      <c r="BK88" s="885"/>
      <c r="BL88" s="885"/>
      <c r="BM88" s="885"/>
      <c r="BN88" s="885"/>
      <c r="BO88" s="885"/>
      <c r="BP88" s="885"/>
      <c r="BR88" s="885"/>
      <c r="BS88" s="885"/>
      <c r="BT88" s="885"/>
      <c r="BU88" s="885"/>
    </row>
    <row r="89" spans="1:104">
      <c r="A89" s="810" t="str">
        <f>'HyARC Physical Property Data'!A73</f>
        <v>Residential Natural Gas</v>
      </c>
      <c r="B89">
        <v>2012</v>
      </c>
      <c r="C89" s="811">
        <f t="shared" ref="C89:C100" si="221">VLOOKUP(ref_year,DeflatorTable,2,FALSE)/VLOOKUP(B89,DeflatorTable,2,FALSE)</f>
        <v>1.0589185747008452</v>
      </c>
      <c r="D89" s="1169" t="str">
        <f>'HyARC Physical Property Data'!H73</f>
        <v>mmBtu</v>
      </c>
      <c r="E89" s="811" t="s">
        <v>1054</v>
      </c>
      <c r="F89">
        <f>'HyARC Physical Property Data'!$E$6</f>
        <v>47.141269049911173</v>
      </c>
      <c r="G89">
        <f>'HyARC Physical Property Data'!$I$6</f>
        <v>52.224661236371581</v>
      </c>
      <c r="H89" s="985">
        <v>12.595706345448797</v>
      </c>
      <c r="I89" s="985">
        <v>12.595706345448797</v>
      </c>
      <c r="J89" s="985">
        <v>12.595706345448797</v>
      </c>
      <c r="K89" s="985">
        <v>12.595706345448797</v>
      </c>
      <c r="L89" s="985">
        <v>13.121338604068761</v>
      </c>
      <c r="M89" s="985">
        <v>11.086947084595193</v>
      </c>
      <c r="N89" s="985">
        <v>10.600250548835966</v>
      </c>
      <c r="O89" s="885">
        <f t="shared" ref="O89:AR89" si="222">O106*($C89/mmBTU_to_GJ*$G89/$F89)</f>
        <v>12.2087929242581</v>
      </c>
      <c r="P89" s="885">
        <f t="shared" si="222"/>
        <v>11.62926676611875</v>
      </c>
      <c r="Q89" s="885">
        <f t="shared" si="222"/>
        <v>11.549569006878718</v>
      </c>
      <c r="R89" s="885">
        <f t="shared" si="222"/>
        <v>12.451077492669647</v>
      </c>
      <c r="S89" s="885">
        <f t="shared" si="222"/>
        <v>12.228661210695314</v>
      </c>
      <c r="T89" s="885">
        <f t="shared" si="222"/>
        <v>11.880721569489316</v>
      </c>
      <c r="U89" s="885">
        <f t="shared" si="222"/>
        <v>12.243181027367417</v>
      </c>
      <c r="V89" s="885">
        <f t="shared" si="222"/>
        <v>12.738447103720736</v>
      </c>
      <c r="W89" s="885">
        <f t="shared" si="222"/>
        <v>12.928721417497503</v>
      </c>
      <c r="X89" s="885">
        <f t="shared" si="222"/>
        <v>12.889662020940529</v>
      </c>
      <c r="Y89" s="885">
        <f t="shared" si="222"/>
        <v>13.126157788188424</v>
      </c>
      <c r="Z89" s="885">
        <f t="shared" si="222"/>
        <v>13.227924378910403</v>
      </c>
      <c r="AA89" s="885">
        <f t="shared" si="222"/>
        <v>13.406700038666168</v>
      </c>
      <c r="AB89" s="885">
        <f t="shared" si="222"/>
        <v>13.682684414389822</v>
      </c>
      <c r="AC89" s="885">
        <f t="shared" si="222"/>
        <v>13.872072505629625</v>
      </c>
      <c r="AD89" s="885">
        <f t="shared" si="222"/>
        <v>13.98822325537062</v>
      </c>
      <c r="AE89" s="885">
        <f t="shared" si="222"/>
        <v>14.139968571775018</v>
      </c>
      <c r="AF89" s="885">
        <f t="shared" si="222"/>
        <v>14.341810480347306</v>
      </c>
      <c r="AG89" s="885">
        <f t="shared" si="222"/>
        <v>14.660154514221039</v>
      </c>
      <c r="AH89" s="885">
        <f t="shared" si="222"/>
        <v>15.014507871353267</v>
      </c>
      <c r="AI89" s="885">
        <f t="shared" si="222"/>
        <v>15.178056515524123</v>
      </c>
      <c r="AJ89" s="885">
        <f t="shared" si="222"/>
        <v>15.247180761459282</v>
      </c>
      <c r="AK89" s="885">
        <f t="shared" si="222"/>
        <v>15.504403238981952</v>
      </c>
      <c r="AL89" s="885">
        <f t="shared" si="222"/>
        <v>15.944730189731404</v>
      </c>
      <c r="AM89" s="885">
        <f t="shared" si="222"/>
        <v>16.240765211360355</v>
      </c>
      <c r="AN89" s="885">
        <f t="shared" si="222"/>
        <v>16.673418609126639</v>
      </c>
      <c r="AO89" s="885">
        <f t="shared" si="222"/>
        <v>16.84862158003515</v>
      </c>
      <c r="AP89" s="885">
        <f t="shared" si="222"/>
        <v>16.990523932954982</v>
      </c>
      <c r="AQ89" s="885">
        <f t="shared" si="222"/>
        <v>17.36681602365595</v>
      </c>
      <c r="AR89" s="885">
        <f t="shared" si="222"/>
        <v>17.766490156398653</v>
      </c>
      <c r="AS89" s="885">
        <f>($BB89-$AR89)/10+AR89</f>
        <v>17.817297159388684</v>
      </c>
      <c r="AT89" s="885">
        <f t="shared" ref="AT89:BA89" si="223">($BB89-$AR89)/10+AS89</f>
        <v>17.868104162378714</v>
      </c>
      <c r="AU89" s="885">
        <f t="shared" si="223"/>
        <v>17.918911165368744</v>
      </c>
      <c r="AV89" s="885">
        <f t="shared" si="223"/>
        <v>17.969718168358774</v>
      </c>
      <c r="AW89" s="885">
        <f t="shared" si="223"/>
        <v>18.020525171348805</v>
      </c>
      <c r="AX89" s="885">
        <f t="shared" si="223"/>
        <v>18.071332174338835</v>
      </c>
      <c r="AY89" s="885">
        <f t="shared" si="223"/>
        <v>18.122139177328865</v>
      </c>
      <c r="AZ89" s="885">
        <f t="shared" si="223"/>
        <v>18.172946180318895</v>
      </c>
      <c r="BA89" s="885">
        <f t="shared" si="223"/>
        <v>18.223753183308926</v>
      </c>
      <c r="BB89" s="887">
        <f>'AEO Data'!$B$30*AM89</f>
        <v>18.274560186298949</v>
      </c>
      <c r="BC89" s="885">
        <f t="shared" ref="BC89:BP92" si="224">($BQ89-$BB89)/15+BB89</f>
        <v>18.423467349139123</v>
      </c>
      <c r="BD89" s="885">
        <f t="shared" si="224"/>
        <v>18.572374511979298</v>
      </c>
      <c r="BE89" s="885">
        <f t="shared" si="224"/>
        <v>18.721281674819473</v>
      </c>
      <c r="BF89" s="885">
        <f t="shared" si="224"/>
        <v>18.870188837659647</v>
      </c>
      <c r="BG89" s="885">
        <f t="shared" si="224"/>
        <v>19.019096000499822</v>
      </c>
      <c r="BH89" s="885">
        <f t="shared" si="224"/>
        <v>19.168003163339996</v>
      </c>
      <c r="BI89" s="885">
        <f t="shared" si="224"/>
        <v>19.316910326180171</v>
      </c>
      <c r="BJ89" s="885">
        <f t="shared" si="224"/>
        <v>19.465817489020345</v>
      </c>
      <c r="BK89" s="885">
        <f t="shared" si="224"/>
        <v>19.61472465186052</v>
      </c>
      <c r="BL89" s="885">
        <f t="shared" si="224"/>
        <v>19.763631814700695</v>
      </c>
      <c r="BM89" s="885">
        <f t="shared" si="224"/>
        <v>19.912538977540869</v>
      </c>
      <c r="BN89" s="885">
        <f t="shared" si="224"/>
        <v>20.061446140381044</v>
      </c>
      <c r="BO89" s="885">
        <f t="shared" si="224"/>
        <v>20.210353303221218</v>
      </c>
      <c r="BP89" s="885">
        <f t="shared" si="224"/>
        <v>20.359260466061393</v>
      </c>
      <c r="BQ89" s="887">
        <f>'AEO Data'!$C$30*BB89</f>
        <v>20.508167628901592</v>
      </c>
      <c r="BR89" s="885">
        <f t="shared" ref="BR89:BU92" si="225">($BV89-$BQ89)/5+BQ89</f>
        <v>20.62538963666017</v>
      </c>
      <c r="BS89" s="885">
        <f t="shared" si="225"/>
        <v>20.742611644418748</v>
      </c>
      <c r="BT89" s="885">
        <f t="shared" si="225"/>
        <v>20.859833652177326</v>
      </c>
      <c r="BU89" s="885">
        <f t="shared" si="225"/>
        <v>20.977055659935903</v>
      </c>
      <c r="BV89" s="888">
        <f>'AEO Data'!$D$30*BQ89</f>
        <v>21.094277667694488</v>
      </c>
      <c r="BW89" s="1298">
        <f>+BV89*BW$133/BV$133</f>
        <v>21.164316872120814</v>
      </c>
      <c r="BX89" s="1298">
        <f t="shared" ref="BX89:CZ89" si="226">+BW89*BX$133/BW$133</f>
        <v>21.234588627300191</v>
      </c>
      <c r="BY89" s="1298">
        <f t="shared" si="226"/>
        <v>21.305093705369501</v>
      </c>
      <c r="BZ89" s="1298">
        <f t="shared" si="226"/>
        <v>21.375832881029339</v>
      </c>
      <c r="CA89" s="1298">
        <f t="shared" si="226"/>
        <v>21.446806931552544</v>
      </c>
      <c r="CB89" s="1298">
        <f t="shared" si="226"/>
        <v>21.492572878539132</v>
      </c>
      <c r="CC89" s="1298">
        <f t="shared" si="226"/>
        <v>21.538436486772465</v>
      </c>
      <c r="CD89" s="1298">
        <f t="shared" si="226"/>
        <v>21.584397964654634</v>
      </c>
      <c r="CE89" s="1298">
        <f t="shared" si="226"/>
        <v>21.630457521032444</v>
      </c>
      <c r="CF89" s="1298">
        <f t="shared" si="226"/>
        <v>21.676615365198366</v>
      </c>
      <c r="CG89" s="1298">
        <f t="shared" si="226"/>
        <v>21.691602524401322</v>
      </c>
      <c r="CH89" s="1298">
        <f t="shared" si="226"/>
        <v>21.706600045689747</v>
      </c>
      <c r="CI89" s="1298">
        <f t="shared" si="226"/>
        <v>21.721607936227954</v>
      </c>
      <c r="CJ89" s="1298">
        <f t="shared" si="226"/>
        <v>21.736626203185217</v>
      </c>
      <c r="CK89" s="1298">
        <f t="shared" si="226"/>
        <v>21.751654853735772</v>
      </c>
      <c r="CL89" s="1298">
        <f t="shared" si="226"/>
        <v>21.756748899145897</v>
      </c>
      <c r="CM89" s="1298">
        <f t="shared" si="226"/>
        <v>21.76184413753646</v>
      </c>
      <c r="CN89" s="1298">
        <f t="shared" si="226"/>
        <v>21.766940569186843</v>
      </c>
      <c r="CO89" s="1298">
        <f t="shared" si="226"/>
        <v>21.772038194376496</v>
      </c>
      <c r="CP89" s="1298">
        <f t="shared" si="226"/>
        <v>21.777137013384934</v>
      </c>
      <c r="CQ89" s="1298">
        <f t="shared" si="226"/>
        <v>21.784864763140046</v>
      </c>
      <c r="CR89" s="1298">
        <f t="shared" si="226"/>
        <v>21.792595255134241</v>
      </c>
      <c r="CS89" s="1298">
        <f t="shared" si="226"/>
        <v>21.800328490340622</v>
      </c>
      <c r="CT89" s="1298">
        <f t="shared" si="226"/>
        <v>21.808064469732635</v>
      </c>
      <c r="CU89" s="1298">
        <f t="shared" si="226"/>
        <v>21.815803194284069</v>
      </c>
      <c r="CV89" s="1298">
        <f t="shared" si="226"/>
        <v>21.827713124132313</v>
      </c>
      <c r="CW89" s="1298">
        <f t="shared" si="226"/>
        <v>21.839629555984068</v>
      </c>
      <c r="CX89" s="1298">
        <f t="shared" si="226"/>
        <v>21.851552493388983</v>
      </c>
      <c r="CY89" s="1298">
        <f t="shared" si="226"/>
        <v>21.863481939898644</v>
      </c>
      <c r="CZ89" s="1298">
        <f t="shared" si="226"/>
        <v>21.875417899066573</v>
      </c>
    </row>
    <row r="90" spans="1:104">
      <c r="A90" s="810" t="str">
        <f>'HyARC Physical Property Data'!A71</f>
        <v>Commercial Natural Gas</v>
      </c>
      <c r="B90">
        <v>2012</v>
      </c>
      <c r="C90" s="811">
        <f t="shared" si="221"/>
        <v>1.0589185747008452</v>
      </c>
      <c r="D90" s="1169" t="str">
        <f>'HyARC Physical Property Data'!H71</f>
        <v>mmBtu</v>
      </c>
      <c r="E90" s="811" t="s">
        <v>1054</v>
      </c>
      <c r="F90">
        <f>'HyARC Physical Property Data'!$E$6</f>
        <v>47.141269049911173</v>
      </c>
      <c r="G90">
        <f>'HyARC Physical Property Data'!$I$6</f>
        <v>52.224661236371581</v>
      </c>
      <c r="H90" s="986">
        <v>10.902002401006685</v>
      </c>
      <c r="I90" s="986">
        <v>10.902002401006685</v>
      </c>
      <c r="J90" s="986">
        <v>10.902002401006685</v>
      </c>
      <c r="K90" s="986">
        <v>10.902002401006685</v>
      </c>
      <c r="L90" s="986">
        <v>11.622313273930342</v>
      </c>
      <c r="M90" s="986">
        <v>8.8092072972420112</v>
      </c>
      <c r="N90" s="986">
        <v>8.4393179300649965</v>
      </c>
      <c r="O90">
        <f t="shared" ref="O90:AR90" si="227">O107*($C90/mmBTU_to_GJ*$G90/$F90)</f>
        <v>9.9639823425462914</v>
      </c>
      <c r="P90">
        <f t="shared" si="227"/>
        <v>9.0210827052924731</v>
      </c>
      <c r="Q90">
        <f t="shared" si="227"/>
        <v>9.2425705107067522</v>
      </c>
      <c r="R90">
        <f t="shared" si="227"/>
        <v>10.103223803959281</v>
      </c>
      <c r="S90">
        <f t="shared" si="227"/>
        <v>9.9169647343242655</v>
      </c>
      <c r="T90">
        <f t="shared" si="227"/>
        <v>9.6996011439533945</v>
      </c>
      <c r="U90">
        <f t="shared" si="227"/>
        <v>10.015602303441456</v>
      </c>
      <c r="V90">
        <f t="shared" si="227"/>
        <v>10.462516434001412</v>
      </c>
      <c r="W90">
        <f t="shared" si="227"/>
        <v>10.615177995538126</v>
      </c>
      <c r="X90">
        <f t="shared" si="227"/>
        <v>10.553246941060452</v>
      </c>
      <c r="Y90">
        <f t="shared" si="227"/>
        <v>10.769181678282015</v>
      </c>
      <c r="Z90">
        <f t="shared" si="227"/>
        <v>10.850924309850123</v>
      </c>
      <c r="AA90">
        <f t="shared" si="227"/>
        <v>11.006898364407682</v>
      </c>
      <c r="AB90">
        <f t="shared" si="227"/>
        <v>11.260741632030943</v>
      </c>
      <c r="AC90">
        <f t="shared" si="227"/>
        <v>11.438522098348088</v>
      </c>
      <c r="AD90">
        <f t="shared" si="227"/>
        <v>11.543080790438088</v>
      </c>
      <c r="AE90">
        <f t="shared" si="227"/>
        <v>11.671986695413095</v>
      </c>
      <c r="AF90">
        <f t="shared" si="227"/>
        <v>11.850279769747228</v>
      </c>
      <c r="AG90">
        <f t="shared" si="227"/>
        <v>12.132482158553312</v>
      </c>
      <c r="AH90">
        <f t="shared" si="227"/>
        <v>12.445283131766116</v>
      </c>
      <c r="AI90">
        <f t="shared" si="227"/>
        <v>12.558691817798014</v>
      </c>
      <c r="AJ90">
        <f t="shared" si="227"/>
        <v>12.5569093651923</v>
      </c>
      <c r="AK90">
        <f t="shared" si="227"/>
        <v>12.763364745917485</v>
      </c>
      <c r="AL90">
        <f t="shared" si="227"/>
        <v>13.063076979503446</v>
      </c>
      <c r="AM90">
        <f t="shared" si="227"/>
        <v>13.291592296126769</v>
      </c>
      <c r="AN90">
        <f t="shared" si="227"/>
        <v>13.636518558317496</v>
      </c>
      <c r="AO90">
        <f t="shared" si="227"/>
        <v>13.752890585705739</v>
      </c>
      <c r="AP90">
        <f t="shared" si="227"/>
        <v>13.853987783746099</v>
      </c>
      <c r="AQ90">
        <f t="shared" si="227"/>
        <v>14.183892740727496</v>
      </c>
      <c r="AR90">
        <f t="shared" si="227"/>
        <v>14.541374007516533</v>
      </c>
      <c r="AS90">
        <f t="shared" ref="AS90:BA90" si="228">($BB90-$AR90)/10+AR90</f>
        <v>14.582843496133675</v>
      </c>
      <c r="AT90">
        <f t="shared" si="228"/>
        <v>14.624312984750818</v>
      </c>
      <c r="AU90">
        <f t="shared" si="228"/>
        <v>14.66578247336796</v>
      </c>
      <c r="AV90">
        <f t="shared" si="228"/>
        <v>14.707251961985103</v>
      </c>
      <c r="AW90">
        <f t="shared" si="228"/>
        <v>14.748721450602245</v>
      </c>
      <c r="AX90">
        <f t="shared" si="228"/>
        <v>14.790190939219388</v>
      </c>
      <c r="AY90">
        <f t="shared" si="228"/>
        <v>14.83166042783653</v>
      </c>
      <c r="AZ90">
        <f t="shared" si="228"/>
        <v>14.873129916453673</v>
      </c>
      <c r="BA90">
        <f t="shared" si="228"/>
        <v>14.914599405070815</v>
      </c>
      <c r="BB90" s="868">
        <f>'AEO Data'!$B$30*AM90</f>
        <v>14.956068893687954</v>
      </c>
      <c r="BC90">
        <f t="shared" si="224"/>
        <v>15.077935891497892</v>
      </c>
      <c r="BD90">
        <f t="shared" si="224"/>
        <v>15.199802889307831</v>
      </c>
      <c r="BE90">
        <f t="shared" si="224"/>
        <v>15.321669887117769</v>
      </c>
      <c r="BF90">
        <f t="shared" si="224"/>
        <v>15.443536884927708</v>
      </c>
      <c r="BG90">
        <f t="shared" si="224"/>
        <v>15.565403882737646</v>
      </c>
      <c r="BH90">
        <f t="shared" si="224"/>
        <v>15.687270880547585</v>
      </c>
      <c r="BI90">
        <f t="shared" si="224"/>
        <v>15.809137878357523</v>
      </c>
      <c r="BJ90">
        <f t="shared" si="224"/>
        <v>15.931004876167462</v>
      </c>
      <c r="BK90">
        <f t="shared" si="224"/>
        <v>16.052871873977402</v>
      </c>
      <c r="BL90">
        <f t="shared" si="224"/>
        <v>16.174738871787341</v>
      </c>
      <c r="BM90">
        <f t="shared" si="224"/>
        <v>16.296605869597279</v>
      </c>
      <c r="BN90">
        <f t="shared" si="224"/>
        <v>16.418472867407218</v>
      </c>
      <c r="BO90">
        <f t="shared" si="224"/>
        <v>16.540339865217156</v>
      </c>
      <c r="BP90">
        <f t="shared" si="224"/>
        <v>16.662206863027095</v>
      </c>
      <c r="BQ90" s="868">
        <f>'AEO Data'!$C$30*BB90</f>
        <v>16.784073860837033</v>
      </c>
      <c r="BR90">
        <f t="shared" si="225"/>
        <v>16.880009434991543</v>
      </c>
      <c r="BS90">
        <f t="shared" si="225"/>
        <v>16.975945009146052</v>
      </c>
      <c r="BT90">
        <f t="shared" si="225"/>
        <v>17.071880583300562</v>
      </c>
      <c r="BU90">
        <f t="shared" si="225"/>
        <v>17.167816157455071</v>
      </c>
      <c r="BV90" s="889">
        <f>'AEO Data'!$D$30*BQ90</f>
        <v>17.263751731609581</v>
      </c>
      <c r="BW90" s="1298">
        <f>+BV90*BW$134/BV$134</f>
        <v>17.321072463598775</v>
      </c>
      <c r="BX90" s="1298">
        <f t="shared" ref="BX90:CZ90" si="229">+BW90*BX$134/BW$134</f>
        <v>17.378583517272784</v>
      </c>
      <c r="BY90" s="1298">
        <f t="shared" si="229"/>
        <v>17.436285524555561</v>
      </c>
      <c r="BZ90" s="1298">
        <f t="shared" si="229"/>
        <v>17.494179119469241</v>
      </c>
      <c r="CA90" s="1298">
        <f t="shared" si="229"/>
        <v>17.552264938141089</v>
      </c>
      <c r="CB90" s="1298">
        <f t="shared" si="229"/>
        <v>17.589720211982893</v>
      </c>
      <c r="CC90" s="1298">
        <f t="shared" si="229"/>
        <v>17.627255412691312</v>
      </c>
      <c r="CD90" s="1298">
        <f t="shared" si="229"/>
        <v>17.664870710824552</v>
      </c>
      <c r="CE90" s="1298">
        <f t="shared" si="229"/>
        <v>17.702566277304761</v>
      </c>
      <c r="CF90" s="1298">
        <f t="shared" si="229"/>
        <v>17.740342283418837</v>
      </c>
      <c r="CG90" s="1298">
        <f t="shared" si="229"/>
        <v>17.752607912975723</v>
      </c>
      <c r="CH90" s="1298">
        <f t="shared" si="229"/>
        <v>17.764882022959085</v>
      </c>
      <c r="CI90" s="1298">
        <f t="shared" si="229"/>
        <v>17.77716461923227</v>
      </c>
      <c r="CJ90" s="1298">
        <f t="shared" si="229"/>
        <v>17.789455707662682</v>
      </c>
      <c r="CK90" s="1298">
        <f t="shared" si="229"/>
        <v>17.801755294121772</v>
      </c>
      <c r="CL90" s="1298">
        <f t="shared" si="229"/>
        <v>17.805924307948906</v>
      </c>
      <c r="CM90" s="1298">
        <f t="shared" si="229"/>
        <v>17.810094298122248</v>
      </c>
      <c r="CN90" s="1298">
        <f t="shared" si="229"/>
        <v>17.81426526487045</v>
      </c>
      <c r="CO90" s="1298">
        <f t="shared" si="229"/>
        <v>17.818437208422218</v>
      </c>
      <c r="CP90" s="1298">
        <f t="shared" si="229"/>
        <v>17.822610129006311</v>
      </c>
      <c r="CQ90" s="1298">
        <f t="shared" si="229"/>
        <v>17.828934590801964</v>
      </c>
      <c r="CR90" s="1298">
        <f t="shared" si="229"/>
        <v>17.835261296871419</v>
      </c>
      <c r="CS90" s="1298">
        <f t="shared" si="229"/>
        <v>17.84159024801107</v>
      </c>
      <c r="CT90" s="1298">
        <f t="shared" si="229"/>
        <v>17.847921445017597</v>
      </c>
      <c r="CU90" s="1298">
        <f t="shared" si="229"/>
        <v>17.854254888687954</v>
      </c>
      <c r="CV90" s="1298">
        <f t="shared" si="229"/>
        <v>17.864002085310659</v>
      </c>
      <c r="CW90" s="1298">
        <f t="shared" si="229"/>
        <v>17.873754603233113</v>
      </c>
      <c r="CX90" s="1298">
        <f t="shared" si="229"/>
        <v>17.883512445360374</v>
      </c>
      <c r="CY90" s="1298">
        <f t="shared" si="229"/>
        <v>17.893275614599098</v>
      </c>
      <c r="CZ90" s="1298">
        <f t="shared" si="229"/>
        <v>17.903044113857518</v>
      </c>
    </row>
    <row r="91" spans="1:104">
      <c r="A91" s="810" t="str">
        <f>'HyARC Physical Property Data'!A72</f>
        <v>Industrial Natural Gas</v>
      </c>
      <c r="B91">
        <v>2012</v>
      </c>
      <c r="C91" s="811">
        <f t="shared" si="221"/>
        <v>1.0589185747008452</v>
      </c>
      <c r="D91" s="1169" t="str">
        <f>'HyARC Physical Property Data'!H72</f>
        <v>mmBtu</v>
      </c>
      <c r="E91" s="811" t="s">
        <v>1054</v>
      </c>
      <c r="F91">
        <f>'HyARC Physical Property Data'!$E$6</f>
        <v>47.141269049911173</v>
      </c>
      <c r="G91">
        <f>'HyARC Physical Property Data'!$I$6</f>
        <v>52.224661236371581</v>
      </c>
      <c r="H91" s="986">
        <v>7.3783194821098821</v>
      </c>
      <c r="I91" s="986">
        <v>7.3783194821098821</v>
      </c>
      <c r="J91" s="986">
        <v>7.3783194821098821</v>
      </c>
      <c r="K91" s="986">
        <v>7.3783194821098821</v>
      </c>
      <c r="L91" s="986">
        <v>8.8676108815331158</v>
      </c>
      <c r="M91" s="986">
        <v>4.0882509003775072</v>
      </c>
      <c r="N91" s="986">
        <v>4.7404242582948717</v>
      </c>
      <c r="O91">
        <f t="shared" ref="O91:AR91" si="230">O108*($C91/mmBTU_to_GJ*$G91/$F91)</f>
        <v>5.6639494209981782</v>
      </c>
      <c r="P91">
        <f t="shared" si="230"/>
        <v>4.1936228360778802</v>
      </c>
      <c r="Q91">
        <f t="shared" si="230"/>
        <v>5.1091841203909469</v>
      </c>
      <c r="R91">
        <f t="shared" si="230"/>
        <v>5.3368743716159921</v>
      </c>
      <c r="S91">
        <f t="shared" si="230"/>
        <v>5.4922435264745477</v>
      </c>
      <c r="T91">
        <f t="shared" si="230"/>
        <v>5.7249186404765142</v>
      </c>
      <c r="U91">
        <f t="shared" si="230"/>
        <v>6.0332162243860541</v>
      </c>
      <c r="V91">
        <f t="shared" si="230"/>
        <v>6.5003155465564157</v>
      </c>
      <c r="W91">
        <f t="shared" si="230"/>
        <v>6.6134284544266668</v>
      </c>
      <c r="X91">
        <f t="shared" si="230"/>
        <v>6.4407629487996489</v>
      </c>
      <c r="Y91">
        <f t="shared" si="230"/>
        <v>6.5991877366965674</v>
      </c>
      <c r="Z91">
        <f t="shared" si="230"/>
        <v>6.6211298061092361</v>
      </c>
      <c r="AA91">
        <f t="shared" si="230"/>
        <v>6.729798257918957</v>
      </c>
      <c r="AB91">
        <f t="shared" si="230"/>
        <v>6.9245136919123249</v>
      </c>
      <c r="AC91">
        <f t="shared" si="230"/>
        <v>7.0285708954650996</v>
      </c>
      <c r="AD91">
        <f t="shared" si="230"/>
        <v>7.0676625385133827</v>
      </c>
      <c r="AE91">
        <f t="shared" si="230"/>
        <v>7.1490882649082979</v>
      </c>
      <c r="AF91">
        <f t="shared" si="230"/>
        <v>7.2626859820961345</v>
      </c>
      <c r="AG91">
        <f t="shared" si="230"/>
        <v>7.4897713336221727</v>
      </c>
      <c r="AH91">
        <f t="shared" si="230"/>
        <v>7.7715211596019786</v>
      </c>
      <c r="AI91">
        <f t="shared" si="230"/>
        <v>7.8991127420692164</v>
      </c>
      <c r="AJ91">
        <f t="shared" si="230"/>
        <v>8.0328945389194857</v>
      </c>
      <c r="AK91">
        <f t="shared" si="230"/>
        <v>8.2510220375499461</v>
      </c>
      <c r="AL91">
        <f t="shared" si="230"/>
        <v>8.4203839457399265</v>
      </c>
      <c r="AM91">
        <f t="shared" si="230"/>
        <v>8.6260409478182627</v>
      </c>
      <c r="AN91">
        <f t="shared" si="230"/>
        <v>8.9436310809641917</v>
      </c>
      <c r="AO91">
        <f t="shared" si="230"/>
        <v>9.0003437635899601</v>
      </c>
      <c r="AP91">
        <f t="shared" si="230"/>
        <v>9.040412808909247</v>
      </c>
      <c r="AQ91">
        <f t="shared" si="230"/>
        <v>9.2706004952886456</v>
      </c>
      <c r="AR91">
        <f t="shared" si="230"/>
        <v>9.5554192976825281</v>
      </c>
      <c r="AS91">
        <f t="shared" ref="AS91:BA91" si="231">($BB91-$AR91)/10+AR91</f>
        <v>9.5705034586117605</v>
      </c>
      <c r="AT91">
        <f t="shared" si="231"/>
        <v>9.585587619540993</v>
      </c>
      <c r="AU91">
        <f t="shared" si="231"/>
        <v>9.6006717804702255</v>
      </c>
      <c r="AV91">
        <f t="shared" si="231"/>
        <v>9.615755941399458</v>
      </c>
      <c r="AW91">
        <f t="shared" si="231"/>
        <v>9.6308401023286905</v>
      </c>
      <c r="AX91">
        <f t="shared" si="231"/>
        <v>9.645924263257923</v>
      </c>
      <c r="AY91">
        <f t="shared" si="231"/>
        <v>9.6610084241871554</v>
      </c>
      <c r="AZ91">
        <f t="shared" si="231"/>
        <v>9.6760925851163879</v>
      </c>
      <c r="BA91">
        <f t="shared" si="231"/>
        <v>9.6911767460456204</v>
      </c>
      <c r="BB91" s="868">
        <f>'AEO Data'!$B$30*AM91</f>
        <v>9.7062609069748458</v>
      </c>
      <c r="BC91">
        <f t="shared" si="224"/>
        <v>9.7853507323227493</v>
      </c>
      <c r="BD91">
        <f t="shared" si="224"/>
        <v>9.8644405576706529</v>
      </c>
      <c r="BE91">
        <f t="shared" si="224"/>
        <v>9.9435303830185564</v>
      </c>
      <c r="BF91">
        <f t="shared" si="224"/>
        <v>10.02262020836646</v>
      </c>
      <c r="BG91">
        <f t="shared" si="224"/>
        <v>10.101710033714363</v>
      </c>
      <c r="BH91">
        <f t="shared" si="224"/>
        <v>10.180799859062267</v>
      </c>
      <c r="BI91">
        <f t="shared" si="224"/>
        <v>10.259889684410171</v>
      </c>
      <c r="BJ91">
        <f t="shared" si="224"/>
        <v>10.338979509758074</v>
      </c>
      <c r="BK91">
        <f t="shared" si="224"/>
        <v>10.418069335105978</v>
      </c>
      <c r="BL91">
        <f t="shared" si="224"/>
        <v>10.497159160453881</v>
      </c>
      <c r="BM91">
        <f t="shared" si="224"/>
        <v>10.576248985801785</v>
      </c>
      <c r="BN91">
        <f t="shared" si="224"/>
        <v>10.655338811149688</v>
      </c>
      <c r="BO91">
        <f t="shared" si="224"/>
        <v>10.734428636497592</v>
      </c>
      <c r="BP91">
        <f t="shared" si="224"/>
        <v>10.813518461845495</v>
      </c>
      <c r="BQ91" s="868">
        <f>'AEO Data'!$C$30*BB91</f>
        <v>10.892608287193402</v>
      </c>
      <c r="BR91">
        <f t="shared" si="225"/>
        <v>10.954869013566299</v>
      </c>
      <c r="BS91">
        <f t="shared" si="225"/>
        <v>11.017129739939195</v>
      </c>
      <c r="BT91">
        <f t="shared" si="225"/>
        <v>11.079390466312091</v>
      </c>
      <c r="BU91">
        <f t="shared" si="225"/>
        <v>11.141651192684987</v>
      </c>
      <c r="BV91" s="889">
        <f>'AEO Data'!$D$30*BQ91</f>
        <v>11.203911919057887</v>
      </c>
      <c r="BW91" s="1298">
        <f>+BV91*BW$135/BV$135</f>
        <v>11.241112201031763</v>
      </c>
      <c r="BX91" s="1298">
        <f t="shared" ref="BX91:CZ91" si="232">+BW91*BX$135/BW$135</f>
        <v>11.278435998880177</v>
      </c>
      <c r="BY91" s="1298">
        <f t="shared" si="232"/>
        <v>11.315883722712151</v>
      </c>
      <c r="BZ91" s="1298">
        <f t="shared" si="232"/>
        <v>11.35345578399839</v>
      </c>
      <c r="CA91" s="1298">
        <f t="shared" si="232"/>
        <v>11.391152595575804</v>
      </c>
      <c r="CB91" s="1298">
        <f t="shared" si="232"/>
        <v>11.415460497794959</v>
      </c>
      <c r="CC91" s="1298">
        <f t="shared" si="232"/>
        <v>11.439820271333133</v>
      </c>
      <c r="CD91" s="1298">
        <f t="shared" si="232"/>
        <v>11.464232026880003</v>
      </c>
      <c r="CE91" s="1298">
        <f t="shared" si="232"/>
        <v>11.488695875361442</v>
      </c>
      <c r="CF91" s="1298">
        <f t="shared" si="232"/>
        <v>11.513211927940032</v>
      </c>
      <c r="CG91" s="1298">
        <f t="shared" si="232"/>
        <v>11.521172134697148</v>
      </c>
      <c r="CH91" s="1298">
        <f t="shared" si="232"/>
        <v>11.529137845121877</v>
      </c>
      <c r="CI91" s="1298">
        <f t="shared" si="232"/>
        <v>11.537109063019443</v>
      </c>
      <c r="CJ91" s="1298">
        <f t="shared" si="232"/>
        <v>11.545085792197696</v>
      </c>
      <c r="CK91" s="1298">
        <f t="shared" si="232"/>
        <v>11.553068036467128</v>
      </c>
      <c r="CL91" s="1298">
        <f t="shared" si="232"/>
        <v>11.55577366294014</v>
      </c>
      <c r="CM91" s="1298">
        <f t="shared" si="232"/>
        <v>11.558479923046971</v>
      </c>
      <c r="CN91" s="1298">
        <f t="shared" si="232"/>
        <v>11.56118681693601</v>
      </c>
      <c r="CO91" s="1298">
        <f t="shared" si="232"/>
        <v>11.563894344755685</v>
      </c>
      <c r="CP91" s="1298">
        <f t="shared" si="232"/>
        <v>11.566602506654455</v>
      </c>
      <c r="CQ91" s="1298">
        <f t="shared" si="232"/>
        <v>11.570706986028089</v>
      </c>
      <c r="CR91" s="1298">
        <f t="shared" si="232"/>
        <v>11.574812921901238</v>
      </c>
      <c r="CS91" s="1298">
        <f t="shared" si="232"/>
        <v>11.578920314790748</v>
      </c>
      <c r="CT91" s="1298">
        <f t="shared" si="232"/>
        <v>11.583029165213651</v>
      </c>
      <c r="CU91" s="1298">
        <f t="shared" si="232"/>
        <v>11.587139473687161</v>
      </c>
      <c r="CV91" s="1298">
        <f t="shared" si="232"/>
        <v>11.593465255829788</v>
      </c>
      <c r="CW91" s="1298">
        <f t="shared" si="232"/>
        <v>11.599794491414899</v>
      </c>
      <c r="CX91" s="1298">
        <f t="shared" si="232"/>
        <v>11.606127182327835</v>
      </c>
      <c r="CY91" s="1298">
        <f t="shared" si="232"/>
        <v>11.612463330454966</v>
      </c>
      <c r="CZ91" s="1298">
        <f t="shared" si="232"/>
        <v>11.618802937683697</v>
      </c>
    </row>
    <row r="92" spans="1:104">
      <c r="A92" s="810" t="str">
        <f>'HyARC Physical Property Data'!A74</f>
        <v>Electric Utility Natural Gas</v>
      </c>
      <c r="B92">
        <v>2012</v>
      </c>
      <c r="C92" s="811">
        <f t="shared" si="221"/>
        <v>1.0589185747008452</v>
      </c>
      <c r="D92" s="1169" t="str">
        <f>'HyARC Physical Property Data'!H74</f>
        <v>mmBtu</v>
      </c>
      <c r="E92" s="811" t="s">
        <v>1054</v>
      </c>
      <c r="F92">
        <f>'HyARC Physical Property Data'!$E$6</f>
        <v>47.141269049911173</v>
      </c>
      <c r="G92">
        <f>'HyARC Physical Property Data'!$I$6</f>
        <v>52.224661236371581</v>
      </c>
      <c r="H92" s="986">
        <v>7.0668336992239764</v>
      </c>
      <c r="I92" s="986">
        <v>7.0668336992239764</v>
      </c>
      <c r="J92" s="986">
        <v>7.0668336992239764</v>
      </c>
      <c r="K92" s="986">
        <v>7.0668336992239764</v>
      </c>
      <c r="L92" s="986">
        <v>8.8481430201027482</v>
      </c>
      <c r="M92" s="986">
        <v>4.0298473160863999</v>
      </c>
      <c r="N92" s="986">
        <v>4.7209563968645023</v>
      </c>
      <c r="O92">
        <f t="shared" ref="O92:AR92" si="233">O109*($C92/mmBTU_to_GJ*$G92/$F92)</f>
        <v>5.428419936541526</v>
      </c>
      <c r="P92">
        <f t="shared" si="233"/>
        <v>3.8227359244888057</v>
      </c>
      <c r="Q92">
        <f t="shared" si="233"/>
        <v>4.804318007935696</v>
      </c>
      <c r="R92">
        <f t="shared" si="233"/>
        <v>4.9697558517179701</v>
      </c>
      <c r="S92">
        <f t="shared" si="233"/>
        <v>4.9242593883272674</v>
      </c>
      <c r="T92">
        <f t="shared" si="233"/>
        <v>4.9757470274132745</v>
      </c>
      <c r="U92">
        <f t="shared" si="233"/>
        <v>5.2156664824796266</v>
      </c>
      <c r="V92">
        <f t="shared" si="233"/>
        <v>5.6287951857333169</v>
      </c>
      <c r="W92">
        <f t="shared" si="233"/>
        <v>5.7592455864471468</v>
      </c>
      <c r="X92">
        <f t="shared" si="233"/>
        <v>5.6424810414233342</v>
      </c>
      <c r="Y92">
        <f t="shared" si="233"/>
        <v>5.8292060172603444</v>
      </c>
      <c r="Z92">
        <f t="shared" si="233"/>
        <v>5.8870328717581808</v>
      </c>
      <c r="AA92">
        <f t="shared" si="233"/>
        <v>6.0268258593673236</v>
      </c>
      <c r="AB92">
        <f t="shared" si="233"/>
        <v>6.2516128144267338</v>
      </c>
      <c r="AC92">
        <f t="shared" si="233"/>
        <v>6.4022817651902537</v>
      </c>
      <c r="AD92">
        <f t="shared" si="233"/>
        <v>6.4648666450778842</v>
      </c>
      <c r="AE92">
        <f t="shared" si="233"/>
        <v>6.5662751885515531</v>
      </c>
      <c r="AF92">
        <f t="shared" si="233"/>
        <v>6.7024543452383245</v>
      </c>
      <c r="AG92">
        <f t="shared" si="233"/>
        <v>6.9426740262582278</v>
      </c>
      <c r="AH92">
        <f t="shared" si="233"/>
        <v>7.2203541226454542</v>
      </c>
      <c r="AI92">
        <f t="shared" si="233"/>
        <v>7.3578387062561834</v>
      </c>
      <c r="AJ92">
        <f t="shared" si="233"/>
        <v>7.4795914499008447</v>
      </c>
      <c r="AK92">
        <f t="shared" si="233"/>
        <v>7.7064221653403528</v>
      </c>
      <c r="AL92">
        <f t="shared" si="233"/>
        <v>7.8847308069461519</v>
      </c>
      <c r="AM92">
        <f t="shared" si="233"/>
        <v>8.102560303519013</v>
      </c>
      <c r="AN92">
        <f t="shared" si="233"/>
        <v>8.418335737567924</v>
      </c>
      <c r="AO92">
        <f t="shared" si="233"/>
        <v>8.4846512029154173</v>
      </c>
      <c r="AP92">
        <f t="shared" si="233"/>
        <v>8.5378634733123793</v>
      </c>
      <c r="AQ92">
        <f t="shared" si="233"/>
        <v>8.7815535439657371</v>
      </c>
      <c r="AR92">
        <f t="shared" si="233"/>
        <v>9.0721244532400576</v>
      </c>
      <c r="AS92">
        <f t="shared" ref="AS92:BA92" si="234">($BB92-$AR92)/10+AR92</f>
        <v>9.0766346022812474</v>
      </c>
      <c r="AT92">
        <f t="shared" si="234"/>
        <v>9.0811447513224373</v>
      </c>
      <c r="AU92">
        <f t="shared" si="234"/>
        <v>9.0856549003636271</v>
      </c>
      <c r="AV92">
        <f t="shared" si="234"/>
        <v>9.090165049404817</v>
      </c>
      <c r="AW92">
        <f t="shared" si="234"/>
        <v>9.0946751984460068</v>
      </c>
      <c r="AX92">
        <f t="shared" si="234"/>
        <v>9.0991853474871967</v>
      </c>
      <c r="AY92">
        <f t="shared" si="234"/>
        <v>9.1036954965283865</v>
      </c>
      <c r="AZ92">
        <f t="shared" si="234"/>
        <v>9.1082056455695763</v>
      </c>
      <c r="BA92">
        <f t="shared" si="234"/>
        <v>9.1127157946107662</v>
      </c>
      <c r="BB92" s="868">
        <f>'AEO Data'!$B$30*AM92</f>
        <v>9.1172259436519631</v>
      </c>
      <c r="BC92">
        <f t="shared" si="224"/>
        <v>9.1915161172266959</v>
      </c>
      <c r="BD92">
        <f t="shared" si="224"/>
        <v>9.2658062908014287</v>
      </c>
      <c r="BE92">
        <f t="shared" si="224"/>
        <v>9.3400964643761615</v>
      </c>
      <c r="BF92">
        <f t="shared" si="224"/>
        <v>9.4143866379508943</v>
      </c>
      <c r="BG92">
        <f t="shared" si="224"/>
        <v>9.488676811525627</v>
      </c>
      <c r="BH92">
        <f t="shared" si="224"/>
        <v>9.5629669851003598</v>
      </c>
      <c r="BI92">
        <f t="shared" si="224"/>
        <v>9.6372571586750926</v>
      </c>
      <c r="BJ92">
        <f t="shared" si="224"/>
        <v>9.7115473322498254</v>
      </c>
      <c r="BK92">
        <f t="shared" si="224"/>
        <v>9.7858375058245581</v>
      </c>
      <c r="BL92">
        <f t="shared" si="224"/>
        <v>9.8601276793992909</v>
      </c>
      <c r="BM92">
        <f t="shared" si="224"/>
        <v>9.9344178529740237</v>
      </c>
      <c r="BN92">
        <f t="shared" si="224"/>
        <v>10.008708026548756</v>
      </c>
      <c r="BO92">
        <f t="shared" si="224"/>
        <v>10.082998200123489</v>
      </c>
      <c r="BP92">
        <f t="shared" si="224"/>
        <v>10.157288373698222</v>
      </c>
      <c r="BQ92" s="868">
        <f>'AEO Data'!$C$30*BB92</f>
        <v>10.231578547272965</v>
      </c>
      <c r="BR92">
        <f t="shared" si="225"/>
        <v>10.2900609139843</v>
      </c>
      <c r="BS92">
        <f t="shared" si="225"/>
        <v>10.348543280695635</v>
      </c>
      <c r="BT92">
        <f t="shared" si="225"/>
        <v>10.40702564740697</v>
      </c>
      <c r="BU92">
        <f t="shared" si="225"/>
        <v>10.465508014118305</v>
      </c>
      <c r="BV92" s="889">
        <f>'AEO Data'!$D$30*BQ92</f>
        <v>10.523990380829638</v>
      </c>
      <c r="BW92" s="1298">
        <f>+BV92*BW$136/BV$136</f>
        <v>10.558933123372203</v>
      </c>
      <c r="BX92" s="1298">
        <f t="shared" ref="BX92:CZ92" si="235">+BW92*BX$136/BW$136</f>
        <v>10.593991886094585</v>
      </c>
      <c r="BY92" s="1298">
        <f t="shared" si="235"/>
        <v>10.6291670542179</v>
      </c>
      <c r="BZ92" s="1298">
        <f t="shared" si="235"/>
        <v>10.664459014242302</v>
      </c>
      <c r="CA92" s="1298">
        <f t="shared" si="235"/>
        <v>10.699868153951249</v>
      </c>
      <c r="CB92" s="1298">
        <f t="shared" si="235"/>
        <v>10.722700904777984</v>
      </c>
      <c r="CC92" s="1298">
        <f t="shared" si="235"/>
        <v>10.745582379056525</v>
      </c>
      <c r="CD92" s="1298">
        <f t="shared" si="235"/>
        <v>10.768512680759219</v>
      </c>
      <c r="CE92" s="1298">
        <f t="shared" si="235"/>
        <v>10.791491914080288</v>
      </c>
      <c r="CF92" s="1298">
        <f t="shared" si="235"/>
        <v>10.814520183436294</v>
      </c>
      <c r="CG92" s="1298">
        <f t="shared" si="235"/>
        <v>10.82199731641864</v>
      </c>
      <c r="CH92" s="1298">
        <f t="shared" si="235"/>
        <v>10.829479619072567</v>
      </c>
      <c r="CI92" s="1298">
        <f t="shared" si="235"/>
        <v>10.836967094972369</v>
      </c>
      <c r="CJ92" s="1298">
        <f t="shared" si="235"/>
        <v>10.84445974769482</v>
      </c>
      <c r="CK92" s="1298">
        <f t="shared" si="235"/>
        <v>10.851957580819162</v>
      </c>
      <c r="CL92" s="1298">
        <f t="shared" si="235"/>
        <v>10.854499013417151</v>
      </c>
      <c r="CM92" s="1298">
        <f t="shared" si="235"/>
        <v>10.857041041196203</v>
      </c>
      <c r="CN92" s="1298">
        <f t="shared" si="235"/>
        <v>10.859583664295704</v>
      </c>
      <c r="CO92" s="1298">
        <f t="shared" si="235"/>
        <v>10.862126882855071</v>
      </c>
      <c r="CP92" s="1298">
        <f t="shared" si="235"/>
        <v>10.864670697013759</v>
      </c>
      <c r="CQ92" s="1298">
        <f t="shared" si="235"/>
        <v>10.868526091607942</v>
      </c>
      <c r="CR92" s="1298">
        <f t="shared" si="235"/>
        <v>10.872382854312388</v>
      </c>
      <c r="CS92" s="1298">
        <f t="shared" si="235"/>
        <v>10.876240985612579</v>
      </c>
      <c r="CT92" s="1298">
        <f t="shared" si="235"/>
        <v>10.88010048599417</v>
      </c>
      <c r="CU92" s="1298">
        <f t="shared" si="235"/>
        <v>10.883961355942985</v>
      </c>
      <c r="CV92" s="1298">
        <f t="shared" si="235"/>
        <v>10.889903251140053</v>
      </c>
      <c r="CW92" s="1298">
        <f t="shared" si="235"/>
        <v>10.895848390203703</v>
      </c>
      <c r="CX92" s="1298">
        <f t="shared" si="235"/>
        <v>10.901796774904867</v>
      </c>
      <c r="CY92" s="1298">
        <f t="shared" si="235"/>
        <v>10.907748407015436</v>
      </c>
      <c r="CZ92" s="1298">
        <f t="shared" si="235"/>
        <v>10.913703288308273</v>
      </c>
    </row>
    <row r="93" spans="1:104">
      <c r="A93" s="810" t="str">
        <f>'HyARC Physical Property Data'!A75</f>
        <v>Bio Methane</v>
      </c>
      <c r="B93">
        <v>2007</v>
      </c>
      <c r="C93" s="811">
        <f t="shared" si="221"/>
        <v>1.1446359956438654</v>
      </c>
      <c r="D93" s="1169" t="str">
        <f>'HyARC Physical Property Data'!H75</f>
        <v>mmBtu</v>
      </c>
      <c r="E93" s="811" t="s">
        <v>1054</v>
      </c>
      <c r="F93">
        <f>'HyARC Physical Property Data'!$E$6</f>
        <v>47.141269049911173</v>
      </c>
      <c r="G93">
        <f>'HyARC Physical Property Data'!$I$6</f>
        <v>52.224661236371581</v>
      </c>
      <c r="H93" s="986">
        <v>12.42654028436019</v>
      </c>
      <c r="I93" s="986">
        <v>12.42654028436019</v>
      </c>
      <c r="J93" s="986">
        <v>12.42654028436019</v>
      </c>
      <c r="K93" s="986">
        <v>12.42654028436019</v>
      </c>
      <c r="L93" s="986">
        <v>12.42654028436019</v>
      </c>
      <c r="M93" s="986">
        <v>12.42654028436019</v>
      </c>
      <c r="N93" s="986">
        <v>12.42654028436019</v>
      </c>
      <c r="O93">
        <f t="shared" ref="O93:AM93" si="236">13.11*($C$93/mmBTU_to_GJ)</f>
        <v>14.223865310797228</v>
      </c>
      <c r="P93">
        <f t="shared" si="236"/>
        <v>14.223865310797228</v>
      </c>
      <c r="Q93">
        <f t="shared" si="236"/>
        <v>14.223865310797228</v>
      </c>
      <c r="R93">
        <f t="shared" si="236"/>
        <v>14.223865310797228</v>
      </c>
      <c r="S93">
        <f t="shared" si="236"/>
        <v>14.223865310797228</v>
      </c>
      <c r="T93">
        <f t="shared" si="236"/>
        <v>14.223865310797228</v>
      </c>
      <c r="U93">
        <f t="shared" si="236"/>
        <v>14.223865310797228</v>
      </c>
      <c r="V93">
        <f t="shared" si="236"/>
        <v>14.223865310797228</v>
      </c>
      <c r="W93">
        <f t="shared" si="236"/>
        <v>14.223865310797228</v>
      </c>
      <c r="X93">
        <f t="shared" si="236"/>
        <v>14.223865310797228</v>
      </c>
      <c r="Y93">
        <f t="shared" si="236"/>
        <v>14.223865310797228</v>
      </c>
      <c r="Z93">
        <f t="shared" si="236"/>
        <v>14.223865310797228</v>
      </c>
      <c r="AA93">
        <f t="shared" si="236"/>
        <v>14.223865310797228</v>
      </c>
      <c r="AB93">
        <f t="shared" si="236"/>
        <v>14.223865310797228</v>
      </c>
      <c r="AC93">
        <f t="shared" si="236"/>
        <v>14.223865310797228</v>
      </c>
      <c r="AD93">
        <f t="shared" si="236"/>
        <v>14.223865310797228</v>
      </c>
      <c r="AE93">
        <f t="shared" si="236"/>
        <v>14.223865310797228</v>
      </c>
      <c r="AF93">
        <f t="shared" si="236"/>
        <v>14.223865310797228</v>
      </c>
      <c r="AG93">
        <f t="shared" si="236"/>
        <v>14.223865310797228</v>
      </c>
      <c r="AH93">
        <f t="shared" si="236"/>
        <v>14.223865310797228</v>
      </c>
      <c r="AI93">
        <f t="shared" si="236"/>
        <v>14.223865310797228</v>
      </c>
      <c r="AJ93">
        <f t="shared" si="236"/>
        <v>14.223865310797228</v>
      </c>
      <c r="AK93">
        <f t="shared" si="236"/>
        <v>14.223865310797228</v>
      </c>
      <c r="AL93">
        <f t="shared" si="236"/>
        <v>14.223865310797228</v>
      </c>
      <c r="AM93">
        <f t="shared" si="236"/>
        <v>14.223865310797228</v>
      </c>
      <c r="AN93">
        <f t="shared" ref="AN93:BV93" si="237">13.11*($C$93/mmBTU_to_GJ)</f>
        <v>14.223865310797228</v>
      </c>
      <c r="AO93">
        <f t="shared" si="237"/>
        <v>14.223865310797228</v>
      </c>
      <c r="AP93">
        <f t="shared" si="237"/>
        <v>14.223865310797228</v>
      </c>
      <c r="AQ93">
        <f t="shared" si="237"/>
        <v>14.223865310797228</v>
      </c>
      <c r="AR93">
        <f t="shared" si="237"/>
        <v>14.223865310797228</v>
      </c>
      <c r="AS93">
        <f t="shared" si="237"/>
        <v>14.223865310797228</v>
      </c>
      <c r="AT93">
        <f t="shared" si="237"/>
        <v>14.223865310797228</v>
      </c>
      <c r="AU93">
        <f t="shared" si="237"/>
        <v>14.223865310797228</v>
      </c>
      <c r="AV93">
        <f t="shared" si="237"/>
        <v>14.223865310797228</v>
      </c>
      <c r="AW93">
        <f t="shared" si="237"/>
        <v>14.223865310797228</v>
      </c>
      <c r="AX93">
        <f t="shared" si="237"/>
        <v>14.223865310797228</v>
      </c>
      <c r="AY93">
        <f t="shared" si="237"/>
        <v>14.223865310797228</v>
      </c>
      <c r="AZ93">
        <f t="shared" si="237"/>
        <v>14.223865310797228</v>
      </c>
      <c r="BA93">
        <f t="shared" si="237"/>
        <v>14.223865310797228</v>
      </c>
      <c r="BB93">
        <f t="shared" si="237"/>
        <v>14.223865310797228</v>
      </c>
      <c r="BC93">
        <f t="shared" si="237"/>
        <v>14.223865310797228</v>
      </c>
      <c r="BD93">
        <f t="shared" si="237"/>
        <v>14.223865310797228</v>
      </c>
      <c r="BE93">
        <f t="shared" si="237"/>
        <v>14.223865310797228</v>
      </c>
      <c r="BF93">
        <f t="shared" si="237"/>
        <v>14.223865310797228</v>
      </c>
      <c r="BG93">
        <f t="shared" si="237"/>
        <v>14.223865310797228</v>
      </c>
      <c r="BH93">
        <f t="shared" si="237"/>
        <v>14.223865310797228</v>
      </c>
      <c r="BI93">
        <f t="shared" si="237"/>
        <v>14.223865310797228</v>
      </c>
      <c r="BJ93">
        <f t="shared" si="237"/>
        <v>14.223865310797228</v>
      </c>
      <c r="BK93">
        <f t="shared" si="237"/>
        <v>14.223865310797228</v>
      </c>
      <c r="BL93">
        <f t="shared" si="237"/>
        <v>14.223865310797228</v>
      </c>
      <c r="BM93">
        <f t="shared" si="237"/>
        <v>14.223865310797228</v>
      </c>
      <c r="BN93">
        <f t="shared" si="237"/>
        <v>14.223865310797228</v>
      </c>
      <c r="BO93">
        <f t="shared" si="237"/>
        <v>14.223865310797228</v>
      </c>
      <c r="BP93">
        <f t="shared" si="237"/>
        <v>14.223865310797228</v>
      </c>
      <c r="BQ93">
        <f t="shared" si="237"/>
        <v>14.223865310797228</v>
      </c>
      <c r="BR93">
        <f t="shared" si="237"/>
        <v>14.223865310797228</v>
      </c>
      <c r="BS93">
        <f t="shared" si="237"/>
        <v>14.223865310797228</v>
      </c>
      <c r="BT93">
        <f t="shared" si="237"/>
        <v>14.223865310797228</v>
      </c>
      <c r="BU93">
        <f t="shared" si="237"/>
        <v>14.223865310797228</v>
      </c>
      <c r="BV93" s="658">
        <f t="shared" si="237"/>
        <v>14.223865310797228</v>
      </c>
      <c r="BW93" s="1298">
        <f>+BV93*BW$136/BV$136</f>
        <v>14.271092726019944</v>
      </c>
      <c r="BX93" s="1298">
        <f t="shared" ref="BX93:CZ93" si="238">+BW93*BX$136/BW$136</f>
        <v>14.318476950147966</v>
      </c>
      <c r="BY93" s="1298">
        <f t="shared" si="238"/>
        <v>14.366018503832969</v>
      </c>
      <c r="BZ93" s="1298">
        <f t="shared" si="238"/>
        <v>14.413717909455341</v>
      </c>
      <c r="CA93" s="1298">
        <f t="shared" si="238"/>
        <v>14.461575691129934</v>
      </c>
      <c r="CB93" s="1298">
        <f t="shared" si="238"/>
        <v>14.49243565590395</v>
      </c>
      <c r="CC93" s="1298">
        <f t="shared" si="238"/>
        <v>14.523361473628309</v>
      </c>
      <c r="CD93" s="1298">
        <f t="shared" si="238"/>
        <v>14.554353284828478</v>
      </c>
      <c r="CE93" s="1298">
        <f t="shared" si="238"/>
        <v>14.585411230329802</v>
      </c>
      <c r="CF93" s="1298">
        <f t="shared" si="238"/>
        <v>14.616535451258134</v>
      </c>
      <c r="CG93" s="1298">
        <f t="shared" si="238"/>
        <v>14.626641288360148</v>
      </c>
      <c r="CH93" s="1298">
        <f t="shared" si="238"/>
        <v>14.636754112613382</v>
      </c>
      <c r="CI93" s="1298">
        <f t="shared" si="238"/>
        <v>14.646873928848736</v>
      </c>
      <c r="CJ93" s="1298">
        <f t="shared" si="238"/>
        <v>14.657000741900452</v>
      </c>
      <c r="CK93" s="1298">
        <f t="shared" si="238"/>
        <v>14.667134556606111</v>
      </c>
      <c r="CL93" s="1298">
        <f t="shared" si="238"/>
        <v>14.670569469948116</v>
      </c>
      <c r="CM93" s="1298">
        <f t="shared" si="238"/>
        <v>14.674005187716483</v>
      </c>
      <c r="CN93" s="1298">
        <f t="shared" si="238"/>
        <v>14.6774417100996</v>
      </c>
      <c r="CO93" s="1298">
        <f t="shared" si="238"/>
        <v>14.6808790372859</v>
      </c>
      <c r="CP93" s="1298">
        <f t="shared" si="238"/>
        <v>14.684317169463862</v>
      </c>
      <c r="CQ93" s="1298">
        <f t="shared" si="238"/>
        <v>14.689527988881515</v>
      </c>
      <c r="CR93" s="1298">
        <f t="shared" si="238"/>
        <v>14.69474065739019</v>
      </c>
      <c r="CS93" s="1298">
        <f t="shared" si="238"/>
        <v>14.699955175646044</v>
      </c>
      <c r="CT93" s="1298">
        <f t="shared" si="238"/>
        <v>14.705171544305472</v>
      </c>
      <c r="CU93" s="1298">
        <f t="shared" si="238"/>
        <v>14.710389764025104</v>
      </c>
      <c r="CV93" s="1298">
        <f t="shared" si="238"/>
        <v>14.718420626266095</v>
      </c>
      <c r="CW93" s="1298">
        <f t="shared" si="238"/>
        <v>14.726455872806168</v>
      </c>
      <c r="CX93" s="1298">
        <f t="shared" si="238"/>
        <v>14.734495506038849</v>
      </c>
      <c r="CY93" s="1298">
        <f t="shared" si="238"/>
        <v>14.74253952835897</v>
      </c>
      <c r="CZ93" s="1298">
        <f t="shared" si="238"/>
        <v>14.750587942162673</v>
      </c>
    </row>
    <row r="94" spans="1:104">
      <c r="A94" s="890" t="str">
        <f>'HyARC Physical Property Data'!A85</f>
        <v>Woody Biomass</v>
      </c>
      <c r="B94">
        <v>2005</v>
      </c>
      <c r="C94" s="811">
        <f t="shared" si="221"/>
        <v>1.2112501494873942</v>
      </c>
      <c r="D94" s="1171" t="str">
        <f>+'HyARC Physical Property Data'!$H$85</f>
        <v>kg</v>
      </c>
      <c r="E94" s="811" t="s">
        <v>1054</v>
      </c>
      <c r="F94">
        <f>'HyARC Physical Property Data'!$E$45</f>
        <v>19.551069237418005</v>
      </c>
      <c r="G94">
        <f>'HyARC Physical Property Data'!$I$45</f>
        <v>20.588656379262464</v>
      </c>
      <c r="H94" s="986">
        <v>1.3438238843289665</v>
      </c>
      <c r="I94" s="986">
        <v>1.3438238843289665</v>
      </c>
      <c r="J94" s="986">
        <v>1.3438238843289665</v>
      </c>
      <c r="K94" s="986">
        <v>1.3438238843289665</v>
      </c>
      <c r="L94" s="986">
        <v>1.3438238843289665</v>
      </c>
      <c r="M94" s="986">
        <v>1.3438238843289665</v>
      </c>
      <c r="N94" s="986">
        <v>1.3438238843289665</v>
      </c>
      <c r="O94">
        <f>1.27*($C$94)</f>
        <v>1.5382876898489906</v>
      </c>
      <c r="P94">
        <f>1.28*($C$94)</f>
        <v>1.5504001913438645</v>
      </c>
      <c r="Q94">
        <f>1.32*($C$94)</f>
        <v>1.5988501973233604</v>
      </c>
      <c r="R94">
        <f>1.32*($C$94)</f>
        <v>1.5988501973233604</v>
      </c>
      <c r="S94">
        <f>1.34*($C$94)</f>
        <v>1.6230752003131084</v>
      </c>
      <c r="T94">
        <f>1.34*($C$94)</f>
        <v>1.6230752003131084</v>
      </c>
      <c r="U94">
        <f>1.36*($C$94)</f>
        <v>1.6473002033028561</v>
      </c>
      <c r="V94">
        <f>1.36*($C$94)</f>
        <v>1.6473002033028561</v>
      </c>
      <c r="W94">
        <f>1.38*($C$94)</f>
        <v>1.6715252062926038</v>
      </c>
      <c r="X94">
        <f>1.4*($C$94)</f>
        <v>1.6957502092823518</v>
      </c>
      <c r="Y94">
        <f>1.46*($C$94)</f>
        <v>1.7684252182515954</v>
      </c>
      <c r="Z94">
        <f>1.48*($C$94)</f>
        <v>1.7926502212413433</v>
      </c>
      <c r="AA94">
        <f>1.48*($C$94)</f>
        <v>1.7926502212413433</v>
      </c>
      <c r="AB94">
        <f>1.51*($C$94)</f>
        <v>1.8289877257259652</v>
      </c>
      <c r="AC94">
        <f>1.52*($C$94)</f>
        <v>1.8411002272208392</v>
      </c>
      <c r="AD94">
        <f>1.62*($C$94)</f>
        <v>1.9622252421695787</v>
      </c>
      <c r="AE94">
        <f>1.72*($C$94)</f>
        <v>2.083350257118318</v>
      </c>
      <c r="AF94">
        <f>1.82*($C$94)</f>
        <v>2.2044752720670573</v>
      </c>
      <c r="AG94">
        <f>1.91*($C$94)</f>
        <v>2.3134877855209228</v>
      </c>
      <c r="AH94">
        <f>2.01*($C$94)</f>
        <v>2.4346128004696621</v>
      </c>
      <c r="AI94">
        <f>2.11*($C$94)</f>
        <v>2.5557378154184014</v>
      </c>
      <c r="AJ94">
        <f>2.2*($C$94)</f>
        <v>2.6647503288722674</v>
      </c>
      <c r="AK94">
        <f>2.3*($C$94)</f>
        <v>2.7858753438210062</v>
      </c>
      <c r="AL94">
        <f>2.4*($C$94)</f>
        <v>2.9070003587697459</v>
      </c>
      <c r="AM94">
        <f>2.5*($C$94)</f>
        <v>3.0281253737184857</v>
      </c>
      <c r="AN94">
        <f>2.57*($C$94)</f>
        <v>3.1129128841826028</v>
      </c>
      <c r="AO94">
        <f>2.64*($C$94)</f>
        <v>3.1977003946467208</v>
      </c>
      <c r="AP94">
        <f>2.71*($C$94)</f>
        <v>3.282487905110838</v>
      </c>
      <c r="AQ94">
        <f>2.78*($C$94)</f>
        <v>3.3672754155749556</v>
      </c>
      <c r="AR94">
        <f>2.85*($C$94)</f>
        <v>3.4520629260390736</v>
      </c>
      <c r="AS94">
        <f>2.92*($C$94)</f>
        <v>3.5368504365031908</v>
      </c>
      <c r="AT94">
        <f>2.99*($C$94)</f>
        <v>3.6216379469673088</v>
      </c>
      <c r="AU94">
        <f>3.07*($C$94)</f>
        <v>3.7185379589263001</v>
      </c>
      <c r="AV94">
        <f>3.14*($C$94)</f>
        <v>3.8033254693904177</v>
      </c>
      <c r="AW94">
        <f>3.21*($C$94)</f>
        <v>3.8881129798545353</v>
      </c>
      <c r="AX94">
        <f>3.28*($C$94)</f>
        <v>3.9729004903186529</v>
      </c>
      <c r="AY94">
        <f>3.35*($C$94)</f>
        <v>4.0576880007827709</v>
      </c>
      <c r="AZ94">
        <f>3.42*($C$94)</f>
        <v>4.1424755112468876</v>
      </c>
      <c r="BA94">
        <f>3.49*($C$94)</f>
        <v>4.2272630217110061</v>
      </c>
      <c r="BB94">
        <f>3.56*($C$94)</f>
        <v>4.3120505321751237</v>
      </c>
      <c r="BC94">
        <f>3.64*($C$94)</f>
        <v>4.4089505441341146</v>
      </c>
      <c r="BD94">
        <f>3.71*($C$94)</f>
        <v>4.4937380545982322</v>
      </c>
      <c r="BE94">
        <f>3.78*($C$94)</f>
        <v>4.5785255650623498</v>
      </c>
      <c r="BF94">
        <f>3.85*($C$94)</f>
        <v>4.6633130755264673</v>
      </c>
      <c r="BG94">
        <f>3.92*($C$94)</f>
        <v>4.7481005859905849</v>
      </c>
      <c r="BH94">
        <f>3.99*($C$94)</f>
        <v>4.8328880964547034</v>
      </c>
      <c r="BI94">
        <f>4.06*($C$94)</f>
        <v>4.9176756069188201</v>
      </c>
      <c r="BJ94">
        <f>4.14*($C$94)</f>
        <v>5.0145756188778119</v>
      </c>
      <c r="BK94">
        <f>4.21*($C$94)</f>
        <v>5.0993631293419295</v>
      </c>
      <c r="BL94">
        <f>4.28*($C$94)</f>
        <v>5.1841506398060471</v>
      </c>
      <c r="BM94">
        <f>4.35*($C$94)</f>
        <v>5.2689381502701647</v>
      </c>
      <c r="BN94">
        <f>4.42*($C$94)</f>
        <v>5.3537256607342822</v>
      </c>
      <c r="BO94">
        <f>4.49*($C$94)</f>
        <v>5.4385131711983998</v>
      </c>
      <c r="BP94">
        <f>4.56*($C$94)</f>
        <v>5.5233006816625174</v>
      </c>
      <c r="BQ94">
        <f>4.63*($C$94)</f>
        <v>5.608088192126635</v>
      </c>
      <c r="BR94">
        <f>4.71*($C$94)</f>
        <v>5.7049882040856268</v>
      </c>
      <c r="BS94">
        <f>4.78*($C$94)</f>
        <v>5.7897757145497444</v>
      </c>
      <c r="BT94">
        <f>4.85*($C$94)</f>
        <v>5.8745632250138611</v>
      </c>
      <c r="BU94">
        <f>4.92*($C$94)</f>
        <v>5.9593507354779796</v>
      </c>
      <c r="BV94" s="658">
        <f>4.99*($C$94)</f>
        <v>6.0441382459420971</v>
      </c>
      <c r="BW94" s="1298">
        <f>+BV94*BW$137/BV$137</f>
        <v>6.0586659764672328</v>
      </c>
      <c r="BX94" s="1298">
        <f t="shared" ref="BX94:CZ94" si="239">+BW94*BX$137/BW$137</f>
        <v>6.0732286259412112</v>
      </c>
      <c r="BY94" s="1298">
        <f t="shared" si="239"/>
        <v>6.0878262782954495</v>
      </c>
      <c r="BZ94" s="1298">
        <f t="shared" si="239"/>
        <v>6.1024590176630999</v>
      </c>
      <c r="CA94" s="1298">
        <f t="shared" si="239"/>
        <v>6.1171269283795393</v>
      </c>
      <c r="CB94" s="1298">
        <f t="shared" si="239"/>
        <v>6.1299667153690152</v>
      </c>
      <c r="CC94" s="1298">
        <f t="shared" si="239"/>
        <v>6.1428334529403346</v>
      </c>
      <c r="CD94" s="1298">
        <f t="shared" si="239"/>
        <v>6.155727197662495</v>
      </c>
      <c r="CE94" s="1298">
        <f t="shared" si="239"/>
        <v>6.1686480062232301</v>
      </c>
      <c r="CF94" s="1298">
        <f t="shared" si="239"/>
        <v>6.18159593542926</v>
      </c>
      <c r="CG94" s="1298">
        <f t="shared" si="239"/>
        <v>6.197524392005751</v>
      </c>
      <c r="CH94" s="1298">
        <f t="shared" si="239"/>
        <v>6.2134938923080965</v>
      </c>
      <c r="CI94" s="1298">
        <f t="shared" si="239"/>
        <v>6.229504542095909</v>
      </c>
      <c r="CJ94" s="1298">
        <f t="shared" si="239"/>
        <v>6.245556447401321</v>
      </c>
      <c r="CK94" s="1298">
        <f t="shared" si="239"/>
        <v>6.2616497145296828</v>
      </c>
      <c r="CL94" s="1298">
        <f t="shared" si="239"/>
        <v>6.2750522655841658</v>
      </c>
      <c r="CM94" s="1298">
        <f t="shared" si="239"/>
        <v>6.2884835037072264</v>
      </c>
      <c r="CN94" s="1298">
        <f t="shared" si="239"/>
        <v>6.3019434903011975</v>
      </c>
      <c r="CO94" s="1298">
        <f t="shared" si="239"/>
        <v>6.3154322868998385</v>
      </c>
      <c r="CP94" s="1298">
        <f t="shared" si="239"/>
        <v>6.3289499551686168</v>
      </c>
      <c r="CQ94" s="1298">
        <f t="shared" si="239"/>
        <v>6.3413225489579119</v>
      </c>
      <c r="CR94" s="1298">
        <f t="shared" si="239"/>
        <v>6.3537193301840116</v>
      </c>
      <c r="CS94" s="1298">
        <f t="shared" si="239"/>
        <v>6.3661403461314299</v>
      </c>
      <c r="CT94" s="1298">
        <f t="shared" si="239"/>
        <v>6.3785856441771198</v>
      </c>
      <c r="CU94" s="1298">
        <f t="shared" si="239"/>
        <v>6.3910552717906537</v>
      </c>
      <c r="CV94" s="1298">
        <f t="shared" si="239"/>
        <v>6.4057772391562917</v>
      </c>
      <c r="CW94" s="1298">
        <f t="shared" si="239"/>
        <v>6.4205331189689208</v>
      </c>
      <c r="CX94" s="1298">
        <f t="shared" si="239"/>
        <v>6.4353229893467718</v>
      </c>
      <c r="CY94" s="1298">
        <f t="shared" si="239"/>
        <v>6.4501469285880244</v>
      </c>
      <c r="CZ94" s="1298">
        <f t="shared" si="239"/>
        <v>6.4650050151712186</v>
      </c>
    </row>
    <row r="95" spans="1:104">
      <c r="A95" s="841" t="str">
        <f>'HyARC Physical Property Data'!A80</f>
        <v>Metallurgical Coal</v>
      </c>
      <c r="B95">
        <v>2012</v>
      </c>
      <c r="C95" s="811">
        <f t="shared" si="221"/>
        <v>1.0589185747008452</v>
      </c>
      <c r="D95" s="1170" t="str">
        <f>+'HyARC Physical Property Data'!H80</f>
        <v>kg</v>
      </c>
      <c r="E95" s="834" t="s">
        <v>1048</v>
      </c>
      <c r="F95">
        <f>'HyARC Physical Property Data'!$E$44</f>
        <v>28.610197070281195</v>
      </c>
      <c r="G95">
        <f>'HyARC Physical Property Data'!$I$44</f>
        <v>29.865267156269461</v>
      </c>
      <c r="H95" s="987">
        <v>3.3844321322674711</v>
      </c>
      <c r="I95" s="987">
        <v>3.3844321322674711</v>
      </c>
      <c r="J95" s="987">
        <v>3.3844321322674711</v>
      </c>
      <c r="K95" s="987">
        <v>3.3844321322674711</v>
      </c>
      <c r="L95" s="987">
        <v>4.1181843560652975</v>
      </c>
      <c r="M95" s="987">
        <v>4.3291381204071717</v>
      </c>
      <c r="N95" s="987">
        <v>4.4025133427869543</v>
      </c>
      <c r="O95" s="891">
        <f t="shared" ref="O95:AR95" si="240">O111*($C95/mmBTU_to_GJ*$G95/$F95)</f>
        <v>7.4754647098413036</v>
      </c>
      <c r="P95" s="891">
        <f t="shared" si="240"/>
        <v>7.5961523788362539</v>
      </c>
      <c r="Q95" s="891">
        <f t="shared" si="240"/>
        <v>7.7888515723825718</v>
      </c>
      <c r="R95" s="891">
        <f t="shared" si="240"/>
        <v>7.8710115565120651</v>
      </c>
      <c r="S95" s="891">
        <f t="shared" si="240"/>
        <v>8.1298664269345355</v>
      </c>
      <c r="T95" s="891">
        <f t="shared" si="240"/>
        <v>8.3275528874219908</v>
      </c>
      <c r="U95" s="891">
        <f t="shared" si="240"/>
        <v>8.4326459175194799</v>
      </c>
      <c r="V95" s="891">
        <f t="shared" si="240"/>
        <v>8.5820072281905144</v>
      </c>
      <c r="W95" s="891">
        <f t="shared" si="240"/>
        <v>8.6973241555173413</v>
      </c>
      <c r="X95" s="891">
        <f t="shared" si="240"/>
        <v>8.8306675382480098</v>
      </c>
      <c r="Y95" s="891">
        <f t="shared" si="240"/>
        <v>8.9332721736007059</v>
      </c>
      <c r="Z95" s="891">
        <f t="shared" si="240"/>
        <v>9.0455694993887992</v>
      </c>
      <c r="AA95" s="891">
        <f t="shared" si="240"/>
        <v>9.1556508441725821</v>
      </c>
      <c r="AB95" s="891">
        <f t="shared" si="240"/>
        <v>9.2678109153452777</v>
      </c>
      <c r="AC95" s="891">
        <f t="shared" si="240"/>
        <v>9.379158984022304</v>
      </c>
      <c r="AD95" s="891">
        <f t="shared" si="240"/>
        <v>9.4759674931736608</v>
      </c>
      <c r="AE95" s="891">
        <f t="shared" si="240"/>
        <v>9.5858141430425672</v>
      </c>
      <c r="AF95" s="891">
        <f t="shared" si="240"/>
        <v>9.7090321165885385</v>
      </c>
      <c r="AG95" s="891">
        <f t="shared" si="240"/>
        <v>9.8280622527471682</v>
      </c>
      <c r="AH95" s="891">
        <f t="shared" si="240"/>
        <v>9.9673233001172399</v>
      </c>
      <c r="AI95" s="891">
        <f t="shared" si="240"/>
        <v>10.050780392749491</v>
      </c>
      <c r="AJ95" s="891">
        <f t="shared" si="240"/>
        <v>10.135476967900939</v>
      </c>
      <c r="AK95" s="891">
        <f t="shared" si="240"/>
        <v>10.225183860386949</v>
      </c>
      <c r="AL95" s="891">
        <f t="shared" si="240"/>
        <v>10.307087146953293</v>
      </c>
      <c r="AM95" s="891">
        <f t="shared" si="240"/>
        <v>10.409246490614819</v>
      </c>
      <c r="AN95">
        <f t="shared" si="240"/>
        <v>10.490880506676149</v>
      </c>
      <c r="AO95">
        <f t="shared" si="240"/>
        <v>10.58291758438844</v>
      </c>
      <c r="AP95">
        <f t="shared" si="240"/>
        <v>10.589678683878184</v>
      </c>
      <c r="AQ95">
        <f t="shared" si="240"/>
        <v>10.619779354456332</v>
      </c>
      <c r="AR95">
        <f t="shared" si="240"/>
        <v>10.683904501220734</v>
      </c>
      <c r="AS95">
        <f>($BB95-$AR95)/10+AR95</f>
        <v>10.706641272001209</v>
      </c>
      <c r="AT95">
        <f t="shared" ref="AT95:BA95" si="241">($BB95-$AR95)/10+AS95</f>
        <v>10.729378042781683</v>
      </c>
      <c r="AU95">
        <f t="shared" si="241"/>
        <v>10.752114813562157</v>
      </c>
      <c r="AV95">
        <f t="shared" si="241"/>
        <v>10.774851584342631</v>
      </c>
      <c r="AW95">
        <f t="shared" si="241"/>
        <v>10.797588355123105</v>
      </c>
      <c r="AX95">
        <f t="shared" si="241"/>
        <v>10.82032512590358</v>
      </c>
      <c r="AY95">
        <f t="shared" si="241"/>
        <v>10.843061896684054</v>
      </c>
      <c r="AZ95">
        <f t="shared" si="241"/>
        <v>10.865798667464528</v>
      </c>
      <c r="BA95">
        <f t="shared" si="241"/>
        <v>10.888535438245002</v>
      </c>
      <c r="BB95" s="868">
        <f>('AEO Data'!$B$28*AM95)</f>
        <v>10.911272209025483</v>
      </c>
      <c r="BC95">
        <f t="shared" ref="BC95:BP95" si="242">($BQ95-$BB95)/15+BB95</f>
        <v>10.949564626152206</v>
      </c>
      <c r="BD95">
        <f t="shared" si="242"/>
        <v>10.987857043278929</v>
      </c>
      <c r="BE95">
        <f t="shared" si="242"/>
        <v>11.026149460405652</v>
      </c>
      <c r="BF95">
        <f t="shared" si="242"/>
        <v>11.064441877532374</v>
      </c>
      <c r="BG95">
        <f t="shared" si="242"/>
        <v>11.102734294659097</v>
      </c>
      <c r="BH95">
        <f t="shared" si="242"/>
        <v>11.14102671178582</v>
      </c>
      <c r="BI95">
        <f t="shared" si="242"/>
        <v>11.179319128912542</v>
      </c>
      <c r="BJ95">
        <f t="shared" si="242"/>
        <v>11.217611546039265</v>
      </c>
      <c r="BK95">
        <f t="shared" si="242"/>
        <v>11.255903963165988</v>
      </c>
      <c r="BL95">
        <f t="shared" si="242"/>
        <v>11.294196380292711</v>
      </c>
      <c r="BM95">
        <f t="shared" si="242"/>
        <v>11.332488797419433</v>
      </c>
      <c r="BN95">
        <f t="shared" si="242"/>
        <v>11.370781214546156</v>
      </c>
      <c r="BO95">
        <f t="shared" si="242"/>
        <v>11.409073631672879</v>
      </c>
      <c r="BP95">
        <f t="shared" si="242"/>
        <v>11.447366048799601</v>
      </c>
      <c r="BQ95" s="868">
        <f>('AEO Data'!$C$28*BB95)</f>
        <v>11.485658465926328</v>
      </c>
      <c r="BR95">
        <f t="shared" ref="BR95:BU100" si="243">($BV95-$BQ95)/5+BQ95</f>
        <v>11.522480349055732</v>
      </c>
      <c r="BS95">
        <f t="shared" si="243"/>
        <v>11.559302232185136</v>
      </c>
      <c r="BT95">
        <f t="shared" si="243"/>
        <v>11.59612411531454</v>
      </c>
      <c r="BU95">
        <f t="shared" si="243"/>
        <v>11.632945998443944</v>
      </c>
      <c r="BV95" s="889">
        <f>('AEO Data'!$D$28*BQ95)</f>
        <v>11.669767881573351</v>
      </c>
      <c r="BW95" s="1298">
        <f t="shared" ref="BW95:CZ95" si="244">+BV95*BW$138/BV$138</f>
        <v>11.709222844508201</v>
      </c>
      <c r="BX95" s="1298">
        <f t="shared" si="244"/>
        <v>11.748811202906952</v>
      </c>
      <c r="BY95" s="1298">
        <f t="shared" si="244"/>
        <v>11.788533407773697</v>
      </c>
      <c r="BZ95" s="1298">
        <f t="shared" si="244"/>
        <v>11.828389911637355</v>
      </c>
      <c r="CA95" s="1298">
        <f t="shared" si="244"/>
        <v>11.868381168556825</v>
      </c>
      <c r="CB95" s="1298">
        <f t="shared" si="244"/>
        <v>11.902362207175498</v>
      </c>
      <c r="CC95" s="1298">
        <f t="shared" si="244"/>
        <v>11.936440538842751</v>
      </c>
      <c r="CD95" s="1298">
        <f t="shared" si="244"/>
        <v>11.970616442123857</v>
      </c>
      <c r="CE95" s="1298">
        <f t="shared" si="244"/>
        <v>12.004890196381666</v>
      </c>
      <c r="CF95" s="1298">
        <f t="shared" si="244"/>
        <v>12.039262081778887</v>
      </c>
      <c r="CG95" s="1298">
        <f t="shared" si="244"/>
        <v>12.065505052077379</v>
      </c>
      <c r="CH95" s="1298">
        <f t="shared" si="244"/>
        <v>12.091805226337826</v>
      </c>
      <c r="CI95" s="1298">
        <f t="shared" si="244"/>
        <v>12.118162729252409</v>
      </c>
      <c r="CJ95" s="1298">
        <f t="shared" si="244"/>
        <v>12.144577685785119</v>
      </c>
      <c r="CK95" s="1298">
        <f t="shared" si="244"/>
        <v>12.171050221172331</v>
      </c>
      <c r="CL95" s="1298">
        <f t="shared" si="244"/>
        <v>12.188996392854733</v>
      </c>
      <c r="CM95" s="1298">
        <f t="shared" si="244"/>
        <v>12.206969026105547</v>
      </c>
      <c r="CN95" s="1298">
        <f t="shared" si="244"/>
        <v>12.224968159942263</v>
      </c>
      <c r="CO95" s="1298">
        <f t="shared" si="244"/>
        <v>12.242993833439904</v>
      </c>
      <c r="CP95" s="1298">
        <f t="shared" si="244"/>
        <v>12.261046085731108</v>
      </c>
      <c r="CQ95" s="1298">
        <f t="shared" si="244"/>
        <v>12.267091502720543</v>
      </c>
      <c r="CR95" s="1298">
        <f t="shared" si="244"/>
        <v>12.273139900456183</v>
      </c>
      <c r="CS95" s="1298">
        <f t="shared" si="244"/>
        <v>12.27919128040771</v>
      </c>
      <c r="CT95" s="1298">
        <f t="shared" si="244"/>
        <v>12.285245644045531</v>
      </c>
      <c r="CU95" s="1298">
        <f t="shared" si="244"/>
        <v>12.291302992840782</v>
      </c>
      <c r="CV95" s="1298">
        <f t="shared" si="244"/>
        <v>12.282597276301862</v>
      </c>
      <c r="CW95" s="1298">
        <f t="shared" si="244"/>
        <v>12.273897725870841</v>
      </c>
      <c r="CX95" s="1298">
        <f t="shared" si="244"/>
        <v>12.26520433718037</v>
      </c>
      <c r="CY95" s="1298">
        <f t="shared" si="244"/>
        <v>12.256517105866193</v>
      </c>
      <c r="CZ95" s="1298">
        <f t="shared" si="244"/>
        <v>12.247836027567152</v>
      </c>
    </row>
    <row r="96" spans="1:104">
      <c r="A96" s="841" t="str">
        <f>'HyARC Physical Property Data'!A81</f>
        <v>Other Industrial Coal</v>
      </c>
      <c r="B96">
        <v>2012</v>
      </c>
      <c r="C96" s="811">
        <f t="shared" si="221"/>
        <v>1.0589185747008452</v>
      </c>
      <c r="D96" s="1170" t="str">
        <f>+'HyARC Physical Property Data'!H81</f>
        <v>kg</v>
      </c>
      <c r="E96" s="834" t="s">
        <v>1048</v>
      </c>
      <c r="F96">
        <f>'HyARC Physical Property Data'!$E$42</f>
        <v>22.7322030001394</v>
      </c>
      <c r="G96">
        <f>'HyARC Physical Property Data'!$I$42</f>
        <v>23.967615189707661</v>
      </c>
      <c r="H96" s="987">
        <v>1.7045706620386931</v>
      </c>
      <c r="I96" s="987">
        <v>1.7045706620386931</v>
      </c>
      <c r="J96" s="987">
        <v>1.7045706620386931</v>
      </c>
      <c r="K96" s="987">
        <v>1.7045706620386931</v>
      </c>
      <c r="L96" s="987">
        <v>1.9454339077615519</v>
      </c>
      <c r="M96" s="987">
        <v>2.0288096466656182</v>
      </c>
      <c r="N96" s="987">
        <v>1.8805861108361666</v>
      </c>
      <c r="O96" s="891">
        <f t="shared" ref="O96:AR96" si="245">O112*($C96/mmBTU_to_GJ*$G96/$F96)</f>
        <v>3.5000719734406505</v>
      </c>
      <c r="P96" s="891">
        <f t="shared" si="245"/>
        <v>3.4283630486034649</v>
      </c>
      <c r="Q96" s="891">
        <f t="shared" si="245"/>
        <v>3.5082354103172322</v>
      </c>
      <c r="R96" s="891">
        <f t="shared" si="245"/>
        <v>3.4729360065765973</v>
      </c>
      <c r="S96" s="891">
        <f t="shared" si="245"/>
        <v>3.5728444520840283</v>
      </c>
      <c r="T96" s="891">
        <f t="shared" si="245"/>
        <v>3.6374683095257363</v>
      </c>
      <c r="U96" s="891">
        <f t="shared" si="245"/>
        <v>3.6626327333639828</v>
      </c>
      <c r="V96" s="891">
        <f t="shared" si="245"/>
        <v>3.7258057129267965</v>
      </c>
      <c r="W96" s="891">
        <f t="shared" si="245"/>
        <v>3.7685626924606996</v>
      </c>
      <c r="X96" s="891">
        <f t="shared" si="245"/>
        <v>3.8026038220962977</v>
      </c>
      <c r="Y96" s="891">
        <f t="shared" si="245"/>
        <v>3.8249701999011396</v>
      </c>
      <c r="Z96" s="891">
        <f t="shared" si="245"/>
        <v>3.8516352399554865</v>
      </c>
      <c r="AA96" s="891">
        <f t="shared" si="245"/>
        <v>3.8787257015323093</v>
      </c>
      <c r="AB96" s="891">
        <f t="shared" si="245"/>
        <v>3.9124059636575477</v>
      </c>
      <c r="AC96" s="891">
        <f t="shared" si="245"/>
        <v>3.9446681540411968</v>
      </c>
      <c r="AD96" s="891">
        <f t="shared" si="245"/>
        <v>3.9749376361491651</v>
      </c>
      <c r="AE96" s="891">
        <f t="shared" si="245"/>
        <v>4.0052642644317942</v>
      </c>
      <c r="AF96" s="891">
        <f t="shared" si="245"/>
        <v>4.0387455732082129</v>
      </c>
      <c r="AG96" s="891">
        <f t="shared" si="245"/>
        <v>4.0690235214161303</v>
      </c>
      <c r="AH96" s="891">
        <f t="shared" si="245"/>
        <v>4.1108047829308205</v>
      </c>
      <c r="AI96" s="891">
        <f t="shared" si="245"/>
        <v>4.1436733577233733</v>
      </c>
      <c r="AJ96" s="891">
        <f t="shared" si="245"/>
        <v>4.1746317687147547</v>
      </c>
      <c r="AK96" s="891">
        <f t="shared" si="245"/>
        <v>4.2078082978929805</v>
      </c>
      <c r="AL96" s="891">
        <f t="shared" si="245"/>
        <v>4.2335251347529512</v>
      </c>
      <c r="AM96" s="891">
        <f t="shared" si="245"/>
        <v>4.2641893487710778</v>
      </c>
      <c r="AN96">
        <f t="shared" si="245"/>
        <v>4.2965838219664425</v>
      </c>
      <c r="AO96">
        <f t="shared" si="245"/>
        <v>4.3287105547508951</v>
      </c>
      <c r="AP96">
        <f t="shared" si="245"/>
        <v>4.3570423582328557</v>
      </c>
      <c r="AQ96">
        <f t="shared" si="245"/>
        <v>4.3910559730436169</v>
      </c>
      <c r="AR96">
        <f t="shared" si="245"/>
        <v>4.4340140224513274</v>
      </c>
      <c r="AS96">
        <f t="shared" ref="AS96:BA96" si="246">($BB96-$AR96)/10+AR96</f>
        <v>4.4375972389028373</v>
      </c>
      <c r="AT96">
        <f t="shared" si="246"/>
        <v>4.4411804553543472</v>
      </c>
      <c r="AU96">
        <f t="shared" si="246"/>
        <v>4.4447636718058572</v>
      </c>
      <c r="AV96">
        <f t="shared" si="246"/>
        <v>4.4483468882573671</v>
      </c>
      <c r="AW96">
        <f t="shared" si="246"/>
        <v>4.4519301047088771</v>
      </c>
      <c r="AX96">
        <f t="shared" si="246"/>
        <v>4.455513321160387</v>
      </c>
      <c r="AY96">
        <f t="shared" si="246"/>
        <v>4.4590965376118969</v>
      </c>
      <c r="AZ96">
        <f t="shared" si="246"/>
        <v>4.4626797540634069</v>
      </c>
      <c r="BA96">
        <f t="shared" si="246"/>
        <v>4.4662629705149168</v>
      </c>
      <c r="BB96" s="868">
        <f>('AEO Data'!$B$28*AM96)</f>
        <v>4.4698461869664294</v>
      </c>
      <c r="BC96">
        <f t="shared" ref="BC96:BP96" si="247">($BQ96-$BB96)/15+BB96</f>
        <v>4.4855328283960176</v>
      </c>
      <c r="BD96">
        <f t="shared" si="247"/>
        <v>4.5012194698256058</v>
      </c>
      <c r="BE96">
        <f t="shared" si="247"/>
        <v>4.516906111255194</v>
      </c>
      <c r="BF96">
        <f t="shared" si="247"/>
        <v>4.5325927526847822</v>
      </c>
      <c r="BG96">
        <f t="shared" si="247"/>
        <v>4.5482793941143704</v>
      </c>
      <c r="BH96">
        <f t="shared" si="247"/>
        <v>4.5639660355439586</v>
      </c>
      <c r="BI96">
        <f t="shared" si="247"/>
        <v>4.5796526769735468</v>
      </c>
      <c r="BJ96">
        <f t="shared" si="247"/>
        <v>4.595339318403135</v>
      </c>
      <c r="BK96">
        <f t="shared" si="247"/>
        <v>4.6110259598327232</v>
      </c>
      <c r="BL96">
        <f t="shared" si="247"/>
        <v>4.6267126012623114</v>
      </c>
      <c r="BM96">
        <f t="shared" si="247"/>
        <v>4.6423992426918996</v>
      </c>
      <c r="BN96">
        <f t="shared" si="247"/>
        <v>4.6580858841214878</v>
      </c>
      <c r="BO96">
        <f t="shared" si="247"/>
        <v>4.673772525551076</v>
      </c>
      <c r="BP96">
        <f t="shared" si="247"/>
        <v>4.6894591669806642</v>
      </c>
      <c r="BQ96" s="868">
        <f>('AEO Data'!$C$28*BB96)</f>
        <v>4.705145808410248</v>
      </c>
      <c r="BR96">
        <f t="shared" si="243"/>
        <v>4.7202300397216757</v>
      </c>
      <c r="BS96">
        <f t="shared" si="243"/>
        <v>4.7353142710331033</v>
      </c>
      <c r="BT96">
        <f t="shared" si="243"/>
        <v>4.750398502344531</v>
      </c>
      <c r="BU96">
        <f t="shared" si="243"/>
        <v>4.7654827336559586</v>
      </c>
      <c r="BV96" s="889">
        <f>('AEO Data'!$D$28*BQ96)</f>
        <v>4.7805669649673872</v>
      </c>
      <c r="BW96" s="1298">
        <f t="shared" ref="BW96:CZ96" si="248">+BV96*BW$138/BV$138</f>
        <v>4.7967298479248255</v>
      </c>
      <c r="BX96" s="1298">
        <f t="shared" si="248"/>
        <v>4.8129473768661839</v>
      </c>
      <c r="BY96" s="1298">
        <f t="shared" si="248"/>
        <v>4.8292197365470884</v>
      </c>
      <c r="BZ96" s="1298">
        <f t="shared" si="248"/>
        <v>4.8455471123478153</v>
      </c>
      <c r="CA96" s="1298">
        <f t="shared" si="248"/>
        <v>4.8619296902754039</v>
      </c>
      <c r="CB96" s="1298">
        <f t="shared" si="248"/>
        <v>4.8758501583004978</v>
      </c>
      <c r="CC96" s="1298">
        <f t="shared" si="248"/>
        <v>4.8898104828110576</v>
      </c>
      <c r="CD96" s="1298">
        <f t="shared" si="248"/>
        <v>4.9038107779224589</v>
      </c>
      <c r="CE96" s="1298">
        <f t="shared" si="248"/>
        <v>4.9178511580768074</v>
      </c>
      <c r="CF96" s="1298">
        <f t="shared" si="248"/>
        <v>4.9319317380438736</v>
      </c>
      <c r="CG96" s="1298">
        <f t="shared" si="248"/>
        <v>4.9426822755134054</v>
      </c>
      <c r="CH96" s="1298">
        <f t="shared" si="248"/>
        <v>4.9534562468141461</v>
      </c>
      <c r="CI96" s="1298">
        <f t="shared" si="248"/>
        <v>4.9642537030267464</v>
      </c>
      <c r="CJ96" s="1298">
        <f t="shared" si="248"/>
        <v>4.9750746953432019</v>
      </c>
      <c r="CK96" s="1298">
        <f t="shared" si="248"/>
        <v>4.9859192750670944</v>
      </c>
      <c r="CL96" s="1298">
        <f t="shared" si="248"/>
        <v>4.993270995886494</v>
      </c>
      <c r="CM96" s="1298">
        <f t="shared" si="248"/>
        <v>5.0006335567929519</v>
      </c>
      <c r="CN96" s="1298">
        <f t="shared" si="248"/>
        <v>5.0080069737701391</v>
      </c>
      <c r="CO96" s="1298">
        <f t="shared" si="248"/>
        <v>5.015391262825295</v>
      </c>
      <c r="CP96" s="1298">
        <f t="shared" si="248"/>
        <v>5.0227864399892601</v>
      </c>
      <c r="CQ96" s="1298">
        <f t="shared" si="248"/>
        <v>5.0252629691749675</v>
      </c>
      <c r="CR96" s="1298">
        <f t="shared" si="248"/>
        <v>5.0277407194352479</v>
      </c>
      <c r="CS96" s="1298">
        <f t="shared" si="248"/>
        <v>5.0302196913721628</v>
      </c>
      <c r="CT96" s="1298">
        <f t="shared" si="248"/>
        <v>5.0326998855880705</v>
      </c>
      <c r="CU96" s="1298">
        <f t="shared" si="248"/>
        <v>5.0351813026856274</v>
      </c>
      <c r="CV96" s="1298">
        <f t="shared" si="248"/>
        <v>5.0316149711771789</v>
      </c>
      <c r="CW96" s="1298">
        <f t="shared" si="248"/>
        <v>5.0280511656394289</v>
      </c>
      <c r="CX96" s="1298">
        <f t="shared" si="248"/>
        <v>5.024489884283275</v>
      </c>
      <c r="CY96" s="1298">
        <f t="shared" si="248"/>
        <v>5.0209311253208835</v>
      </c>
      <c r="CZ96" s="1298">
        <f t="shared" si="248"/>
        <v>5.0173748869656869</v>
      </c>
    </row>
    <row r="97" spans="1:104">
      <c r="A97" s="841" t="str">
        <f>'HyARC Physical Property Data'!A79</f>
        <v>Electric Utility Steam Coal</v>
      </c>
      <c r="B97">
        <v>2012</v>
      </c>
      <c r="C97" s="811">
        <f t="shared" si="221"/>
        <v>1.0589185747008452</v>
      </c>
      <c r="D97" s="1171" t="str">
        <f>+'HyARC Physical Property Data'!$H$79</f>
        <v>kg</v>
      </c>
      <c r="E97" s="834" t="s">
        <v>1048</v>
      </c>
      <c r="F97">
        <f>'HyARC Physical Property Data'!$E$42</f>
        <v>22.7322030001394</v>
      </c>
      <c r="G97">
        <f>'HyARC Physical Property Data'!$I$42</f>
        <v>23.967615189707661</v>
      </c>
      <c r="H97" s="986">
        <v>1.6675147780813302</v>
      </c>
      <c r="I97" s="986">
        <v>1.6675147780813302</v>
      </c>
      <c r="J97" s="986">
        <v>1.6675147780813302</v>
      </c>
      <c r="K97" s="986">
        <v>1.6675147780813302</v>
      </c>
      <c r="L97" s="986">
        <v>1.899114052814848</v>
      </c>
      <c r="M97" s="986">
        <v>1.9917537627082553</v>
      </c>
      <c r="N97" s="986">
        <v>1.8435302268788039</v>
      </c>
      <c r="O97">
        <f t="shared" ref="O97:AR97" si="249">O113*($C97/mmBTU_to_GJ*$G97/$F97)</f>
        <v>2.563508608233021</v>
      </c>
      <c r="P97">
        <f t="shared" si="249"/>
        <v>2.5292473599987289</v>
      </c>
      <c r="Q97">
        <f t="shared" si="249"/>
        <v>2.512156420725097</v>
      </c>
      <c r="R97">
        <f t="shared" si="249"/>
        <v>2.4655759388013712</v>
      </c>
      <c r="S97">
        <f t="shared" si="249"/>
        <v>2.5439953061112566</v>
      </c>
      <c r="T97">
        <f t="shared" si="249"/>
        <v>2.5633361114465441</v>
      </c>
      <c r="U97">
        <f t="shared" si="249"/>
        <v>2.6312374078313132</v>
      </c>
      <c r="V97">
        <f t="shared" si="249"/>
        <v>2.6989005951549947</v>
      </c>
      <c r="W97">
        <f t="shared" si="249"/>
        <v>2.7399495390240283</v>
      </c>
      <c r="X97">
        <f t="shared" si="249"/>
        <v>2.7634874134094223</v>
      </c>
      <c r="Y97">
        <f t="shared" si="249"/>
        <v>2.7969877709107278</v>
      </c>
      <c r="Z97">
        <f t="shared" si="249"/>
        <v>2.8315834300930369</v>
      </c>
      <c r="AA97">
        <f t="shared" si="249"/>
        <v>2.8599236996749471</v>
      </c>
      <c r="AB97">
        <f t="shared" si="249"/>
        <v>2.8986106016579902</v>
      </c>
      <c r="AC97">
        <f t="shared" si="249"/>
        <v>2.9354709425768672</v>
      </c>
      <c r="AD97">
        <f t="shared" si="249"/>
        <v>2.9708190263922138</v>
      </c>
      <c r="AE97">
        <f t="shared" si="249"/>
        <v>3.0020991491816877</v>
      </c>
      <c r="AF97">
        <f t="shared" si="249"/>
        <v>3.0319082871048861</v>
      </c>
      <c r="AG97">
        <f t="shared" si="249"/>
        <v>3.0598453586766876</v>
      </c>
      <c r="AH97">
        <f t="shared" si="249"/>
        <v>3.0960559264244187</v>
      </c>
      <c r="AI97">
        <f t="shared" si="249"/>
        <v>3.1212584477124392</v>
      </c>
      <c r="AJ97">
        <f t="shared" si="249"/>
        <v>3.1476800873932294</v>
      </c>
      <c r="AK97">
        <f t="shared" si="249"/>
        <v>3.1754446621785544</v>
      </c>
      <c r="AL97">
        <f t="shared" si="249"/>
        <v>3.2007075044287174</v>
      </c>
      <c r="AM97">
        <f t="shared" si="249"/>
        <v>3.2277789172806535</v>
      </c>
      <c r="AN97">
        <f t="shared" si="249"/>
        <v>3.2553731118044889</v>
      </c>
      <c r="AO97">
        <f t="shared" si="249"/>
        <v>3.279584041135891</v>
      </c>
      <c r="AP97">
        <f t="shared" si="249"/>
        <v>3.3026478139240969</v>
      </c>
      <c r="AQ97">
        <f t="shared" si="249"/>
        <v>3.3375450779171172</v>
      </c>
      <c r="AR97">
        <f t="shared" si="249"/>
        <v>3.3755134196669223</v>
      </c>
      <c r="AS97">
        <f t="shared" ref="AS97:BA97" si="250">($BB97-$AR97)/10+AR97</f>
        <v>3.3763071676042595</v>
      </c>
      <c r="AT97">
        <f t="shared" si="250"/>
        <v>3.3771009155415967</v>
      </c>
      <c r="AU97">
        <f t="shared" si="250"/>
        <v>3.377894663478934</v>
      </c>
      <c r="AV97">
        <f t="shared" si="250"/>
        <v>3.3786884114162712</v>
      </c>
      <c r="AW97">
        <f t="shared" si="250"/>
        <v>3.3794821593536084</v>
      </c>
      <c r="AX97">
        <f t="shared" si="250"/>
        <v>3.3802759072909456</v>
      </c>
      <c r="AY97">
        <f t="shared" si="250"/>
        <v>3.3810696552282828</v>
      </c>
      <c r="AZ97">
        <f t="shared" si="250"/>
        <v>3.3818634031656201</v>
      </c>
      <c r="BA97">
        <f t="shared" si="250"/>
        <v>3.3826571511029573</v>
      </c>
      <c r="BB97" s="868">
        <f>('AEO Data'!$B$28*AM97)</f>
        <v>3.3834508990402963</v>
      </c>
      <c r="BC97">
        <f t="shared" ref="BC97:BP97" si="251">($BQ97-$BB97)/15+BB97</f>
        <v>3.3953249051755909</v>
      </c>
      <c r="BD97">
        <f t="shared" si="251"/>
        <v>3.4071989113108856</v>
      </c>
      <c r="BE97">
        <f t="shared" si="251"/>
        <v>3.4190729174461802</v>
      </c>
      <c r="BF97">
        <f t="shared" si="251"/>
        <v>3.4309469235814749</v>
      </c>
      <c r="BG97">
        <f t="shared" si="251"/>
        <v>3.4428209297167696</v>
      </c>
      <c r="BH97">
        <f t="shared" si="251"/>
        <v>3.4546949358520642</v>
      </c>
      <c r="BI97">
        <f t="shared" si="251"/>
        <v>3.4665689419873589</v>
      </c>
      <c r="BJ97">
        <f t="shared" si="251"/>
        <v>3.4784429481226535</v>
      </c>
      <c r="BK97">
        <f t="shared" si="251"/>
        <v>3.4903169542579482</v>
      </c>
      <c r="BL97">
        <f t="shared" si="251"/>
        <v>3.5021909603932428</v>
      </c>
      <c r="BM97">
        <f t="shared" si="251"/>
        <v>3.5140649665285375</v>
      </c>
      <c r="BN97">
        <f t="shared" si="251"/>
        <v>3.5259389726638322</v>
      </c>
      <c r="BO97">
        <f t="shared" si="251"/>
        <v>3.5378129787991268</v>
      </c>
      <c r="BP97">
        <f t="shared" si="251"/>
        <v>3.5496869849344215</v>
      </c>
      <c r="BQ97" s="868">
        <f>('AEO Data'!$C$28*BB97)</f>
        <v>3.5615609910697135</v>
      </c>
      <c r="BR97">
        <f t="shared" si="243"/>
        <v>3.5729790027545003</v>
      </c>
      <c r="BS97">
        <f t="shared" si="243"/>
        <v>3.5843970144392872</v>
      </c>
      <c r="BT97">
        <f t="shared" si="243"/>
        <v>3.595815026124074</v>
      </c>
      <c r="BU97">
        <f t="shared" si="243"/>
        <v>3.6072330378088608</v>
      </c>
      <c r="BV97" s="889">
        <f>('AEO Data'!$D$28*BQ97)</f>
        <v>3.6186510494936472</v>
      </c>
      <c r="BW97" s="1298">
        <f t="shared" ref="BW97:CZ97" si="252">+BV97*BW$138/BV$138</f>
        <v>3.6308855467416481</v>
      </c>
      <c r="BX97" s="1298">
        <f t="shared" si="252"/>
        <v>3.6431614082772978</v>
      </c>
      <c r="BY97" s="1298">
        <f t="shared" si="252"/>
        <v>3.6554787739514016</v>
      </c>
      <c r="BZ97" s="1298">
        <f t="shared" si="252"/>
        <v>3.6678377840875944</v>
      </c>
      <c r="CA97" s="1298">
        <f t="shared" si="252"/>
        <v>3.6802385794839378</v>
      </c>
      <c r="CB97" s="1298">
        <f t="shared" si="252"/>
        <v>3.6907756803336049</v>
      </c>
      <c r="CC97" s="1298">
        <f t="shared" si="252"/>
        <v>3.701342950557327</v>
      </c>
      <c r="CD97" s="1298">
        <f t="shared" si="252"/>
        <v>3.7119404765347586</v>
      </c>
      <c r="CE97" s="1298">
        <f t="shared" si="252"/>
        <v>3.7225683448928724</v>
      </c>
      <c r="CF97" s="1298">
        <f t="shared" si="252"/>
        <v>3.7332266425066685</v>
      </c>
      <c r="CG97" s="1298">
        <f t="shared" si="252"/>
        <v>3.7413642638352314</v>
      </c>
      <c r="CH97" s="1298">
        <f t="shared" si="252"/>
        <v>3.7495196234066683</v>
      </c>
      <c r="CI97" s="1298">
        <f t="shared" si="252"/>
        <v>3.7576927598864862</v>
      </c>
      <c r="CJ97" s="1298">
        <f t="shared" si="252"/>
        <v>3.7658837120244759</v>
      </c>
      <c r="CK97" s="1298">
        <f t="shared" si="252"/>
        <v>3.7740925186548933</v>
      </c>
      <c r="CL97" s="1298">
        <f t="shared" si="252"/>
        <v>3.7796574050906777</v>
      </c>
      <c r="CM97" s="1298">
        <f t="shared" si="252"/>
        <v>3.785230496932368</v>
      </c>
      <c r="CN97" s="1298">
        <f t="shared" si="252"/>
        <v>3.7908118062788079</v>
      </c>
      <c r="CO97" s="1298">
        <f t="shared" si="252"/>
        <v>3.7964013452466796</v>
      </c>
      <c r="CP97" s="1298">
        <f t="shared" si="252"/>
        <v>3.8019991259705304</v>
      </c>
      <c r="CQ97" s="1298">
        <f t="shared" si="252"/>
        <v>3.803873735196305</v>
      </c>
      <c r="CR97" s="1298">
        <f t="shared" si="252"/>
        <v>3.8057492687147039</v>
      </c>
      <c r="CS97" s="1298">
        <f t="shared" si="252"/>
        <v>3.807625726981458</v>
      </c>
      <c r="CT97" s="1298">
        <f t="shared" si="252"/>
        <v>3.8095031104525217</v>
      </c>
      <c r="CU97" s="1298">
        <f t="shared" si="252"/>
        <v>3.8113814195840758</v>
      </c>
      <c r="CV97" s="1298">
        <f t="shared" si="252"/>
        <v>3.808681884288271</v>
      </c>
      <c r="CW97" s="1298">
        <f t="shared" si="252"/>
        <v>3.8059842610264538</v>
      </c>
      <c r="CX97" s="1298">
        <f t="shared" si="252"/>
        <v>3.8032885484443635</v>
      </c>
      <c r="CY97" s="1298">
        <f t="shared" si="252"/>
        <v>3.8005947451886986</v>
      </c>
      <c r="CZ97" s="1298">
        <f t="shared" si="252"/>
        <v>3.7979028499071168</v>
      </c>
    </row>
    <row r="98" spans="1:104">
      <c r="A98" s="813" t="str">
        <f>'HyARC Physical Property Data'!A76</f>
        <v>Commercial Electricity</v>
      </c>
      <c r="B98">
        <v>2012</v>
      </c>
      <c r="C98" s="811">
        <f t="shared" si="221"/>
        <v>1.0589185747008452</v>
      </c>
      <c r="D98" s="1159" t="str">
        <f>'HyARC Physical Property Data'!$H$76</f>
        <v>kWh</v>
      </c>
      <c r="E98" s="811" t="s">
        <v>1067</v>
      </c>
      <c r="F98" s="814"/>
      <c r="G98" s="811"/>
      <c r="H98" s="986">
        <v>26.706046857142852</v>
      </c>
      <c r="I98" s="986">
        <v>26.706046857142852</v>
      </c>
      <c r="J98" s="986">
        <v>26.706046857142852</v>
      </c>
      <c r="K98" s="986">
        <v>26.706046857142852</v>
      </c>
      <c r="L98" s="986">
        <v>28.244819428571425</v>
      </c>
      <c r="M98" s="986">
        <v>26.82655314285714</v>
      </c>
      <c r="N98" s="986">
        <v>25.371207999999996</v>
      </c>
      <c r="O98">
        <f>O114*($C98)</f>
        <v>32.330007136570579</v>
      </c>
      <c r="P98">
        <f t="shared" ref="P98:AR98" si="253">P114*($C98)</f>
        <v>31.294588082879496</v>
      </c>
      <c r="Q98">
        <f t="shared" si="253"/>
        <v>31.198589701652843</v>
      </c>
      <c r="R98">
        <f t="shared" si="253"/>
        <v>31.36496487027269</v>
      </c>
      <c r="S98">
        <f t="shared" si="253"/>
        <v>31.759086951346323</v>
      </c>
      <c r="T98">
        <f t="shared" si="253"/>
        <v>31.913488927642028</v>
      </c>
      <c r="U98">
        <f t="shared" si="253"/>
        <v>32.158172183779577</v>
      </c>
      <c r="V98">
        <f t="shared" si="253"/>
        <v>32.533567289859626</v>
      </c>
      <c r="W98">
        <f t="shared" si="253"/>
        <v>32.841645883227365</v>
      </c>
      <c r="X98">
        <f t="shared" si="253"/>
        <v>32.614198644730223</v>
      </c>
      <c r="Y98">
        <f t="shared" si="253"/>
        <v>32.436733421877534</v>
      </c>
      <c r="Z98">
        <f t="shared" si="253"/>
        <v>32.079793148717371</v>
      </c>
      <c r="AA98">
        <f t="shared" si="253"/>
        <v>31.936446282341542</v>
      </c>
      <c r="AB98">
        <f t="shared" si="253"/>
        <v>32.294334287626057</v>
      </c>
      <c r="AC98">
        <f t="shared" si="253"/>
        <v>32.349416055126277</v>
      </c>
      <c r="AD98">
        <f t="shared" si="253"/>
        <v>32.432684117247874</v>
      </c>
      <c r="AE98">
        <f t="shared" si="253"/>
        <v>32.648171929362348</v>
      </c>
      <c r="AF98">
        <f t="shared" si="253"/>
        <v>32.727937088838836</v>
      </c>
      <c r="AG98">
        <f t="shared" si="253"/>
        <v>32.843544524231802</v>
      </c>
      <c r="AH98">
        <f t="shared" si="253"/>
        <v>33.101402845275778</v>
      </c>
      <c r="AI98">
        <f t="shared" si="253"/>
        <v>33.362655000351673</v>
      </c>
      <c r="AJ98">
        <f t="shared" si="253"/>
        <v>33.40757114953476</v>
      </c>
      <c r="AK98">
        <f t="shared" si="253"/>
        <v>33.395441237261558</v>
      </c>
      <c r="AL98">
        <f t="shared" si="253"/>
        <v>33.59644198435555</v>
      </c>
      <c r="AM98">
        <f t="shared" si="253"/>
        <v>33.868319328409996</v>
      </c>
      <c r="AN98">
        <f t="shared" si="253"/>
        <v>34.152252460437403</v>
      </c>
      <c r="AO98">
        <f t="shared" si="253"/>
        <v>34.36864670685182</v>
      </c>
      <c r="AP98">
        <f t="shared" si="253"/>
        <v>34.442402503416886</v>
      </c>
      <c r="AQ98">
        <f t="shared" si="253"/>
        <v>34.677078979023513</v>
      </c>
      <c r="AR98">
        <f t="shared" si="253"/>
        <v>34.95210131124481</v>
      </c>
      <c r="AS98">
        <f t="shared" ref="AS98:BA98" si="254">($BB98-$AR98)/10+AR98</f>
        <v>34.759294585447087</v>
      </c>
      <c r="AT98">
        <f t="shared" si="254"/>
        <v>34.566487859649364</v>
      </c>
      <c r="AU98">
        <f t="shared" si="254"/>
        <v>34.37368113385164</v>
      </c>
      <c r="AV98">
        <f t="shared" si="254"/>
        <v>34.180874408053917</v>
      </c>
      <c r="AW98">
        <f t="shared" si="254"/>
        <v>33.988067682256194</v>
      </c>
      <c r="AX98">
        <f t="shared" si="254"/>
        <v>33.795260956458471</v>
      </c>
      <c r="AY98">
        <f t="shared" si="254"/>
        <v>33.602454230660747</v>
      </c>
      <c r="AZ98">
        <f t="shared" si="254"/>
        <v>33.409647504863024</v>
      </c>
      <c r="BA98">
        <f t="shared" si="254"/>
        <v>33.216840779065301</v>
      </c>
      <c r="BB98" s="868">
        <f>'AEO Data'!$B$33*AM98</f>
        <v>33.024034053267563</v>
      </c>
      <c r="BC98">
        <f t="shared" ref="BC98:BP98" si="255">($BQ98-$BB98)/15+BB98</f>
        <v>33.043274641864315</v>
      </c>
      <c r="BD98">
        <f t="shared" si="255"/>
        <v>33.062515230461067</v>
      </c>
      <c r="BE98">
        <f t="shared" si="255"/>
        <v>33.081755819057818</v>
      </c>
      <c r="BF98">
        <f t="shared" si="255"/>
        <v>33.10099640765457</v>
      </c>
      <c r="BG98">
        <f t="shared" si="255"/>
        <v>33.120236996251322</v>
      </c>
      <c r="BH98">
        <f t="shared" si="255"/>
        <v>33.139477584848073</v>
      </c>
      <c r="BI98">
        <f t="shared" si="255"/>
        <v>33.158718173444825</v>
      </c>
      <c r="BJ98">
        <f t="shared" si="255"/>
        <v>33.177958762041577</v>
      </c>
      <c r="BK98">
        <f t="shared" si="255"/>
        <v>33.197199350638328</v>
      </c>
      <c r="BL98">
        <f t="shared" si="255"/>
        <v>33.21643993923508</v>
      </c>
      <c r="BM98">
        <f t="shared" si="255"/>
        <v>33.235680527831832</v>
      </c>
      <c r="BN98">
        <f t="shared" si="255"/>
        <v>33.254921116428584</v>
      </c>
      <c r="BO98">
        <f t="shared" si="255"/>
        <v>33.274161705025335</v>
      </c>
      <c r="BP98">
        <f t="shared" si="255"/>
        <v>33.293402293622087</v>
      </c>
      <c r="BQ98" s="868">
        <f>'AEO Data'!$C$33*BB98</f>
        <v>33.312642882218888</v>
      </c>
      <c r="BR98">
        <f t="shared" si="243"/>
        <v>33.29021180684974</v>
      </c>
      <c r="BS98">
        <f t="shared" si="243"/>
        <v>33.267780731480592</v>
      </c>
      <c r="BT98">
        <f t="shared" si="243"/>
        <v>33.245349656111443</v>
      </c>
      <c r="BU98">
        <f t="shared" si="243"/>
        <v>33.222918580742295</v>
      </c>
      <c r="BV98" s="889">
        <f>'AEO Data'!$D$33*BQ98</f>
        <v>33.200487505373161</v>
      </c>
      <c r="BW98" s="1298">
        <f>+BV98*BW$139/BV$139</f>
        <v>33.185869205539639</v>
      </c>
      <c r="BX98" s="1298">
        <f t="shared" ref="BX98:CZ98" si="256">+BW98*BX$139/BW$139</f>
        <v>33.171257342198651</v>
      </c>
      <c r="BY98" s="1298">
        <f t="shared" si="256"/>
        <v>33.156651912516189</v>
      </c>
      <c r="BZ98" s="1298">
        <f t="shared" si="256"/>
        <v>33.142052913659484</v>
      </c>
      <c r="CA98" s="1298">
        <f t="shared" si="256"/>
        <v>33.127460342797029</v>
      </c>
      <c r="CB98" s="1298">
        <f t="shared" si="256"/>
        <v>33.100925764400195</v>
      </c>
      <c r="CC98" s="1298">
        <f t="shared" si="256"/>
        <v>33.074412439786272</v>
      </c>
      <c r="CD98" s="1298">
        <f t="shared" si="256"/>
        <v>33.047920351931317</v>
      </c>
      <c r="CE98" s="1298">
        <f t="shared" si="256"/>
        <v>33.021449483825023</v>
      </c>
      <c r="CF98" s="1298">
        <f t="shared" si="256"/>
        <v>32.994999818470696</v>
      </c>
      <c r="CG98" s="1298">
        <f t="shared" si="256"/>
        <v>32.958563922192354</v>
      </c>
      <c r="CH98" s="1298">
        <f t="shared" si="256"/>
        <v>32.922168261541977</v>
      </c>
      <c r="CI98" s="1298">
        <f t="shared" si="256"/>
        <v>32.885812792087954</v>
      </c>
      <c r="CJ98" s="1298">
        <f t="shared" si="256"/>
        <v>32.849497469447741</v>
      </c>
      <c r="CK98" s="1298">
        <f t="shared" si="256"/>
        <v>32.81322224928779</v>
      </c>
      <c r="CL98" s="1298">
        <f t="shared" si="256"/>
        <v>32.773673393987664</v>
      </c>
      <c r="CM98" s="1298">
        <f t="shared" si="256"/>
        <v>32.734172205812207</v>
      </c>
      <c r="CN98" s="1298">
        <f t="shared" si="256"/>
        <v>32.694718627309562</v>
      </c>
      <c r="CO98" s="1298">
        <f t="shared" si="256"/>
        <v>32.65531260109713</v>
      </c>
      <c r="CP98" s="1298">
        <f t="shared" si="256"/>
        <v>32.615954069861473</v>
      </c>
      <c r="CQ98" s="1298">
        <f t="shared" si="256"/>
        <v>32.57036661325251</v>
      </c>
      <c r="CR98" s="1298">
        <f t="shared" si="256"/>
        <v>32.524842874423982</v>
      </c>
      <c r="CS98" s="1298">
        <f t="shared" si="256"/>
        <v>32.479382764317279</v>
      </c>
      <c r="CT98" s="1298">
        <f t="shared" si="256"/>
        <v>32.433986193998265</v>
      </c>
      <c r="CU98" s="1298">
        <f t="shared" si="256"/>
        <v>32.388653074657114</v>
      </c>
      <c r="CV98" s="1298">
        <f t="shared" si="256"/>
        <v>32.344399879459552</v>
      </c>
      <c r="CW98" s="1298">
        <f t="shared" si="256"/>
        <v>32.300207148193003</v>
      </c>
      <c r="CX98" s="1298">
        <f t="shared" si="256"/>
        <v>32.256074798244526</v>
      </c>
      <c r="CY98" s="1298">
        <f t="shared" si="256"/>
        <v>32.212002747114042</v>
      </c>
      <c r="CZ98" s="1298">
        <f t="shared" si="256"/>
        <v>32.167990912414197</v>
      </c>
    </row>
    <row r="99" spans="1:104">
      <c r="A99" s="813" t="str">
        <f>'HyARC Physical Property Data'!A77</f>
        <v>Industrial Electricity</v>
      </c>
      <c r="B99">
        <v>2012</v>
      </c>
      <c r="C99" s="811">
        <f t="shared" si="221"/>
        <v>1.0589185747008452</v>
      </c>
      <c r="D99" s="1159" t="str">
        <f>'HyARC Physical Property Data'!$H$77</f>
        <v>kWh</v>
      </c>
      <c r="E99" s="811" t="s">
        <v>1067</v>
      </c>
      <c r="F99" s="812"/>
      <c r="H99" s="986">
        <v>17.630996571428568</v>
      </c>
      <c r="I99" s="986">
        <v>17.630996571428568</v>
      </c>
      <c r="J99" s="986">
        <v>17.630996571428568</v>
      </c>
      <c r="K99" s="986">
        <v>17.630996571428568</v>
      </c>
      <c r="L99" s="986">
        <v>18.734092571428569</v>
      </c>
      <c r="M99" s="986">
        <v>18.576507428571425</v>
      </c>
      <c r="N99" s="986">
        <v>17.751502857142853</v>
      </c>
      <c r="O99">
        <f t="shared" ref="O99:AR99" si="257">O115*($C99)</f>
        <v>21.546913279081487</v>
      </c>
      <c r="P99">
        <f t="shared" si="257"/>
        <v>20.644255082774947</v>
      </c>
      <c r="Q99">
        <f t="shared" si="257"/>
        <v>21.265150930132211</v>
      </c>
      <c r="R99">
        <f t="shared" si="257"/>
        <v>21.043453619495697</v>
      </c>
      <c r="S99">
        <f t="shared" si="257"/>
        <v>21.290934538507603</v>
      </c>
      <c r="T99">
        <f t="shared" si="257"/>
        <v>21.295208333875095</v>
      </c>
      <c r="U99">
        <f t="shared" si="257"/>
        <v>21.481681777042766</v>
      </c>
      <c r="V99">
        <f t="shared" si="257"/>
        <v>21.805181401613872</v>
      </c>
      <c r="W99">
        <f t="shared" si="257"/>
        <v>22.088499301949383</v>
      </c>
      <c r="X99">
        <f t="shared" si="257"/>
        <v>21.993341702071042</v>
      </c>
      <c r="Y99">
        <f t="shared" si="257"/>
        <v>21.973911605143858</v>
      </c>
      <c r="Z99">
        <f t="shared" si="257"/>
        <v>21.871052490471715</v>
      </c>
      <c r="AA99">
        <f t="shared" si="257"/>
        <v>21.880460982007932</v>
      </c>
      <c r="AB99">
        <f t="shared" si="257"/>
        <v>22.180329779666014</v>
      </c>
      <c r="AC99">
        <f t="shared" si="257"/>
        <v>22.321195599821319</v>
      </c>
      <c r="AD99">
        <f t="shared" si="257"/>
        <v>22.488160586087275</v>
      </c>
      <c r="AE99">
        <f t="shared" si="257"/>
        <v>22.726148300076993</v>
      </c>
      <c r="AF99">
        <f t="shared" si="257"/>
        <v>22.858293925769633</v>
      </c>
      <c r="AG99">
        <f t="shared" si="257"/>
        <v>23.018536896923386</v>
      </c>
      <c r="AH99">
        <f t="shared" si="257"/>
        <v>23.283823531768892</v>
      </c>
      <c r="AI99">
        <f t="shared" si="257"/>
        <v>23.547517553078045</v>
      </c>
      <c r="AJ99">
        <f t="shared" si="257"/>
        <v>23.658798247174783</v>
      </c>
      <c r="AK99">
        <f t="shared" si="257"/>
        <v>23.759156196173482</v>
      </c>
      <c r="AL99">
        <f t="shared" si="257"/>
        <v>23.989354505127697</v>
      </c>
      <c r="AM99">
        <f t="shared" si="257"/>
        <v>24.26178778143386</v>
      </c>
      <c r="AN99">
        <f t="shared" si="257"/>
        <v>24.557527855569184</v>
      </c>
      <c r="AO99">
        <f t="shared" si="257"/>
        <v>24.788558474523114</v>
      </c>
      <c r="AP99">
        <f t="shared" si="257"/>
        <v>24.907507856937837</v>
      </c>
      <c r="AQ99">
        <f t="shared" si="257"/>
        <v>25.164130420005137</v>
      </c>
      <c r="AR99">
        <f t="shared" si="257"/>
        <v>25.469928102762971</v>
      </c>
      <c r="AS99">
        <f t="shared" ref="AS99:BA99" si="258">($BB99-$AR99)/10+AR99</f>
        <v>25.288633153422833</v>
      </c>
      <c r="AT99">
        <f t="shared" si="258"/>
        <v>25.107338204082694</v>
      </c>
      <c r="AU99">
        <f t="shared" si="258"/>
        <v>24.926043254742556</v>
      </c>
      <c r="AV99">
        <f t="shared" si="258"/>
        <v>24.744748305402418</v>
      </c>
      <c r="AW99">
        <f t="shared" si="258"/>
        <v>24.563453356062279</v>
      </c>
      <c r="AX99">
        <f t="shared" si="258"/>
        <v>24.382158406722141</v>
      </c>
      <c r="AY99">
        <f t="shared" si="258"/>
        <v>24.200863457382003</v>
      </c>
      <c r="AZ99">
        <f t="shared" si="258"/>
        <v>24.019568508041864</v>
      </c>
      <c r="BA99">
        <f t="shared" si="258"/>
        <v>23.838273558701726</v>
      </c>
      <c r="BB99" s="868">
        <f>'AEO Data'!$B$33*AM99</f>
        <v>23.65697860936158</v>
      </c>
      <c r="BC99">
        <f t="shared" ref="BC99:BP99" si="259">($BQ99-$BB99)/15+BB99</f>
        <v>23.670761728411506</v>
      </c>
      <c r="BD99">
        <f t="shared" si="259"/>
        <v>23.684544847461432</v>
      </c>
      <c r="BE99">
        <f t="shared" si="259"/>
        <v>23.698327966511357</v>
      </c>
      <c r="BF99">
        <f t="shared" si="259"/>
        <v>23.712111085561283</v>
      </c>
      <c r="BG99">
        <f t="shared" si="259"/>
        <v>23.725894204611208</v>
      </c>
      <c r="BH99">
        <f t="shared" si="259"/>
        <v>23.739677323661134</v>
      </c>
      <c r="BI99">
        <f t="shared" si="259"/>
        <v>23.753460442711059</v>
      </c>
      <c r="BJ99">
        <f t="shared" si="259"/>
        <v>23.767243561760985</v>
      </c>
      <c r="BK99">
        <f t="shared" si="259"/>
        <v>23.781026680810911</v>
      </c>
      <c r="BL99">
        <f t="shared" si="259"/>
        <v>23.794809799860836</v>
      </c>
      <c r="BM99">
        <f t="shared" si="259"/>
        <v>23.808592918910762</v>
      </c>
      <c r="BN99">
        <f t="shared" si="259"/>
        <v>23.822376037960687</v>
      </c>
      <c r="BO99">
        <f t="shared" si="259"/>
        <v>23.836159157010613</v>
      </c>
      <c r="BP99">
        <f t="shared" si="259"/>
        <v>23.849942276060538</v>
      </c>
      <c r="BQ99" s="868">
        <f>'AEO Data'!$C$33*BB99</f>
        <v>23.863725395110453</v>
      </c>
      <c r="BR99">
        <f t="shared" si="243"/>
        <v>23.847656750397427</v>
      </c>
      <c r="BS99">
        <f t="shared" si="243"/>
        <v>23.8315881056844</v>
      </c>
      <c r="BT99">
        <f t="shared" si="243"/>
        <v>23.815519460971373</v>
      </c>
      <c r="BU99">
        <f t="shared" si="243"/>
        <v>23.799450816258346</v>
      </c>
      <c r="BV99" s="889">
        <f>'AEO Data'!$D$33*BQ99</f>
        <v>23.783382171545323</v>
      </c>
      <c r="BW99" s="1298">
        <f>+BV99*BW$140/BV$140</f>
        <v>23.79056855003947</v>
      </c>
      <c r="BX99" s="1298">
        <f t="shared" ref="BX99:CZ99" si="260">+BW99*BX$140/BW$140</f>
        <v>23.797757099967246</v>
      </c>
      <c r="BY99" s="1298">
        <f t="shared" si="260"/>
        <v>23.804947821984772</v>
      </c>
      <c r="BZ99" s="1298">
        <f t="shared" si="260"/>
        <v>23.812140716748367</v>
      </c>
      <c r="CA99" s="1298">
        <f t="shared" si="260"/>
        <v>23.819335784914539</v>
      </c>
      <c r="CB99" s="1298">
        <f t="shared" si="260"/>
        <v>23.816642001078176</v>
      </c>
      <c r="CC99" s="1298">
        <f t="shared" si="260"/>
        <v>23.813948521888062</v>
      </c>
      <c r="CD99" s="1298">
        <f t="shared" si="260"/>
        <v>23.811255347309746</v>
      </c>
      <c r="CE99" s="1298">
        <f t="shared" si="260"/>
        <v>23.808562477308776</v>
      </c>
      <c r="CF99" s="1298">
        <f t="shared" si="260"/>
        <v>23.805869911850717</v>
      </c>
      <c r="CG99" s="1298">
        <f t="shared" si="260"/>
        <v>23.795071358532098</v>
      </c>
      <c r="CH99" s="1298">
        <f t="shared" si="260"/>
        <v>23.784277703532847</v>
      </c>
      <c r="CI99" s="1298">
        <f t="shared" si="260"/>
        <v>23.773488944631048</v>
      </c>
      <c r="CJ99" s="1298">
        <f t="shared" si="260"/>
        <v>23.762705079605791</v>
      </c>
      <c r="CK99" s="1298">
        <f t="shared" si="260"/>
        <v>23.751926106237168</v>
      </c>
      <c r="CL99" s="1298">
        <f t="shared" si="260"/>
        <v>23.738702519984074</v>
      </c>
      <c r="CM99" s="1298">
        <f t="shared" si="260"/>
        <v>23.725486295796383</v>
      </c>
      <c r="CN99" s="1298">
        <f t="shared" si="260"/>
        <v>23.712277429575355</v>
      </c>
      <c r="CO99" s="1298">
        <f t="shared" si="260"/>
        <v>23.699075917224537</v>
      </c>
      <c r="CP99" s="1298">
        <f t="shared" si="260"/>
        <v>23.685881754649749</v>
      </c>
      <c r="CQ99" s="1298">
        <f t="shared" si="260"/>
        <v>23.667805095398695</v>
      </c>
      <c r="CR99" s="1298">
        <f t="shared" si="260"/>
        <v>23.649742231944352</v>
      </c>
      <c r="CS99" s="1298">
        <f t="shared" si="260"/>
        <v>23.631693153758011</v>
      </c>
      <c r="CT99" s="1298">
        <f t="shared" si="260"/>
        <v>23.613657850318987</v>
      </c>
      <c r="CU99" s="1298">
        <f t="shared" si="260"/>
        <v>23.595636311114628</v>
      </c>
      <c r="CV99" s="1298">
        <f t="shared" si="260"/>
        <v>23.578692647144699</v>
      </c>
      <c r="CW99" s="1298">
        <f t="shared" si="260"/>
        <v>23.561761150159583</v>
      </c>
      <c r="CX99" s="1298">
        <f t="shared" si="260"/>
        <v>23.544841811422359</v>
      </c>
      <c r="CY99" s="1298">
        <f t="shared" si="260"/>
        <v>23.527934622202373</v>
      </c>
      <c r="CZ99" s="1298">
        <f t="shared" si="260"/>
        <v>23.511039573775246</v>
      </c>
    </row>
    <row r="100" spans="1:104" ht="13.5" thickBot="1">
      <c r="A100" s="815" t="str">
        <f>'HyARC Physical Property Data'!A78</f>
        <v>Residential Electricity</v>
      </c>
      <c r="B100" s="541">
        <v>2012</v>
      </c>
      <c r="C100" s="816">
        <f t="shared" si="221"/>
        <v>1.0589185747008452</v>
      </c>
      <c r="D100" s="1160" t="str">
        <f>'HyARC Physical Property Data'!$H$78</f>
        <v>kWh</v>
      </c>
      <c r="E100" s="816" t="s">
        <v>1067</v>
      </c>
      <c r="F100" s="820"/>
      <c r="G100" s="541"/>
      <c r="H100" s="988">
        <v>29.496230857142855</v>
      </c>
      <c r="I100" s="988">
        <v>29.496230857142855</v>
      </c>
      <c r="J100" s="988">
        <v>29.496230857142855</v>
      </c>
      <c r="K100" s="988">
        <v>29.496230857142855</v>
      </c>
      <c r="L100" s="988">
        <v>30.858878857142852</v>
      </c>
      <c r="M100" s="988">
        <v>29.96898628571428</v>
      </c>
      <c r="N100" s="988">
        <v>28.680495999999998</v>
      </c>
      <c r="O100" s="541">
        <f t="shared" ref="O100:AR100" si="261">O116*($C100)</f>
        <v>37.012259165882554</v>
      </c>
      <c r="P100" s="541">
        <f t="shared" si="261"/>
        <v>36.883387716422881</v>
      </c>
      <c r="Q100" s="541">
        <f t="shared" si="261"/>
        <v>36.020153058652454</v>
      </c>
      <c r="R100" s="541">
        <f t="shared" si="261"/>
        <v>36.437036594489285</v>
      </c>
      <c r="S100" s="541">
        <f t="shared" si="261"/>
        <v>37.000471284308979</v>
      </c>
      <c r="T100" s="541">
        <f t="shared" si="261"/>
        <v>37.234901031887702</v>
      </c>
      <c r="U100" s="541">
        <f t="shared" si="261"/>
        <v>37.611895105015549</v>
      </c>
      <c r="V100" s="541">
        <f t="shared" si="261"/>
        <v>38.029256213129564</v>
      </c>
      <c r="W100" s="541">
        <f t="shared" si="261"/>
        <v>38.30980398247366</v>
      </c>
      <c r="X100" s="541">
        <f t="shared" si="261"/>
        <v>38.276616415423959</v>
      </c>
      <c r="Y100" s="541">
        <f t="shared" si="261"/>
        <v>38.186511974984086</v>
      </c>
      <c r="Z100" s="541">
        <f t="shared" si="261"/>
        <v>37.913659366922346</v>
      </c>
      <c r="AA100" s="541">
        <f t="shared" si="261"/>
        <v>37.798756112381561</v>
      </c>
      <c r="AB100" s="541">
        <f t="shared" si="261"/>
        <v>38.164246094113849</v>
      </c>
      <c r="AC100" s="541">
        <f t="shared" si="261"/>
        <v>38.270815659471751</v>
      </c>
      <c r="AD100" s="541">
        <f t="shared" si="261"/>
        <v>38.382554865311334</v>
      </c>
      <c r="AE100" s="541">
        <f t="shared" si="261"/>
        <v>38.619545078003675</v>
      </c>
      <c r="AF100" s="541">
        <f t="shared" si="261"/>
        <v>38.734851780521424</v>
      </c>
      <c r="AG100" s="541">
        <f t="shared" si="261"/>
        <v>38.88910974389097</v>
      </c>
      <c r="AH100" s="541">
        <f t="shared" si="261"/>
        <v>39.160747772347534</v>
      </c>
      <c r="AI100" s="541">
        <f t="shared" si="261"/>
        <v>39.451321382756888</v>
      </c>
      <c r="AJ100" s="541">
        <f t="shared" si="261"/>
        <v>39.535438697575401</v>
      </c>
      <c r="AK100" s="541">
        <f t="shared" si="261"/>
        <v>39.570735630425908</v>
      </c>
      <c r="AL100" s="541">
        <f t="shared" si="261"/>
        <v>39.780803897275057</v>
      </c>
      <c r="AM100" s="541">
        <f t="shared" si="261"/>
        <v>40.046078884016239</v>
      </c>
      <c r="AN100" s="541">
        <f t="shared" si="261"/>
        <v>40.326008244912707</v>
      </c>
      <c r="AO100" s="541">
        <f t="shared" si="261"/>
        <v>40.555429307633098</v>
      </c>
      <c r="AP100" s="541">
        <f t="shared" si="261"/>
        <v>40.630021649872177</v>
      </c>
      <c r="AQ100" s="541">
        <f t="shared" si="261"/>
        <v>40.855427293357288</v>
      </c>
      <c r="AR100" s="541">
        <f t="shared" si="261"/>
        <v>41.122689870263187</v>
      </c>
      <c r="AS100" s="541">
        <f t="shared" ref="AS100:BA100" si="262">($BB100-$AR100)/10+AR100</f>
        <v>40.915200036704469</v>
      </c>
      <c r="AT100" s="541">
        <f t="shared" si="262"/>
        <v>40.707710203145751</v>
      </c>
      <c r="AU100" s="541">
        <f t="shared" si="262"/>
        <v>40.500220369587034</v>
      </c>
      <c r="AV100" s="541">
        <f t="shared" si="262"/>
        <v>40.292730536028316</v>
      </c>
      <c r="AW100" s="541">
        <f t="shared" si="262"/>
        <v>40.085240702469598</v>
      </c>
      <c r="AX100" s="541">
        <f t="shared" si="262"/>
        <v>39.87775086891088</v>
      </c>
      <c r="AY100" s="541">
        <f t="shared" si="262"/>
        <v>39.670261035352162</v>
      </c>
      <c r="AZ100" s="541">
        <f t="shared" si="262"/>
        <v>39.462771201793444</v>
      </c>
      <c r="BA100" s="541">
        <f t="shared" si="262"/>
        <v>39.255281368234726</v>
      </c>
      <c r="BB100" s="894">
        <f>'AEO Data'!$B$33*AM100</f>
        <v>39.047791534675994</v>
      </c>
      <c r="BC100" s="541">
        <f t="shared" ref="BC100:BP100" si="263">($BQ100-$BB100)/15+BB100</f>
        <v>39.070541707817128</v>
      </c>
      <c r="BD100" s="541">
        <f t="shared" si="263"/>
        <v>39.093291880958262</v>
      </c>
      <c r="BE100" s="541">
        <f t="shared" si="263"/>
        <v>39.116042054099395</v>
      </c>
      <c r="BF100" s="541">
        <f t="shared" si="263"/>
        <v>39.138792227240529</v>
      </c>
      <c r="BG100" s="541">
        <f t="shared" si="263"/>
        <v>39.161542400381663</v>
      </c>
      <c r="BH100" s="541">
        <f t="shared" si="263"/>
        <v>39.184292573522796</v>
      </c>
      <c r="BI100" s="541">
        <f t="shared" si="263"/>
        <v>39.20704274666393</v>
      </c>
      <c r="BJ100" s="541">
        <f t="shared" si="263"/>
        <v>39.229792919805064</v>
      </c>
      <c r="BK100" s="541">
        <f t="shared" si="263"/>
        <v>39.252543092946198</v>
      </c>
      <c r="BL100" s="541">
        <f t="shared" si="263"/>
        <v>39.275293266087331</v>
      </c>
      <c r="BM100" s="541">
        <f t="shared" si="263"/>
        <v>39.298043439228465</v>
      </c>
      <c r="BN100" s="541">
        <f t="shared" si="263"/>
        <v>39.320793612369599</v>
      </c>
      <c r="BO100" s="541">
        <f t="shared" si="263"/>
        <v>39.343543785510732</v>
      </c>
      <c r="BP100" s="541">
        <f t="shared" si="263"/>
        <v>39.366293958651866</v>
      </c>
      <c r="BQ100" s="894">
        <f>'AEO Data'!$C$33*BB100</f>
        <v>39.389044131793007</v>
      </c>
      <c r="BR100" s="541">
        <f t="shared" si="243"/>
        <v>39.362521510313748</v>
      </c>
      <c r="BS100" s="541">
        <f t="shared" si="243"/>
        <v>39.335998888834489</v>
      </c>
      <c r="BT100" s="541">
        <f t="shared" si="243"/>
        <v>39.30947626735523</v>
      </c>
      <c r="BU100" s="541">
        <f t="shared" si="243"/>
        <v>39.28295364587597</v>
      </c>
      <c r="BV100" s="895">
        <f>'AEO Data'!$D$33*BQ100</f>
        <v>39.256431024396711</v>
      </c>
      <c r="BW100" s="1298">
        <f>+BV100*BW$141/BV$141</f>
        <v>39.239146269797381</v>
      </c>
      <c r="BX100" s="1298">
        <f t="shared" ref="BX100:CZ100" si="264">+BW100*BX$141/BW$141</f>
        <v>39.221869125740675</v>
      </c>
      <c r="BY100" s="1298">
        <f t="shared" si="264"/>
        <v>39.204599588875645</v>
      </c>
      <c r="BZ100" s="1298">
        <f t="shared" si="264"/>
        <v>39.187337655852808</v>
      </c>
      <c r="CA100" s="1298">
        <f t="shared" si="264"/>
        <v>39.170083323324171</v>
      </c>
      <c r="CB100" s="1298">
        <f t="shared" si="264"/>
        <v>39.138708698285058</v>
      </c>
      <c r="CC100" s="1298">
        <f t="shared" si="264"/>
        <v>39.107359203830633</v>
      </c>
      <c r="CD100" s="1298">
        <f t="shared" si="264"/>
        <v>39.076034819831698</v>
      </c>
      <c r="CE100" s="1298">
        <f t="shared" si="264"/>
        <v>39.044735526175167</v>
      </c>
      <c r="CF100" s="1298">
        <f t="shared" si="264"/>
        <v>39.013461302764064</v>
      </c>
      <c r="CG100" s="1298">
        <f t="shared" si="264"/>
        <v>38.970379307391816</v>
      </c>
      <c r="CH100" s="1298">
        <f t="shared" si="264"/>
        <v>38.927344886837673</v>
      </c>
      <c r="CI100" s="1298">
        <f t="shared" si="264"/>
        <v>38.884357988565462</v>
      </c>
      <c r="CJ100" s="1298">
        <f t="shared" si="264"/>
        <v>38.841418560097019</v>
      </c>
      <c r="CK100" s="1298">
        <f t="shared" si="264"/>
        <v>38.798526549012138</v>
      </c>
      <c r="CL100" s="1298">
        <f t="shared" si="264"/>
        <v>38.751763774521798</v>
      </c>
      <c r="CM100" s="1298">
        <f t="shared" si="264"/>
        <v>38.70505736189034</v>
      </c>
      <c r="CN100" s="1298">
        <f t="shared" si="264"/>
        <v>38.658407243186389</v>
      </c>
      <c r="CO100" s="1298">
        <f t="shared" si="264"/>
        <v>38.61181335056046</v>
      </c>
      <c r="CP100" s="1298">
        <f t="shared" si="264"/>
        <v>38.565275616244847</v>
      </c>
      <c r="CQ100" s="1298">
        <f t="shared" si="264"/>
        <v>38.511372767810535</v>
      </c>
      <c r="CR100" s="1298">
        <f t="shared" si="264"/>
        <v>38.457545259614896</v>
      </c>
      <c r="CS100" s="1298">
        <f t="shared" si="264"/>
        <v>38.403792986354553</v>
      </c>
      <c r="CT100" s="1298">
        <f t="shared" si="264"/>
        <v>38.350115842873322</v>
      </c>
      <c r="CU100" s="1298">
        <f t="shared" si="264"/>
        <v>38.296513724162004</v>
      </c>
      <c r="CV100" s="1298">
        <f t="shared" si="264"/>
        <v>38.244188513437287</v>
      </c>
      <c r="CW100" s="1298">
        <f t="shared" si="264"/>
        <v>38.191934795582569</v>
      </c>
      <c r="CX100" s="1298">
        <f t="shared" si="264"/>
        <v>38.139752472915873</v>
      </c>
      <c r="CY100" s="1298">
        <f t="shared" si="264"/>
        <v>38.087641447888679</v>
      </c>
      <c r="CZ100" s="1298">
        <f t="shared" si="264"/>
        <v>38.035601623085753</v>
      </c>
    </row>
    <row r="101" spans="1:104" ht="13.5" thickTop="1">
      <c r="D101" s="1010"/>
    </row>
    <row r="102" spans="1:104" ht="13.5" thickBot="1">
      <c r="D102" s="1010"/>
    </row>
    <row r="103" spans="1:104" s="972" customFormat="1">
      <c r="A103" s="968" t="s">
        <v>1155</v>
      </c>
      <c r="B103" s="969"/>
      <c r="C103" s="970"/>
      <c r="D103" s="1163"/>
      <c r="E103" s="970"/>
      <c r="F103" s="969"/>
      <c r="G103" s="969"/>
      <c r="H103" s="969"/>
      <c r="I103" s="969"/>
      <c r="J103" s="969"/>
      <c r="K103" s="969"/>
      <c r="L103" s="969"/>
      <c r="M103" s="969"/>
      <c r="N103" s="969"/>
      <c r="O103" s="969"/>
      <c r="P103" s="969"/>
      <c r="Q103" s="969"/>
      <c r="R103" s="969"/>
      <c r="S103" s="969"/>
      <c r="T103" s="969"/>
      <c r="U103" s="969"/>
      <c r="V103" s="969"/>
      <c r="W103" s="969"/>
      <c r="X103" s="969"/>
      <c r="Y103" s="969"/>
      <c r="Z103" s="969"/>
      <c r="AA103" s="969"/>
      <c r="AB103" s="969"/>
      <c r="AC103" s="969"/>
      <c r="AD103" s="969"/>
      <c r="AE103" s="969"/>
      <c r="AF103" s="969"/>
      <c r="AG103" s="969"/>
      <c r="AH103" s="969"/>
      <c r="AI103" s="969"/>
      <c r="AJ103" s="969"/>
      <c r="AK103" s="969"/>
      <c r="AL103" s="969"/>
      <c r="AM103" s="969"/>
      <c r="AN103" s="969"/>
      <c r="AO103" s="969"/>
      <c r="AP103" s="969"/>
      <c r="AQ103" s="969"/>
      <c r="AR103" s="969"/>
      <c r="AS103" s="969"/>
      <c r="AT103" s="969"/>
      <c r="AU103" s="969"/>
      <c r="AV103" s="969"/>
      <c r="AW103" s="969"/>
      <c r="AX103" s="969"/>
      <c r="AY103" s="969"/>
      <c r="AZ103" s="969"/>
      <c r="BA103" s="969"/>
      <c r="BB103" s="969"/>
      <c r="BC103" s="969"/>
      <c r="BD103" s="969"/>
      <c r="BE103" s="969"/>
      <c r="BF103" s="969"/>
      <c r="BG103" s="969"/>
      <c r="BH103" s="969"/>
      <c r="BI103" s="969"/>
      <c r="BJ103" s="969"/>
      <c r="BK103" s="969"/>
      <c r="BL103" s="969"/>
      <c r="BM103" s="969"/>
      <c r="BN103" s="969"/>
      <c r="BO103" s="969"/>
      <c r="BP103" s="969"/>
      <c r="BQ103" s="969"/>
      <c r="BR103" s="969"/>
      <c r="BS103" s="969"/>
      <c r="BT103" s="969"/>
      <c r="BU103" s="969"/>
      <c r="BV103" s="971"/>
    </row>
    <row r="104" spans="1:104" s="972" customFormat="1">
      <c r="A104" s="973" t="s">
        <v>1109</v>
      </c>
      <c r="C104" s="974"/>
      <c r="D104" s="1164"/>
      <c r="E104" s="974"/>
      <c r="BV104" s="975"/>
    </row>
    <row r="105" spans="1:104" s="972" customFormat="1">
      <c r="A105" s="976"/>
      <c r="C105" s="974"/>
      <c r="D105" s="1164"/>
      <c r="E105" s="974"/>
      <c r="BV105" s="975"/>
    </row>
    <row r="106" spans="1:104" s="972" customFormat="1">
      <c r="A106" s="976" t="s">
        <v>680</v>
      </c>
      <c r="C106" s="974"/>
      <c r="D106" s="1164"/>
      <c r="E106" s="974"/>
      <c r="O106" s="977">
        <v>10.979644</v>
      </c>
      <c r="P106" s="977">
        <v>10.458463</v>
      </c>
      <c r="Q106" s="977">
        <v>10.386789</v>
      </c>
      <c r="R106" s="977">
        <v>11.197535999999999</v>
      </c>
      <c r="S106" s="977">
        <v>10.997512</v>
      </c>
      <c r="T106" s="977">
        <v>10.684602</v>
      </c>
      <c r="U106" s="977">
        <v>11.01057</v>
      </c>
      <c r="V106" s="977">
        <v>11.455973999999999</v>
      </c>
      <c r="W106" s="977">
        <v>11.627091999999999</v>
      </c>
      <c r="X106" s="977">
        <v>11.591965</v>
      </c>
      <c r="Y106" s="977">
        <v>11.804651</v>
      </c>
      <c r="Z106" s="977">
        <v>11.896172</v>
      </c>
      <c r="AA106" s="977">
        <v>12.056948999999999</v>
      </c>
      <c r="AB106" s="977">
        <v>12.305148000000001</v>
      </c>
      <c r="AC106" s="977">
        <v>12.475469</v>
      </c>
      <c r="AD106" s="977">
        <v>12.579926</v>
      </c>
      <c r="AE106" s="977">
        <v>12.716393999999999</v>
      </c>
      <c r="AF106" s="977">
        <v>12.897914999999999</v>
      </c>
      <c r="AG106" s="977">
        <v>13.184208999999999</v>
      </c>
      <c r="AH106" s="977">
        <v>13.502886999999999</v>
      </c>
      <c r="AI106" s="977">
        <v>13.64997</v>
      </c>
      <c r="AJ106" s="977">
        <v>13.712135</v>
      </c>
      <c r="AK106" s="977">
        <v>13.943460999999999</v>
      </c>
      <c r="AL106" s="977">
        <v>14.339456999999999</v>
      </c>
      <c r="AM106" s="977">
        <v>14.605688000000001</v>
      </c>
      <c r="AN106" s="977">
        <v>14.994783</v>
      </c>
      <c r="AO106" s="977">
        <v>15.152347000000001</v>
      </c>
      <c r="AP106" s="977">
        <v>15.279963</v>
      </c>
      <c r="AQ106" s="977">
        <v>15.618371</v>
      </c>
      <c r="AR106" s="977">
        <v>15.977807</v>
      </c>
      <c r="BV106" s="975"/>
    </row>
    <row r="107" spans="1:104" s="972" customFormat="1">
      <c r="A107" s="976" t="s">
        <v>1081</v>
      </c>
      <c r="C107" s="974"/>
      <c r="D107" s="1164"/>
      <c r="E107" s="974"/>
      <c r="O107" s="977">
        <v>8.9608349999999994</v>
      </c>
      <c r="P107" s="977">
        <v>8.1128640000000001</v>
      </c>
      <c r="Q107" s="977">
        <v>8.3120530000000006</v>
      </c>
      <c r="R107" s="977">
        <v>9.0860579999999995</v>
      </c>
      <c r="S107" s="977">
        <v>8.9185510000000008</v>
      </c>
      <c r="T107" s="977">
        <v>8.7230709999999991</v>
      </c>
      <c r="U107" s="977">
        <v>9.0072580000000002</v>
      </c>
      <c r="V107" s="977">
        <v>9.4091780000000007</v>
      </c>
      <c r="W107" s="977">
        <v>9.5464699999999993</v>
      </c>
      <c r="X107" s="977">
        <v>9.490774</v>
      </c>
      <c r="Y107" s="977">
        <v>9.6849690000000006</v>
      </c>
      <c r="Z107" s="977">
        <v>9.7584820000000008</v>
      </c>
      <c r="AA107" s="977">
        <v>9.8987529999999992</v>
      </c>
      <c r="AB107" s="977">
        <v>10.127039999999999</v>
      </c>
      <c r="AC107" s="977">
        <v>10.286922000000001</v>
      </c>
      <c r="AD107" s="977">
        <v>10.380953999999999</v>
      </c>
      <c r="AE107" s="977">
        <v>10.496881999999999</v>
      </c>
      <c r="AF107" s="977">
        <v>10.657225</v>
      </c>
      <c r="AG107" s="977">
        <v>10.911016</v>
      </c>
      <c r="AH107" s="977">
        <v>11.192325</v>
      </c>
      <c r="AI107" s="977">
        <v>11.294316</v>
      </c>
      <c r="AJ107" s="977">
        <v>11.292712999999999</v>
      </c>
      <c r="AK107" s="977">
        <v>11.478382999999999</v>
      </c>
      <c r="AL107" s="977">
        <v>11.747921</v>
      </c>
      <c r="AM107" s="977">
        <v>11.953430000000001</v>
      </c>
      <c r="AN107" s="977">
        <v>12.263629999999999</v>
      </c>
      <c r="AO107" s="977">
        <v>12.368285999999999</v>
      </c>
      <c r="AP107" s="977">
        <v>12.459205000000001</v>
      </c>
      <c r="AQ107" s="977">
        <v>12.755896</v>
      </c>
      <c r="AR107" s="977">
        <v>13.077387</v>
      </c>
      <c r="BV107" s="975"/>
    </row>
    <row r="108" spans="1:104" s="972" customFormat="1">
      <c r="A108" s="976" t="s">
        <v>282</v>
      </c>
      <c r="C108" s="974"/>
      <c r="D108" s="1164"/>
      <c r="E108" s="974"/>
      <c r="O108" s="977">
        <v>5.093718</v>
      </c>
      <c r="P108" s="977">
        <v>3.77142</v>
      </c>
      <c r="Q108" s="977">
        <v>4.594805</v>
      </c>
      <c r="R108" s="977">
        <v>4.7995720000000004</v>
      </c>
      <c r="S108" s="977">
        <v>4.9392990000000001</v>
      </c>
      <c r="T108" s="977">
        <v>5.148549</v>
      </c>
      <c r="U108" s="977">
        <v>5.425808</v>
      </c>
      <c r="V108" s="977">
        <v>5.8458810000000003</v>
      </c>
      <c r="W108" s="977">
        <v>5.9476060000000004</v>
      </c>
      <c r="X108" s="977">
        <v>5.7923239999999998</v>
      </c>
      <c r="Y108" s="977">
        <v>5.9347989999999999</v>
      </c>
      <c r="Z108" s="977">
        <v>5.9545320000000004</v>
      </c>
      <c r="AA108" s="977">
        <v>6.0522600000000004</v>
      </c>
      <c r="AB108" s="977">
        <v>6.2273719999999999</v>
      </c>
      <c r="AC108" s="977">
        <v>6.3209530000000003</v>
      </c>
      <c r="AD108" s="977">
        <v>6.356109</v>
      </c>
      <c r="AE108" s="977">
        <v>6.4293370000000003</v>
      </c>
      <c r="AF108" s="977">
        <v>6.531498</v>
      </c>
      <c r="AG108" s="977">
        <v>6.7357209999999998</v>
      </c>
      <c r="AH108" s="977">
        <v>6.9891050000000003</v>
      </c>
      <c r="AI108" s="977">
        <v>7.1038509999999997</v>
      </c>
      <c r="AJ108" s="977">
        <v>7.224164</v>
      </c>
      <c r="AK108" s="977">
        <v>7.420331</v>
      </c>
      <c r="AL108" s="977">
        <v>7.5726420000000001</v>
      </c>
      <c r="AM108" s="977">
        <v>7.7575940000000001</v>
      </c>
      <c r="AN108" s="977">
        <v>8.0432100000000002</v>
      </c>
      <c r="AO108" s="977">
        <v>8.0942129999999999</v>
      </c>
      <c r="AP108" s="977">
        <v>8.1302479999999999</v>
      </c>
      <c r="AQ108" s="977">
        <v>8.3372609999999998</v>
      </c>
      <c r="AR108" s="977">
        <v>8.5934050000000006</v>
      </c>
      <c r="BV108" s="975"/>
    </row>
    <row r="109" spans="1:104" s="972" customFormat="1">
      <c r="A109" s="976" t="str">
        <f>'HyARC Physical Property Data'!$A$74</f>
        <v>Electric Utility Natural Gas</v>
      </c>
      <c r="C109" s="974"/>
      <c r="D109" s="1164"/>
      <c r="E109" s="974"/>
      <c r="O109" s="977">
        <v>4.881901</v>
      </c>
      <c r="P109" s="977">
        <v>3.4378730000000002</v>
      </c>
      <c r="Q109" s="977">
        <v>4.3206319999999998</v>
      </c>
      <c r="R109" s="977">
        <v>4.4694140000000004</v>
      </c>
      <c r="S109" s="977">
        <v>4.4284980000000003</v>
      </c>
      <c r="T109" s="977">
        <v>4.4748020000000004</v>
      </c>
      <c r="U109" s="977">
        <v>4.6905669999999997</v>
      </c>
      <c r="V109" s="977">
        <v>5.0621029999999996</v>
      </c>
      <c r="W109" s="977">
        <v>5.1794200000000004</v>
      </c>
      <c r="X109" s="977">
        <v>5.0744109999999996</v>
      </c>
      <c r="Y109" s="977">
        <v>5.242337</v>
      </c>
      <c r="Z109" s="977">
        <v>5.2943420000000003</v>
      </c>
      <c r="AA109" s="977">
        <v>5.4200609999999996</v>
      </c>
      <c r="AB109" s="977">
        <v>5.622217</v>
      </c>
      <c r="AC109" s="977">
        <v>5.7577170000000004</v>
      </c>
      <c r="AD109" s="977">
        <v>5.8140010000000002</v>
      </c>
      <c r="AE109" s="977">
        <v>5.9051999999999998</v>
      </c>
      <c r="AF109" s="977">
        <v>6.0276690000000004</v>
      </c>
      <c r="AG109" s="977">
        <v>6.2437040000000001</v>
      </c>
      <c r="AH109" s="977">
        <v>6.4934279999999998</v>
      </c>
      <c r="AI109" s="977">
        <v>6.6170710000000001</v>
      </c>
      <c r="AJ109" s="977">
        <v>6.726566</v>
      </c>
      <c r="AK109" s="977">
        <v>6.9305599999999998</v>
      </c>
      <c r="AL109" s="977">
        <v>7.0909170000000001</v>
      </c>
      <c r="AM109" s="977">
        <v>7.286816</v>
      </c>
      <c r="AN109" s="977">
        <v>7.5708000000000002</v>
      </c>
      <c r="AO109" s="977">
        <v>7.630439</v>
      </c>
      <c r="AP109" s="977">
        <v>7.6782940000000002</v>
      </c>
      <c r="AQ109" s="977">
        <v>7.8974500000000001</v>
      </c>
      <c r="AR109" s="977">
        <v>8.1587669999999992</v>
      </c>
      <c r="BV109" s="975"/>
    </row>
    <row r="110" spans="1:104" s="972" customFormat="1">
      <c r="A110" s="972" t="s">
        <v>1077</v>
      </c>
      <c r="C110" s="974"/>
      <c r="D110" s="1164"/>
      <c r="E110" s="974"/>
      <c r="O110" s="977"/>
      <c r="P110" s="977"/>
      <c r="Q110" s="977"/>
      <c r="R110" s="977"/>
      <c r="S110" s="977"/>
      <c r="T110" s="977"/>
      <c r="U110" s="977"/>
      <c r="V110" s="977"/>
      <c r="W110" s="977"/>
      <c r="X110" s="977"/>
      <c r="Y110" s="977"/>
      <c r="Z110" s="977"/>
      <c r="AA110" s="977"/>
      <c r="AB110" s="977"/>
      <c r="AC110" s="977"/>
      <c r="AD110" s="977"/>
      <c r="AE110" s="977"/>
      <c r="AF110" s="977"/>
      <c r="AG110" s="977"/>
      <c r="AH110" s="977"/>
      <c r="AI110" s="977"/>
      <c r="AJ110" s="977"/>
      <c r="AK110" s="977"/>
      <c r="AL110" s="977"/>
      <c r="AM110" s="977"/>
      <c r="AN110" s="977"/>
      <c r="AO110" s="977"/>
      <c r="AP110" s="977"/>
      <c r="AQ110" s="977"/>
      <c r="AR110" s="977"/>
      <c r="BV110" s="975"/>
    </row>
    <row r="111" spans="1:104" s="972" customFormat="1">
      <c r="A111" s="990" t="s">
        <v>715</v>
      </c>
      <c r="C111" s="974"/>
      <c r="D111" s="1164"/>
      <c r="E111" s="974"/>
      <c r="O111" s="977">
        <v>7.1348120000000002</v>
      </c>
      <c r="P111" s="977">
        <v>7.25</v>
      </c>
      <c r="Q111" s="977">
        <v>7.4339180000000002</v>
      </c>
      <c r="R111" s="977">
        <v>7.5123340000000001</v>
      </c>
      <c r="S111" s="977">
        <v>7.7593930000000002</v>
      </c>
      <c r="T111" s="977">
        <v>7.9480709999999997</v>
      </c>
      <c r="U111" s="977">
        <v>8.0483750000000001</v>
      </c>
      <c r="V111" s="977">
        <v>8.1909299999999998</v>
      </c>
      <c r="W111" s="977">
        <v>8.3009920000000008</v>
      </c>
      <c r="X111" s="977">
        <v>8.4282590000000006</v>
      </c>
      <c r="Y111" s="977">
        <v>8.5261879999999994</v>
      </c>
      <c r="Z111" s="977">
        <v>8.6333680000000008</v>
      </c>
      <c r="AA111" s="977">
        <v>8.7384330000000006</v>
      </c>
      <c r="AB111" s="977">
        <v>8.8454820000000005</v>
      </c>
      <c r="AC111" s="977">
        <v>8.9517559999999996</v>
      </c>
      <c r="AD111" s="977">
        <v>9.0441529999999997</v>
      </c>
      <c r="AE111" s="977">
        <v>9.1489940000000001</v>
      </c>
      <c r="AF111" s="977">
        <v>9.2665970000000009</v>
      </c>
      <c r="AG111" s="977">
        <v>9.3802029999999998</v>
      </c>
      <c r="AH111" s="977">
        <v>9.5131180000000004</v>
      </c>
      <c r="AI111" s="977">
        <v>9.5927720000000001</v>
      </c>
      <c r="AJ111" s="977">
        <v>9.6736090000000008</v>
      </c>
      <c r="AK111" s="977">
        <v>9.7592280000000002</v>
      </c>
      <c r="AL111" s="977">
        <v>9.8373989999999996</v>
      </c>
      <c r="AM111" s="977">
        <v>9.9349030000000003</v>
      </c>
      <c r="AN111" s="977">
        <v>10.012817</v>
      </c>
      <c r="AO111" s="977">
        <v>10.10066</v>
      </c>
      <c r="AP111" s="977">
        <v>10.107113</v>
      </c>
      <c r="AQ111" s="977">
        <v>10.135842</v>
      </c>
      <c r="AR111" s="977">
        <v>10.197044999999999</v>
      </c>
      <c r="BV111" s="975"/>
    </row>
    <row r="112" spans="1:104" s="972" customFormat="1">
      <c r="A112" s="990" t="s">
        <v>716</v>
      </c>
      <c r="C112" s="974"/>
      <c r="D112" s="1164"/>
      <c r="E112" s="974"/>
      <c r="O112" s="977">
        <v>3.3073760000000001</v>
      </c>
      <c r="P112" s="977">
        <v>3.2396150000000001</v>
      </c>
      <c r="Q112" s="977">
        <v>3.3150900000000001</v>
      </c>
      <c r="R112" s="977">
        <v>3.2817340000000002</v>
      </c>
      <c r="S112" s="977">
        <v>3.3761420000000002</v>
      </c>
      <c r="T112" s="977">
        <v>3.437208</v>
      </c>
      <c r="U112" s="977">
        <v>3.4609869999999998</v>
      </c>
      <c r="V112" s="977">
        <v>3.5206819999999999</v>
      </c>
      <c r="W112" s="977">
        <v>3.5610849999999998</v>
      </c>
      <c r="X112" s="977">
        <v>3.5932520000000001</v>
      </c>
      <c r="Y112" s="977">
        <v>3.6143869999999998</v>
      </c>
      <c r="Z112" s="977">
        <v>3.6395840000000002</v>
      </c>
      <c r="AA112" s="977">
        <v>3.6651829999999999</v>
      </c>
      <c r="AB112" s="977">
        <v>3.697009</v>
      </c>
      <c r="AC112" s="977">
        <v>3.7274949999999998</v>
      </c>
      <c r="AD112" s="977">
        <v>3.7560980000000002</v>
      </c>
      <c r="AE112" s="977">
        <v>3.7847550000000001</v>
      </c>
      <c r="AF112" s="977">
        <v>3.8163930000000001</v>
      </c>
      <c r="AG112" s="977">
        <v>3.8450039999999999</v>
      </c>
      <c r="AH112" s="977">
        <v>3.8844850000000002</v>
      </c>
      <c r="AI112" s="977">
        <v>3.9155440000000001</v>
      </c>
      <c r="AJ112" s="977">
        <v>3.944798</v>
      </c>
      <c r="AK112" s="977">
        <v>3.9761479999999998</v>
      </c>
      <c r="AL112" s="977">
        <v>4.0004489999999997</v>
      </c>
      <c r="AM112" s="977">
        <v>4.0294249999999998</v>
      </c>
      <c r="AN112" s="977">
        <v>4.0600360000000002</v>
      </c>
      <c r="AO112" s="977">
        <v>4.0903939999999999</v>
      </c>
      <c r="AP112" s="977">
        <v>4.1171660000000001</v>
      </c>
      <c r="AQ112" s="977">
        <v>4.1493070000000003</v>
      </c>
      <c r="AR112" s="977">
        <v>4.1898999999999997</v>
      </c>
      <c r="BV112" s="975"/>
    </row>
    <row r="113" spans="1:74" s="972" customFormat="1">
      <c r="A113" s="976" t="s">
        <v>1083</v>
      </c>
      <c r="C113" s="974"/>
      <c r="D113" s="1164"/>
      <c r="E113" s="974"/>
      <c r="O113" s="977">
        <v>2.4223750000000002</v>
      </c>
      <c r="P113" s="977">
        <v>2.39</v>
      </c>
      <c r="Q113" s="977">
        <v>2.37385</v>
      </c>
      <c r="R113" s="977">
        <v>2.329834</v>
      </c>
      <c r="S113" s="977">
        <v>2.4039359999999999</v>
      </c>
      <c r="T113" s="977">
        <v>2.422212</v>
      </c>
      <c r="U113" s="977">
        <v>2.4863749999999998</v>
      </c>
      <c r="V113" s="977">
        <v>2.5503130000000001</v>
      </c>
      <c r="W113" s="977">
        <v>2.589102</v>
      </c>
      <c r="X113" s="977">
        <v>2.6113439999999999</v>
      </c>
      <c r="Y113" s="977">
        <v>2.6429999999999998</v>
      </c>
      <c r="Z113" s="977">
        <v>2.675691</v>
      </c>
      <c r="AA113" s="977">
        <v>2.7024710000000001</v>
      </c>
      <c r="AB113" s="977">
        <v>2.7390279999999998</v>
      </c>
      <c r="AC113" s="977">
        <v>2.7738589999999999</v>
      </c>
      <c r="AD113" s="977">
        <v>2.807261</v>
      </c>
      <c r="AE113" s="977">
        <v>2.8368190000000002</v>
      </c>
      <c r="AF113" s="977">
        <v>2.8649870000000002</v>
      </c>
      <c r="AG113" s="977">
        <v>2.8913859999999998</v>
      </c>
      <c r="AH113" s="977">
        <v>2.9256030000000002</v>
      </c>
      <c r="AI113" s="977">
        <v>2.9494180000000001</v>
      </c>
      <c r="AJ113" s="977">
        <v>2.9743849999999998</v>
      </c>
      <c r="AK113" s="977">
        <v>3.0006210000000002</v>
      </c>
      <c r="AL113" s="977">
        <v>3.0244930000000001</v>
      </c>
      <c r="AM113" s="977">
        <v>3.050074</v>
      </c>
      <c r="AN113" s="977">
        <v>3.076149</v>
      </c>
      <c r="AO113" s="977">
        <v>3.099027</v>
      </c>
      <c r="AP113" s="977">
        <v>3.1208209999999998</v>
      </c>
      <c r="AQ113" s="977">
        <v>3.153797</v>
      </c>
      <c r="AR113" s="977">
        <v>3.1896749999999998</v>
      </c>
      <c r="BV113" s="975"/>
    </row>
    <row r="114" spans="1:74" s="972" customFormat="1">
      <c r="A114" s="976" t="s">
        <v>682</v>
      </c>
      <c r="C114" s="974"/>
      <c r="D114" s="1164"/>
      <c r="E114" s="974"/>
      <c r="O114" s="977">
        <v>30.531154999999998</v>
      </c>
      <c r="P114" s="977">
        <v>29.553346999999999</v>
      </c>
      <c r="Q114" s="977">
        <v>29.462689999999998</v>
      </c>
      <c r="R114" s="977">
        <v>29.619807999999999</v>
      </c>
      <c r="S114" s="977">
        <v>29.992000999999998</v>
      </c>
      <c r="T114" s="977">
        <v>30.137812</v>
      </c>
      <c r="U114" s="977">
        <v>30.368880999999998</v>
      </c>
      <c r="V114" s="977">
        <v>30.723389000000001</v>
      </c>
      <c r="W114" s="977">
        <v>31.014326000000001</v>
      </c>
      <c r="X114" s="977">
        <v>30.799534000000001</v>
      </c>
      <c r="Y114" s="977">
        <v>30.631943</v>
      </c>
      <c r="Z114" s="977">
        <v>30.294862999999999</v>
      </c>
      <c r="AA114" s="977">
        <v>30.159492</v>
      </c>
      <c r="AB114" s="977">
        <v>30.497467</v>
      </c>
      <c r="AC114" s="977">
        <v>30.549484</v>
      </c>
      <c r="AD114" s="977">
        <v>30.628119000000002</v>
      </c>
      <c r="AE114" s="977">
        <v>30.831617000000001</v>
      </c>
      <c r="AF114" s="977">
        <v>30.906943999999999</v>
      </c>
      <c r="AG114" s="977">
        <v>31.016119</v>
      </c>
      <c r="AH114" s="977">
        <v>31.259630000000001</v>
      </c>
      <c r="AI114" s="977">
        <v>31.506346000000001</v>
      </c>
      <c r="AJ114" s="977">
        <v>31.548763000000001</v>
      </c>
      <c r="AK114" s="977">
        <v>31.537307999999999</v>
      </c>
      <c r="AL114" s="977">
        <v>31.727125000000001</v>
      </c>
      <c r="AM114" s="977">
        <v>31.983875000000001</v>
      </c>
      <c r="AN114" s="977">
        <v>32.252009999999999</v>
      </c>
      <c r="AO114" s="977">
        <v>32.456364000000001</v>
      </c>
      <c r="AP114" s="977">
        <v>32.526015999999998</v>
      </c>
      <c r="AQ114" s="977">
        <v>32.747635000000002</v>
      </c>
      <c r="AR114" s="977">
        <v>33.007354999999997</v>
      </c>
      <c r="BV114" s="975"/>
    </row>
    <row r="115" spans="1:74" s="972" customFormat="1">
      <c r="A115" s="976" t="s">
        <v>697</v>
      </c>
      <c r="C115" s="974"/>
      <c r="D115" s="1164"/>
      <c r="E115" s="974"/>
      <c r="O115" s="977">
        <v>20.348036</v>
      </c>
      <c r="P115" s="977">
        <v>19.495602000000002</v>
      </c>
      <c r="Q115" s="977">
        <v>20.081951</v>
      </c>
      <c r="R115" s="977">
        <v>19.872589000000001</v>
      </c>
      <c r="S115" s="977">
        <v>20.106300000000001</v>
      </c>
      <c r="T115" s="977">
        <v>20.110336</v>
      </c>
      <c r="U115" s="977">
        <v>20.286434</v>
      </c>
      <c r="V115" s="977">
        <v>20.591933999999998</v>
      </c>
      <c r="W115" s="977">
        <v>20.859487999999999</v>
      </c>
      <c r="X115" s="977">
        <v>20.769625000000001</v>
      </c>
      <c r="Y115" s="977">
        <v>20.751276000000001</v>
      </c>
      <c r="Z115" s="977">
        <v>20.654140000000002</v>
      </c>
      <c r="AA115" s="977">
        <v>20.663025000000001</v>
      </c>
      <c r="AB115" s="977">
        <v>20.946209</v>
      </c>
      <c r="AC115" s="977">
        <v>21.079236999999999</v>
      </c>
      <c r="AD115" s="977">
        <v>21.236912</v>
      </c>
      <c r="AE115" s="977">
        <v>21.461658</v>
      </c>
      <c r="AF115" s="977">
        <v>21.586451</v>
      </c>
      <c r="AG115" s="977">
        <v>21.737777999999999</v>
      </c>
      <c r="AH115" s="977">
        <v>21.988303999999999</v>
      </c>
      <c r="AI115" s="977">
        <v>22.237325999999999</v>
      </c>
      <c r="AJ115" s="977">
        <v>22.342414999999999</v>
      </c>
      <c r="AK115" s="977">
        <v>22.437189</v>
      </c>
      <c r="AL115" s="977">
        <v>22.654578999999998</v>
      </c>
      <c r="AM115" s="977">
        <v>22.911854000000002</v>
      </c>
      <c r="AN115" s="977">
        <v>23.191139</v>
      </c>
      <c r="AO115" s="977">
        <v>23.409314999999999</v>
      </c>
      <c r="AP115" s="977">
        <v>23.521646</v>
      </c>
      <c r="AQ115" s="977">
        <v>23.76399</v>
      </c>
      <c r="AR115" s="977">
        <v>24.052772999999998</v>
      </c>
      <c r="BV115" s="975"/>
    </row>
    <row r="116" spans="1:74" s="972" customFormat="1" ht="13.5" thickBot="1">
      <c r="A116" s="979" t="s">
        <v>683</v>
      </c>
      <c r="B116" s="980"/>
      <c r="C116" s="981"/>
      <c r="D116" s="981"/>
      <c r="E116" s="981"/>
      <c r="F116" s="980"/>
      <c r="G116" s="980"/>
      <c r="H116" s="980"/>
      <c r="I116" s="980"/>
      <c r="J116" s="980"/>
      <c r="K116" s="980"/>
      <c r="L116" s="980"/>
      <c r="M116" s="980"/>
      <c r="N116" s="980"/>
      <c r="O116" s="982">
        <v>34.952885000000002</v>
      </c>
      <c r="P116" s="982">
        <v>34.831184</v>
      </c>
      <c r="Q116" s="982">
        <v>34.015979999999999</v>
      </c>
      <c r="R116" s="982">
        <v>34.409668000000003</v>
      </c>
      <c r="S116" s="982">
        <v>34.941752999999999</v>
      </c>
      <c r="T116" s="982">
        <v>35.163139000000001</v>
      </c>
      <c r="U116" s="982">
        <v>35.519157</v>
      </c>
      <c r="V116" s="982">
        <v>35.913296000000003</v>
      </c>
      <c r="W116" s="982">
        <v>36.178234000000003</v>
      </c>
      <c r="X116" s="982">
        <v>36.146892999999999</v>
      </c>
      <c r="Y116" s="982">
        <v>36.061802</v>
      </c>
      <c r="Z116" s="982">
        <v>35.804130999999998</v>
      </c>
      <c r="AA116" s="982">
        <v>35.695621000000003</v>
      </c>
      <c r="AB116" s="982">
        <v>36.040774999999996</v>
      </c>
      <c r="AC116" s="982">
        <v>36.141415000000002</v>
      </c>
      <c r="AD116" s="982">
        <v>36.246937000000003</v>
      </c>
      <c r="AE116" s="982">
        <v>36.470740999999997</v>
      </c>
      <c r="AF116" s="982">
        <v>36.579631999999997</v>
      </c>
      <c r="AG116" s="982">
        <v>36.725307000000001</v>
      </c>
      <c r="AH116" s="982">
        <v>36.981831</v>
      </c>
      <c r="AI116" s="982">
        <v>37.256236999999999</v>
      </c>
      <c r="AJ116" s="982">
        <v>37.335673999999997</v>
      </c>
      <c r="AK116" s="982">
        <v>37.369007000000003</v>
      </c>
      <c r="AL116" s="982">
        <v>37.567386999999997</v>
      </c>
      <c r="AM116" s="982">
        <v>37.817901999999997</v>
      </c>
      <c r="AN116" s="982">
        <v>38.082256000000001</v>
      </c>
      <c r="AO116" s="982">
        <v>38.298912000000001</v>
      </c>
      <c r="AP116" s="982">
        <v>38.369354000000001</v>
      </c>
      <c r="AQ116" s="982">
        <v>38.582217999999997</v>
      </c>
      <c r="AR116" s="982">
        <v>38.834609999999998</v>
      </c>
      <c r="AS116" s="980"/>
      <c r="AT116" s="980"/>
      <c r="AU116" s="980"/>
      <c r="AV116" s="980"/>
      <c r="AW116" s="980"/>
      <c r="AX116" s="980"/>
      <c r="AY116" s="980"/>
      <c r="AZ116" s="980"/>
      <c r="BA116" s="980"/>
      <c r="BB116" s="980"/>
      <c r="BC116" s="980"/>
      <c r="BD116" s="980"/>
      <c r="BE116" s="980"/>
      <c r="BF116" s="980"/>
      <c r="BG116" s="980"/>
      <c r="BH116" s="980"/>
      <c r="BI116" s="980"/>
      <c r="BJ116" s="980"/>
      <c r="BK116" s="980"/>
      <c r="BL116" s="980"/>
      <c r="BM116" s="980"/>
      <c r="BN116" s="980"/>
      <c r="BO116" s="980"/>
      <c r="BP116" s="980"/>
      <c r="BQ116" s="980"/>
      <c r="BR116" s="980"/>
      <c r="BS116" s="980"/>
      <c r="BT116" s="980"/>
      <c r="BU116" s="980"/>
      <c r="BV116" s="983"/>
    </row>
    <row r="129" spans="1:104" ht="13.5" thickBot="1"/>
    <row r="130" spans="1:104">
      <c r="A130" s="1281" t="s">
        <v>1287</v>
      </c>
      <c r="B130" s="1282" t="s">
        <v>1286</v>
      </c>
      <c r="C130" s="1282"/>
      <c r="D130" s="1283"/>
      <c r="E130" s="1282"/>
      <c r="F130" s="885"/>
      <c r="G130" s="885"/>
      <c r="H130" s="885"/>
      <c r="I130" s="885"/>
      <c r="J130" s="885"/>
      <c r="K130" s="885"/>
      <c r="L130" s="885"/>
      <c r="M130" s="885"/>
      <c r="N130" s="885"/>
      <c r="O130" s="885"/>
      <c r="P130" s="885"/>
      <c r="Q130" s="885"/>
      <c r="R130" s="885"/>
      <c r="S130" s="885"/>
      <c r="T130" s="885"/>
      <c r="U130" s="885"/>
      <c r="V130" s="885"/>
      <c r="W130" s="885"/>
      <c r="X130" s="885"/>
      <c r="Y130" s="885"/>
      <c r="Z130" s="885"/>
      <c r="AA130" s="885"/>
      <c r="AB130" s="885"/>
      <c r="AC130" s="885"/>
      <c r="AD130" s="885"/>
      <c r="AE130" s="885"/>
      <c r="AF130" s="885"/>
      <c r="AG130" s="885"/>
      <c r="AH130" s="885"/>
      <c r="AI130" s="885"/>
      <c r="AJ130" s="885"/>
      <c r="AK130" s="885"/>
      <c r="AL130" s="885"/>
      <c r="AM130" s="885"/>
      <c r="AN130" s="885"/>
      <c r="AO130" s="885"/>
      <c r="AP130" s="885"/>
      <c r="AQ130" s="885"/>
      <c r="AR130" s="885"/>
      <c r="AS130" s="885"/>
      <c r="AT130" s="885"/>
      <c r="AU130" s="885"/>
      <c r="AV130" s="885"/>
      <c r="AW130" s="885"/>
      <c r="AX130" s="885"/>
      <c r="AY130" s="885"/>
      <c r="AZ130" s="885"/>
      <c r="BA130" s="885"/>
      <c r="BB130" s="1284" t="s">
        <v>1288</v>
      </c>
      <c r="BC130" s="1285"/>
      <c r="BD130" s="1285"/>
      <c r="BE130" s="1285"/>
      <c r="BF130" s="1285"/>
      <c r="BG130" s="1285"/>
      <c r="BH130" s="1285"/>
      <c r="BI130" s="1285"/>
      <c r="BJ130" s="1285"/>
      <c r="BK130" s="1285"/>
      <c r="BL130" s="1285"/>
      <c r="BM130" s="1285"/>
      <c r="BN130" s="1285"/>
      <c r="BO130" s="1285"/>
      <c r="BP130" s="1285"/>
      <c r="BQ130" s="1285"/>
      <c r="BR130" s="1285"/>
      <c r="BS130" s="1285"/>
      <c r="BT130" s="1285"/>
      <c r="BU130" s="1285"/>
      <c r="BV130" s="1285"/>
      <c r="BW130" s="1285"/>
      <c r="BX130" s="1285"/>
      <c r="BY130" s="1285"/>
      <c r="BZ130" s="1285"/>
      <c r="CA130" s="1285"/>
      <c r="CB130" s="1285"/>
      <c r="CC130" s="1285"/>
      <c r="CD130" s="1285"/>
      <c r="CE130" s="1285"/>
      <c r="CF130" s="1285"/>
      <c r="CG130" s="1285"/>
      <c r="CH130" s="1285"/>
      <c r="CI130" s="1285"/>
      <c r="CJ130" s="1285"/>
      <c r="CK130" s="1285"/>
      <c r="CL130" s="1285"/>
      <c r="CM130" s="1285"/>
      <c r="CN130" s="1285"/>
      <c r="CO130" s="1285"/>
      <c r="CP130" s="1285"/>
      <c r="CQ130" s="1285"/>
      <c r="CR130" s="1285"/>
      <c r="CS130" s="1285"/>
      <c r="CT130" s="1285"/>
      <c r="CU130" s="1285"/>
      <c r="CV130" s="1285"/>
      <c r="CW130" s="1285"/>
      <c r="CX130" s="1285"/>
      <c r="CY130" s="1285"/>
      <c r="CZ130" s="1286"/>
    </row>
    <row r="131" spans="1:104" ht="51.75" thickBot="1">
      <c r="A131" s="553" t="s">
        <v>1080</v>
      </c>
      <c r="B131" s="1036" t="s">
        <v>677</v>
      </c>
      <c r="C131" s="1036" t="s">
        <v>678</v>
      </c>
      <c r="D131" s="1167" t="s">
        <v>689</v>
      </c>
      <c r="E131" s="1036" t="s">
        <v>690</v>
      </c>
      <c r="F131" s="554" t="s">
        <v>679</v>
      </c>
      <c r="G131" s="554" t="s">
        <v>691</v>
      </c>
      <c r="H131" s="1">
        <v>2004</v>
      </c>
      <c r="I131" s="1">
        <f>+H131+1</f>
        <v>2005</v>
      </c>
      <c r="J131" s="1">
        <f t="shared" ref="J131:BU131" si="265">+I131+1</f>
        <v>2006</v>
      </c>
      <c r="K131" s="1">
        <f t="shared" si="265"/>
        <v>2007</v>
      </c>
      <c r="L131" s="1">
        <f t="shared" si="265"/>
        <v>2008</v>
      </c>
      <c r="M131" s="1">
        <f t="shared" si="265"/>
        <v>2009</v>
      </c>
      <c r="N131" s="1">
        <f t="shared" si="265"/>
        <v>2010</v>
      </c>
      <c r="O131" s="1">
        <f t="shared" si="265"/>
        <v>2011</v>
      </c>
      <c r="P131" s="1">
        <f t="shared" si="265"/>
        <v>2012</v>
      </c>
      <c r="Q131" s="1">
        <f t="shared" si="265"/>
        <v>2013</v>
      </c>
      <c r="R131" s="1">
        <f t="shared" si="265"/>
        <v>2014</v>
      </c>
      <c r="S131" s="1">
        <f t="shared" si="265"/>
        <v>2015</v>
      </c>
      <c r="T131" s="1">
        <f t="shared" si="265"/>
        <v>2016</v>
      </c>
      <c r="U131" s="1">
        <f t="shared" si="265"/>
        <v>2017</v>
      </c>
      <c r="V131" s="1">
        <f t="shared" si="265"/>
        <v>2018</v>
      </c>
      <c r="W131" s="1">
        <f t="shared" si="265"/>
        <v>2019</v>
      </c>
      <c r="X131" s="1">
        <f t="shared" si="265"/>
        <v>2020</v>
      </c>
      <c r="Y131" s="1">
        <f t="shared" si="265"/>
        <v>2021</v>
      </c>
      <c r="Z131" s="1">
        <f t="shared" si="265"/>
        <v>2022</v>
      </c>
      <c r="AA131" s="1">
        <f t="shared" si="265"/>
        <v>2023</v>
      </c>
      <c r="AB131" s="1">
        <f t="shared" si="265"/>
        <v>2024</v>
      </c>
      <c r="AC131" s="1">
        <f t="shared" si="265"/>
        <v>2025</v>
      </c>
      <c r="AD131" s="1">
        <f t="shared" si="265"/>
        <v>2026</v>
      </c>
      <c r="AE131" s="1">
        <f t="shared" si="265"/>
        <v>2027</v>
      </c>
      <c r="AF131" s="1">
        <f t="shared" si="265"/>
        <v>2028</v>
      </c>
      <c r="AG131" s="1">
        <f t="shared" si="265"/>
        <v>2029</v>
      </c>
      <c r="AH131" s="1">
        <f t="shared" si="265"/>
        <v>2030</v>
      </c>
      <c r="AI131" s="1">
        <f t="shared" si="265"/>
        <v>2031</v>
      </c>
      <c r="AJ131" s="1">
        <f t="shared" si="265"/>
        <v>2032</v>
      </c>
      <c r="AK131" s="1">
        <f t="shared" si="265"/>
        <v>2033</v>
      </c>
      <c r="AL131" s="1">
        <f t="shared" si="265"/>
        <v>2034</v>
      </c>
      <c r="AM131" s="1">
        <f t="shared" si="265"/>
        <v>2035</v>
      </c>
      <c r="AN131" s="1">
        <f t="shared" si="265"/>
        <v>2036</v>
      </c>
      <c r="AO131" s="1">
        <f t="shared" si="265"/>
        <v>2037</v>
      </c>
      <c r="AP131" s="1">
        <f t="shared" si="265"/>
        <v>2038</v>
      </c>
      <c r="AQ131" s="1">
        <f t="shared" si="265"/>
        <v>2039</v>
      </c>
      <c r="AR131" s="1">
        <f t="shared" si="265"/>
        <v>2040</v>
      </c>
      <c r="AS131" s="1">
        <f t="shared" si="265"/>
        <v>2041</v>
      </c>
      <c r="AT131" s="1">
        <f t="shared" si="265"/>
        <v>2042</v>
      </c>
      <c r="AU131" s="1">
        <f t="shared" si="265"/>
        <v>2043</v>
      </c>
      <c r="AV131" s="1">
        <f t="shared" si="265"/>
        <v>2044</v>
      </c>
      <c r="AW131" s="1">
        <f t="shared" si="265"/>
        <v>2045</v>
      </c>
      <c r="AX131" s="1">
        <f t="shared" si="265"/>
        <v>2046</v>
      </c>
      <c r="AY131" s="1">
        <f t="shared" si="265"/>
        <v>2047</v>
      </c>
      <c r="AZ131" s="1">
        <f t="shared" si="265"/>
        <v>2048</v>
      </c>
      <c r="BA131" s="1">
        <f t="shared" si="265"/>
        <v>2049</v>
      </c>
      <c r="BB131" s="1">
        <f t="shared" si="265"/>
        <v>2050</v>
      </c>
      <c r="BC131" s="1">
        <f t="shared" si="265"/>
        <v>2051</v>
      </c>
      <c r="BD131" s="1">
        <f t="shared" si="265"/>
        <v>2052</v>
      </c>
      <c r="BE131" s="1">
        <f t="shared" si="265"/>
        <v>2053</v>
      </c>
      <c r="BF131" s="1">
        <f t="shared" si="265"/>
        <v>2054</v>
      </c>
      <c r="BG131" s="1">
        <f t="shared" si="265"/>
        <v>2055</v>
      </c>
      <c r="BH131" s="1">
        <f t="shared" si="265"/>
        <v>2056</v>
      </c>
      <c r="BI131" s="1">
        <f t="shared" si="265"/>
        <v>2057</v>
      </c>
      <c r="BJ131" s="1">
        <f t="shared" si="265"/>
        <v>2058</v>
      </c>
      <c r="BK131" s="1">
        <f t="shared" si="265"/>
        <v>2059</v>
      </c>
      <c r="BL131" s="1">
        <f t="shared" si="265"/>
        <v>2060</v>
      </c>
      <c r="BM131" s="1">
        <f t="shared" si="265"/>
        <v>2061</v>
      </c>
      <c r="BN131" s="1">
        <f t="shared" si="265"/>
        <v>2062</v>
      </c>
      <c r="BO131" s="1">
        <f t="shared" si="265"/>
        <v>2063</v>
      </c>
      <c r="BP131" s="1">
        <f t="shared" si="265"/>
        <v>2064</v>
      </c>
      <c r="BQ131" s="1">
        <f t="shared" si="265"/>
        <v>2065</v>
      </c>
      <c r="BR131" s="1">
        <f t="shared" si="265"/>
        <v>2066</v>
      </c>
      <c r="BS131" s="1">
        <f t="shared" si="265"/>
        <v>2067</v>
      </c>
      <c r="BT131" s="1">
        <f t="shared" si="265"/>
        <v>2068</v>
      </c>
      <c r="BU131" s="1">
        <f t="shared" si="265"/>
        <v>2069</v>
      </c>
      <c r="BV131" s="1">
        <f t="shared" ref="BV131:CZ131" si="266">+BU131+1</f>
        <v>2070</v>
      </c>
      <c r="BW131" s="1">
        <f t="shared" si="266"/>
        <v>2071</v>
      </c>
      <c r="BX131" s="1">
        <f t="shared" si="266"/>
        <v>2072</v>
      </c>
      <c r="BY131" s="1">
        <f t="shared" si="266"/>
        <v>2073</v>
      </c>
      <c r="BZ131" s="1">
        <f t="shared" si="266"/>
        <v>2074</v>
      </c>
      <c r="CA131" s="1">
        <f t="shared" si="266"/>
        <v>2075</v>
      </c>
      <c r="CB131" s="1">
        <f t="shared" si="266"/>
        <v>2076</v>
      </c>
      <c r="CC131" s="1">
        <f t="shared" si="266"/>
        <v>2077</v>
      </c>
      <c r="CD131" s="1">
        <f t="shared" si="266"/>
        <v>2078</v>
      </c>
      <c r="CE131" s="1">
        <f t="shared" si="266"/>
        <v>2079</v>
      </c>
      <c r="CF131" s="1">
        <f t="shared" si="266"/>
        <v>2080</v>
      </c>
      <c r="CG131" s="1">
        <f t="shared" si="266"/>
        <v>2081</v>
      </c>
      <c r="CH131" s="1">
        <f t="shared" si="266"/>
        <v>2082</v>
      </c>
      <c r="CI131" s="1">
        <f t="shared" si="266"/>
        <v>2083</v>
      </c>
      <c r="CJ131" s="1">
        <f t="shared" si="266"/>
        <v>2084</v>
      </c>
      <c r="CK131" s="1">
        <f t="shared" si="266"/>
        <v>2085</v>
      </c>
      <c r="CL131" s="1">
        <f t="shared" si="266"/>
        <v>2086</v>
      </c>
      <c r="CM131" s="1">
        <f t="shared" si="266"/>
        <v>2087</v>
      </c>
      <c r="CN131" s="1">
        <f t="shared" si="266"/>
        <v>2088</v>
      </c>
      <c r="CO131" s="1">
        <f t="shared" si="266"/>
        <v>2089</v>
      </c>
      <c r="CP131" s="1">
        <f t="shared" si="266"/>
        <v>2090</v>
      </c>
      <c r="CQ131" s="1">
        <f t="shared" si="266"/>
        <v>2091</v>
      </c>
      <c r="CR131" s="1">
        <f t="shared" si="266"/>
        <v>2092</v>
      </c>
      <c r="CS131" s="1">
        <f t="shared" si="266"/>
        <v>2093</v>
      </c>
      <c r="CT131" s="1">
        <f t="shared" si="266"/>
        <v>2094</v>
      </c>
      <c r="CU131" s="1">
        <f t="shared" si="266"/>
        <v>2095</v>
      </c>
      <c r="CV131" s="1">
        <f t="shared" si="266"/>
        <v>2096</v>
      </c>
      <c r="CW131" s="1">
        <f t="shared" si="266"/>
        <v>2097</v>
      </c>
      <c r="CX131" s="1">
        <f t="shared" si="266"/>
        <v>2098</v>
      </c>
      <c r="CY131" s="1">
        <f t="shared" si="266"/>
        <v>2099</v>
      </c>
      <c r="CZ131" s="1287">
        <f t="shared" si="266"/>
        <v>2100</v>
      </c>
    </row>
    <row r="132" spans="1:104" ht="13.5" thickBot="1">
      <c r="A132" s="1288" t="s">
        <v>1086</v>
      </c>
      <c r="B132" s="808"/>
      <c r="C132" s="808"/>
      <c r="D132" s="1168"/>
      <c r="E132" s="808"/>
      <c r="F132" s="808"/>
      <c r="G132" s="808"/>
      <c r="H132" s="885"/>
      <c r="I132" s="885"/>
      <c r="J132" s="885"/>
      <c r="K132" s="885"/>
      <c r="L132" s="885"/>
      <c r="M132" s="885"/>
      <c r="N132" s="885"/>
      <c r="O132" s="885"/>
      <c r="P132" s="885"/>
      <c r="Q132" s="885"/>
      <c r="R132" s="885"/>
      <c r="S132" s="885"/>
      <c r="T132" s="885"/>
      <c r="U132" s="885"/>
      <c r="V132" s="885"/>
      <c r="W132" s="885"/>
      <c r="X132" s="885"/>
      <c r="Y132" s="885"/>
      <c r="Z132" s="885"/>
      <c r="AA132" s="885"/>
      <c r="AB132" s="885"/>
      <c r="AC132" s="885"/>
      <c r="AD132" s="885"/>
      <c r="AE132" s="885"/>
      <c r="AF132" s="885"/>
      <c r="AG132" s="885"/>
      <c r="AH132" s="885"/>
      <c r="AI132" s="885"/>
      <c r="AJ132" s="885"/>
      <c r="AK132" s="885"/>
      <c r="AL132" s="885"/>
      <c r="AM132" s="885"/>
      <c r="AN132" s="885"/>
      <c r="AO132" s="885"/>
      <c r="AP132" s="885"/>
      <c r="AQ132" s="885"/>
      <c r="AR132" s="885"/>
      <c r="AS132" s="885"/>
      <c r="AT132" s="885"/>
      <c r="AU132" s="885"/>
      <c r="AV132" s="885"/>
      <c r="AW132" s="885"/>
      <c r="AX132" s="885"/>
      <c r="AY132" s="885"/>
      <c r="AZ132" s="885"/>
      <c r="BA132" s="885"/>
      <c r="BB132" s="885"/>
      <c r="BC132" s="885"/>
      <c r="BD132" s="885"/>
      <c r="BE132" s="885"/>
      <c r="BF132" s="885"/>
      <c r="BG132" s="885"/>
      <c r="BH132" s="885"/>
      <c r="BI132" s="885"/>
      <c r="BJ132" s="885"/>
      <c r="BK132" s="885"/>
      <c r="BL132" s="885"/>
      <c r="BM132" s="885"/>
      <c r="BN132" s="885"/>
      <c r="BO132" s="885"/>
      <c r="BP132" s="885"/>
      <c r="BQ132" s="885"/>
      <c r="BR132" s="885"/>
      <c r="BS132" s="885"/>
      <c r="BT132" s="885"/>
      <c r="BU132" s="885"/>
      <c r="BV132" s="885"/>
      <c r="BW132" s="885"/>
      <c r="BX132" s="885"/>
      <c r="BY132" s="885"/>
      <c r="BZ132" s="885"/>
      <c r="CA132" s="885"/>
      <c r="CB132" s="885"/>
      <c r="CC132" s="885"/>
      <c r="CD132" s="885"/>
      <c r="CE132" s="885"/>
      <c r="CF132" s="885"/>
      <c r="CG132" s="885"/>
      <c r="CH132" s="885"/>
      <c r="CI132" s="885"/>
      <c r="CJ132" s="885"/>
      <c r="CK132" s="885"/>
      <c r="CL132" s="885"/>
      <c r="CM132" s="885"/>
      <c r="CN132" s="885"/>
      <c r="CO132" s="885"/>
      <c r="CP132" s="885"/>
      <c r="CQ132" s="885"/>
      <c r="CR132" s="885"/>
      <c r="CS132" s="885"/>
      <c r="CT132" s="885"/>
      <c r="CU132" s="885"/>
      <c r="CV132" s="885"/>
      <c r="CW132" s="885"/>
      <c r="CX132" s="885"/>
      <c r="CY132" s="885"/>
      <c r="CZ132" s="1289"/>
    </row>
    <row r="133" spans="1:104">
      <c r="A133" s="1290" t="s">
        <v>680</v>
      </c>
      <c r="B133">
        <v>2016</v>
      </c>
      <c r="C133" s="811">
        <f t="shared" ref="C133:C141" si="267">VLOOKUP(ref_year,DeflatorTable,2,FALSE)/VLOOKUP(B133,DeflatorTable,2,FALSE)</f>
        <v>1</v>
      </c>
      <c r="D133" s="1169" t="s">
        <v>860</v>
      </c>
      <c r="E133" s="811" t="s">
        <v>1054</v>
      </c>
      <c r="F133">
        <v>47.141269049911173</v>
      </c>
      <c r="G133">
        <v>52.224661236371581</v>
      </c>
      <c r="H133" s="985">
        <v>13.604875014867702</v>
      </c>
      <c r="I133" s="985">
        <v>15.571757228276402</v>
      </c>
      <c r="J133" s="985">
        <v>16.331995797204218</v>
      </c>
      <c r="K133" s="985">
        <v>15.155672177020728</v>
      </c>
      <c r="L133" s="985">
        <v>15.783516201764996</v>
      </c>
      <c r="M133" s="985">
        <v>13.69149010361817</v>
      </c>
      <c r="N133" s="985">
        <v>12.691188457250465</v>
      </c>
      <c r="O133" s="885">
        <v>12.04142243701838</v>
      </c>
      <c r="P133" s="885">
        <v>11.415954621928984</v>
      </c>
      <c r="Q133" s="885">
        <v>10.886628367710442</v>
      </c>
      <c r="R133" s="885">
        <v>11.368469484946878</v>
      </c>
      <c r="S133" s="885">
        <v>10.641362038493474</v>
      </c>
      <c r="T133" s="885">
        <v>10.173400019832483</v>
      </c>
      <c r="U133" s="885">
        <v>10.023002570479671</v>
      </c>
      <c r="V133" s="885">
        <v>10.033707215541167</v>
      </c>
      <c r="W133" s="885">
        <v>10.158951752324048</v>
      </c>
      <c r="X133" s="885">
        <v>10.289627280447673</v>
      </c>
      <c r="Y133" s="885">
        <v>10.38663350570965</v>
      </c>
      <c r="Z133" s="885">
        <v>10.458822090960101</v>
      </c>
      <c r="AA133" s="885">
        <v>10.541361785535555</v>
      </c>
      <c r="AB133" s="885">
        <v>10.671303703310535</v>
      </c>
      <c r="AC133" s="885">
        <v>10.821196220864106</v>
      </c>
      <c r="AD133" s="885">
        <v>10.961130973142659</v>
      </c>
      <c r="AE133" s="885">
        <v>11.387951919139837</v>
      </c>
      <c r="AF133" s="885">
        <v>11.524366479125279</v>
      </c>
      <c r="AG133" s="885">
        <v>11.653679994237272</v>
      </c>
      <c r="AH133" s="885">
        <v>11.727599293307653</v>
      </c>
      <c r="AI133" s="885">
        <v>11.827238554162054</v>
      </c>
      <c r="AJ133" s="885">
        <v>11.877874728924342</v>
      </c>
      <c r="AK133" s="885">
        <v>11.891573527850655</v>
      </c>
      <c r="AL133" s="885">
        <v>11.9827791131466</v>
      </c>
      <c r="AM133" s="885">
        <v>12.163475682807357</v>
      </c>
      <c r="AN133" s="885">
        <v>12.259449735369497</v>
      </c>
      <c r="AO133" s="885">
        <v>12.356256919064013</v>
      </c>
      <c r="AP133" s="885">
        <v>12.41256198723101</v>
      </c>
      <c r="AQ133" s="885">
        <v>12.490714236969412</v>
      </c>
      <c r="AR133" s="885">
        <v>12.496378391289182</v>
      </c>
      <c r="AS133" s="885">
        <v>12.55376491863939</v>
      </c>
      <c r="AT133" s="885">
        <v>12.651412816002184</v>
      </c>
      <c r="AU133" s="885">
        <v>12.770777096192051</v>
      </c>
      <c r="AV133" s="885">
        <v>12.886454368298935</v>
      </c>
      <c r="AW133" s="885">
        <v>13.010888521557151</v>
      </c>
      <c r="AX133" s="885">
        <v>13.118997475015544</v>
      </c>
      <c r="AY133" s="885">
        <v>13.217679440712152</v>
      </c>
      <c r="AZ133" s="885">
        <v>13.363983523149482</v>
      </c>
      <c r="BA133" s="885">
        <v>13.453606254075613</v>
      </c>
      <c r="BB133" s="885">
        <v>13.593337225701765</v>
      </c>
      <c r="BC133" s="885">
        <v>13.668907227280409</v>
      </c>
      <c r="BD133" s="885">
        <v>13.744897348292845</v>
      </c>
      <c r="BE133" s="885">
        <v>13.821309924326409</v>
      </c>
      <c r="BF133" s="885">
        <v>13.898147303952761</v>
      </c>
      <c r="BG133" s="885">
        <v>13.975411848800078</v>
      </c>
      <c r="BH133" s="885">
        <v>14.050424531225174</v>
      </c>
      <c r="BI133" s="885">
        <v>14.12583984239463</v>
      </c>
      <c r="BJ133" s="885">
        <v>14.201659943408417</v>
      </c>
      <c r="BK133" s="885">
        <v>14.277887006966159</v>
      </c>
      <c r="BL133" s="885">
        <v>14.354523217429389</v>
      </c>
      <c r="BM133" s="885">
        <v>14.422221698840277</v>
      </c>
      <c r="BN133" s="885">
        <v>14.490239458315362</v>
      </c>
      <c r="BO133" s="885">
        <v>14.558578001626712</v>
      </c>
      <c r="BP133" s="885">
        <v>14.627238841647882</v>
      </c>
      <c r="BQ133" s="885">
        <v>14.696223498387408</v>
      </c>
      <c r="BR133" s="885">
        <v>14.75529333521281</v>
      </c>
      <c r="BS133" s="885">
        <v>14.814600596681556</v>
      </c>
      <c r="BT133" s="885">
        <v>14.874146237095607</v>
      </c>
      <c r="BU133" s="885">
        <v>14.933931214592636</v>
      </c>
      <c r="BV133" s="885">
        <v>14.993956491161448</v>
      </c>
      <c r="BW133" s="885">
        <v>15.043740835540882</v>
      </c>
      <c r="BX133" s="885">
        <v>15.093690478582264</v>
      </c>
      <c r="BY133" s="885">
        <v>15.143805969125756</v>
      </c>
      <c r="BZ133" s="885">
        <v>15.19408785783383</v>
      </c>
      <c r="CA133" s="885">
        <v>15.244536697197322</v>
      </c>
      <c r="CB133" s="885">
        <v>15.277067444573643</v>
      </c>
      <c r="CC133" s="885">
        <v>15.309667610230484</v>
      </c>
      <c r="CD133" s="885">
        <v>15.342337342301477</v>
      </c>
      <c r="CE133" s="885">
        <v>15.375076789236356</v>
      </c>
      <c r="CF133" s="885">
        <v>15.407886099801638</v>
      </c>
      <c r="CG133" s="885">
        <v>15.41853907481957</v>
      </c>
      <c r="CH133" s="885">
        <v>15.42919941527855</v>
      </c>
      <c r="CI133" s="885">
        <v>15.439867126271025</v>
      </c>
      <c r="CJ133" s="885">
        <v>15.450542212892964</v>
      </c>
      <c r="CK133" s="885">
        <v>15.461224680243861</v>
      </c>
      <c r="CL133" s="885">
        <v>15.464845562477739</v>
      </c>
      <c r="CM133" s="885">
        <v>15.468467292690251</v>
      </c>
      <c r="CN133" s="885">
        <v>15.472089871079984</v>
      </c>
      <c r="CO133" s="885">
        <v>15.475713297845573</v>
      </c>
      <c r="CP133" s="885">
        <v>15.479337573185701</v>
      </c>
      <c r="CQ133" s="885">
        <v>15.484830510437597</v>
      </c>
      <c r="CR133" s="885">
        <v>15.490325396891745</v>
      </c>
      <c r="CS133" s="885">
        <v>15.49582223323983</v>
      </c>
      <c r="CT133" s="885">
        <v>15.501321020173785</v>
      </c>
      <c r="CU133" s="885">
        <v>15.506821758385787</v>
      </c>
      <c r="CV133" s="885">
        <v>15.515287417782641</v>
      </c>
      <c r="CW133" s="885">
        <v>15.523757698847955</v>
      </c>
      <c r="CX133" s="885">
        <v>15.532232604104841</v>
      </c>
      <c r="CY133" s="885">
        <v>15.540712136077792</v>
      </c>
      <c r="CZ133" s="1289">
        <v>15.549196297292674</v>
      </c>
    </row>
    <row r="134" spans="1:104">
      <c r="A134" s="1290" t="s">
        <v>1081</v>
      </c>
      <c r="B134">
        <v>2016</v>
      </c>
      <c r="C134" s="811">
        <f t="shared" si="267"/>
        <v>1</v>
      </c>
      <c r="D134" s="1169" t="s">
        <v>860</v>
      </c>
      <c r="E134" s="811" t="s">
        <v>1054</v>
      </c>
      <c r="F134">
        <v>47.141269049911173</v>
      </c>
      <c r="G134">
        <v>52.224661236371581</v>
      </c>
      <c r="H134" s="986">
        <v>11.934322920018829</v>
      </c>
      <c r="I134" s="986">
        <v>13.90423046997279</v>
      </c>
      <c r="J134" s="986">
        <v>14.274140536522257</v>
      </c>
      <c r="K134" s="986">
        <v>13.139550648884942</v>
      </c>
      <c r="L134" s="986">
        <v>13.897221248926272</v>
      </c>
      <c r="M134" s="986">
        <v>11.345666428533674</v>
      </c>
      <c r="N134" s="986">
        <v>10.551848524158197</v>
      </c>
      <c r="O134">
        <v>9.7270239269114924</v>
      </c>
      <c r="P134">
        <v>8.6825570363966911</v>
      </c>
      <c r="Q134">
        <v>8.5236392646415098</v>
      </c>
      <c r="R134">
        <v>9.2232797097563566</v>
      </c>
      <c r="S134">
        <v>8.1091689522623707</v>
      </c>
      <c r="T134">
        <v>7.3693882730726834</v>
      </c>
      <c r="U134">
        <v>7.4731047451509687</v>
      </c>
      <c r="V134">
        <v>7.9843107853990691</v>
      </c>
      <c r="W134">
        <v>8.5650780622071245</v>
      </c>
      <c r="X134">
        <v>9.1477570858798014</v>
      </c>
      <c r="Y134">
        <v>9.2514909161219876</v>
      </c>
      <c r="Z134">
        <v>9.3094669856386769</v>
      </c>
      <c r="AA134">
        <v>9.3761326413005577</v>
      </c>
      <c r="AB134">
        <v>9.4891655040111615</v>
      </c>
      <c r="AC134">
        <v>9.6143446414218783</v>
      </c>
      <c r="AD134">
        <v>9.7258827967425425</v>
      </c>
      <c r="AE134">
        <v>10.087086372666475</v>
      </c>
      <c r="AF134">
        <v>10.198695614261233</v>
      </c>
      <c r="AG134">
        <v>10.304737378868989</v>
      </c>
      <c r="AH134">
        <v>10.357640731866367</v>
      </c>
      <c r="AI134">
        <v>10.427655972763532</v>
      </c>
      <c r="AJ134">
        <v>10.453569289213085</v>
      </c>
      <c r="AK134">
        <v>10.441948105124277</v>
      </c>
      <c r="AL134">
        <v>10.506270757192036</v>
      </c>
      <c r="AM134">
        <v>10.658282593530579</v>
      </c>
      <c r="AN134">
        <v>10.722901912315555</v>
      </c>
      <c r="AO134">
        <v>10.786351624937444</v>
      </c>
      <c r="AP134">
        <v>10.817805879498341</v>
      </c>
      <c r="AQ134">
        <v>10.86596540847121</v>
      </c>
      <c r="AR134">
        <v>10.838793391061706</v>
      </c>
      <c r="AS134">
        <v>10.868085675073171</v>
      </c>
      <c r="AT134">
        <v>10.937640276914211</v>
      </c>
      <c r="AU134">
        <v>11.027299024885883</v>
      </c>
      <c r="AV134">
        <v>11.114692490256441</v>
      </c>
      <c r="AW134">
        <v>11.212257927541287</v>
      </c>
      <c r="AX134">
        <v>11.293368314098968</v>
      </c>
      <c r="AY134">
        <v>11.35816487466068</v>
      </c>
      <c r="AZ134">
        <v>11.46581792814789</v>
      </c>
      <c r="BA134">
        <v>11.521194135666732</v>
      </c>
      <c r="BB134">
        <v>11.628119265707223</v>
      </c>
      <c r="BC134">
        <v>11.692763949840026</v>
      </c>
      <c r="BD134">
        <v>11.757768015837698</v>
      </c>
      <c r="BE134">
        <v>11.823133461626696</v>
      </c>
      <c r="BF134">
        <v>11.888862296240635</v>
      </c>
      <c r="BG134">
        <v>11.954956539882032</v>
      </c>
      <c r="BH134">
        <v>12.019124477688386</v>
      </c>
      <c r="BI134">
        <v>12.083636835336717</v>
      </c>
      <c r="BJ134">
        <v>12.148495461492134</v>
      </c>
      <c r="BK134">
        <v>12.213702214742405</v>
      </c>
      <c r="BL134">
        <v>12.279258963651227</v>
      </c>
      <c r="BM134">
        <v>12.337170130194249</v>
      </c>
      <c r="BN134">
        <v>12.395354416085945</v>
      </c>
      <c r="BO134">
        <v>12.453813109405683</v>
      </c>
      <c r="BP134">
        <v>12.512547504307637</v>
      </c>
      <c r="BQ134">
        <v>12.571558901049444</v>
      </c>
      <c r="BR134">
        <v>12.622088884688262</v>
      </c>
      <c r="BS134">
        <v>12.672821967979766</v>
      </c>
      <c r="BT134">
        <v>12.723758967260437</v>
      </c>
      <c r="BU134">
        <v>12.774900702147928</v>
      </c>
      <c r="BV134">
        <v>12.826247995554251</v>
      </c>
      <c r="BW134">
        <v>12.868834910334423</v>
      </c>
      <c r="BX134">
        <v>12.911563226193937</v>
      </c>
      <c r="BY134">
        <v>12.954433412625956</v>
      </c>
      <c r="BZ134">
        <v>12.997445940682496</v>
      </c>
      <c r="CA134">
        <v>13.040601282979605</v>
      </c>
      <c r="CB134">
        <v>13.06842899033459</v>
      </c>
      <c r="CC134">
        <v>13.096316080020177</v>
      </c>
      <c r="CD134">
        <v>13.124262678753999</v>
      </c>
      <c r="CE134">
        <v>13.152268913524093</v>
      </c>
      <c r="CF134">
        <v>13.180334911589481</v>
      </c>
      <c r="CG134">
        <v>13.189447763127433</v>
      </c>
      <c r="CH134">
        <v>13.198566915268799</v>
      </c>
      <c r="CI134">
        <v>13.207692372369801</v>
      </c>
      <c r="CJ134">
        <v>13.216824138789674</v>
      </c>
      <c r="CK134">
        <v>13.225962218890665</v>
      </c>
      <c r="CL134">
        <v>13.22905962240266</v>
      </c>
      <c r="CM134">
        <v>13.232157751299196</v>
      </c>
      <c r="CN134">
        <v>13.23525660575015</v>
      </c>
      <c r="CO134">
        <v>13.23835618592544</v>
      </c>
      <c r="CP134">
        <v>13.241456491995026</v>
      </c>
      <c r="CQ134">
        <v>13.246155303510076</v>
      </c>
      <c r="CR134">
        <v>13.250855782427021</v>
      </c>
      <c r="CS134">
        <v>13.255557929337549</v>
      </c>
      <c r="CT134">
        <v>13.260261744833558</v>
      </c>
      <c r="CU134">
        <v>13.264967229507157</v>
      </c>
      <c r="CV134">
        <v>13.272208990341527</v>
      </c>
      <c r="CW134">
        <v>13.279454704679821</v>
      </c>
      <c r="CX134">
        <v>13.286704374680379</v>
      </c>
      <c r="CY134">
        <v>13.293958002502723</v>
      </c>
      <c r="CZ134" s="427">
        <v>13.30121559030755</v>
      </c>
    </row>
    <row r="135" spans="1:104">
      <c r="A135" s="1290" t="s">
        <v>282</v>
      </c>
      <c r="B135">
        <v>2016</v>
      </c>
      <c r="C135" s="811">
        <f t="shared" si="267"/>
        <v>1</v>
      </c>
      <c r="D135" s="1169" t="s">
        <v>860</v>
      </c>
      <c r="E135" s="811" t="s">
        <v>1054</v>
      </c>
      <c r="F135">
        <v>47.141269049911173</v>
      </c>
      <c r="G135">
        <v>52.224661236371581</v>
      </c>
      <c r="H135" s="986">
        <v>8.2641705904266125</v>
      </c>
      <c r="I135" s="986">
        <v>10.495609596381577</v>
      </c>
      <c r="J135" s="986">
        <v>9.3614571685358463</v>
      </c>
      <c r="K135" s="986">
        <v>8.8987432965993278</v>
      </c>
      <c r="L135" s="986">
        <v>10.965509816201024</v>
      </c>
      <c r="M135" s="986">
        <v>6.0111731674040234</v>
      </c>
      <c r="N135" s="986">
        <v>6.1171751211856922</v>
      </c>
      <c r="O135">
        <v>5.6004077154944953</v>
      </c>
      <c r="P135">
        <v>4.1590520124961925</v>
      </c>
      <c r="Q135">
        <v>4.894763142071362</v>
      </c>
      <c r="R135">
        <v>5.8241384234641265</v>
      </c>
      <c r="S135">
        <v>4.0289549914527321</v>
      </c>
      <c r="T135">
        <v>3.5632207034637156</v>
      </c>
      <c r="U135">
        <v>3.8686572087168831</v>
      </c>
      <c r="V135">
        <v>4.230424735748624</v>
      </c>
      <c r="W135">
        <v>4.6374903322667231</v>
      </c>
      <c r="X135">
        <v>5.0398775041324821</v>
      </c>
      <c r="Y135">
        <v>5.0452222441273262</v>
      </c>
      <c r="Z135">
        <v>4.9894479534735598</v>
      </c>
      <c r="AA135">
        <v>5.0008757828968315</v>
      </c>
      <c r="AB135">
        <v>5.0866427943161305</v>
      </c>
      <c r="AC135">
        <v>5.1985543895300337</v>
      </c>
      <c r="AD135">
        <v>5.3142743134013735</v>
      </c>
      <c r="AE135">
        <v>5.4069765017212355</v>
      </c>
      <c r="AF135">
        <v>5.498883471588238</v>
      </c>
      <c r="AG135">
        <v>5.5761078084954727</v>
      </c>
      <c r="AH135">
        <v>5.5953977798334869</v>
      </c>
      <c r="AI135">
        <v>5.6194116710392619</v>
      </c>
      <c r="AJ135">
        <v>5.6053299540498323</v>
      </c>
      <c r="AK135">
        <v>5.5496627667157004</v>
      </c>
      <c r="AL135">
        <v>5.5482476759527453</v>
      </c>
      <c r="AM135">
        <v>5.6344516310034729</v>
      </c>
      <c r="AN135">
        <v>5.6381945602887429</v>
      </c>
      <c r="AO135">
        <v>5.6485162872871211</v>
      </c>
      <c r="AP135">
        <v>5.6430123140383071</v>
      </c>
      <c r="AQ135">
        <v>5.6644386648670784</v>
      </c>
      <c r="AR135">
        <v>5.6215300420072483</v>
      </c>
      <c r="AS135">
        <v>5.6260767200982693</v>
      </c>
      <c r="AT135">
        <v>5.6802473044084865</v>
      </c>
      <c r="AU135">
        <v>5.7631623345111542</v>
      </c>
      <c r="AV135">
        <v>5.819991545472468</v>
      </c>
      <c r="AW135">
        <v>5.8947240715184783</v>
      </c>
      <c r="AX135">
        <v>5.9518546882819487</v>
      </c>
      <c r="AY135">
        <v>6.0145186606208574</v>
      </c>
      <c r="AZ135">
        <v>6.1247620979360331</v>
      </c>
      <c r="BA135">
        <v>6.1606322318436177</v>
      </c>
      <c r="BB135">
        <v>6.238633778680942</v>
      </c>
      <c r="BC135">
        <v>6.2733164733478626</v>
      </c>
      <c r="BD135">
        <v>6.3081919809530058</v>
      </c>
      <c r="BE135">
        <v>6.3432613734093088</v>
      </c>
      <c r="BF135">
        <v>6.3785257285888406</v>
      </c>
      <c r="BG135">
        <v>6.4139861303559274</v>
      </c>
      <c r="BH135">
        <v>6.4484130445592944</v>
      </c>
      <c r="BI135">
        <v>6.4830247443854354</v>
      </c>
      <c r="BJ135">
        <v>6.5178222216666768</v>
      </c>
      <c r="BK135">
        <v>6.5528064735589808</v>
      </c>
      <c r="BL135">
        <v>6.5879785025705191</v>
      </c>
      <c r="BM135">
        <v>6.6190485794679574</v>
      </c>
      <c r="BN135">
        <v>6.6502651883672899</v>
      </c>
      <c r="BO135">
        <v>6.6816290203394662</v>
      </c>
      <c r="BP135">
        <v>6.7131407697146503</v>
      </c>
      <c r="BQ135">
        <v>6.7448011340975915</v>
      </c>
      <c r="BR135">
        <v>6.7719111125525773</v>
      </c>
      <c r="BS135">
        <v>6.7991300565526132</v>
      </c>
      <c r="BT135">
        <v>6.8264584040725946</v>
      </c>
      <c r="BU135">
        <v>6.8538965948478108</v>
      </c>
      <c r="BV135">
        <v>6.8814450703810159</v>
      </c>
      <c r="BW135">
        <v>6.904293491437457</v>
      </c>
      <c r="BX135">
        <v>6.9272177759701634</v>
      </c>
      <c r="BY135">
        <v>6.9502181758681845</v>
      </c>
      <c r="BZ135">
        <v>6.9732949438569127</v>
      </c>
      <c r="CA135">
        <v>6.996448333500866</v>
      </c>
      <c r="CB135">
        <v>7.0113782521851409</v>
      </c>
      <c r="CC135">
        <v>7.0263400302445289</v>
      </c>
      <c r="CD135">
        <v>7.0413337356646508</v>
      </c>
      <c r="CE135">
        <v>7.0563594365762032</v>
      </c>
      <c r="CF135">
        <v>7.0714172012552687</v>
      </c>
      <c r="CG135">
        <v>7.0763063619291211</v>
      </c>
      <c r="CH135">
        <v>7.0811989029567863</v>
      </c>
      <c r="CI135">
        <v>7.0860948266754322</v>
      </c>
      <c r="CJ135">
        <v>7.090994135423843</v>
      </c>
      <c r="CK135">
        <v>7.0958968315424205</v>
      </c>
      <c r="CL135">
        <v>7.0975586278944007</v>
      </c>
      <c r="CM135">
        <v>7.0992208134244059</v>
      </c>
      <c r="CN135">
        <v>7.1008833882235782</v>
      </c>
      <c r="CO135">
        <v>7.1025463523830812</v>
      </c>
      <c r="CP135">
        <v>7.1042097059940996</v>
      </c>
      <c r="CQ135">
        <v>7.1067306780935082</v>
      </c>
      <c r="CR135">
        <v>7.1092525447752264</v>
      </c>
      <c r="CS135">
        <v>7.1117753063567024</v>
      </c>
      <c r="CT135">
        <v>7.1142989631554965</v>
      </c>
      <c r="CU135">
        <v>7.1168235154892816</v>
      </c>
      <c r="CV135">
        <v>7.1207088122192239</v>
      </c>
      <c r="CW135">
        <v>7.1245962300542702</v>
      </c>
      <c r="CX135">
        <v>7.1284857701523974</v>
      </c>
      <c r="CY135">
        <v>7.1323774336722154</v>
      </c>
      <c r="CZ135" s="427">
        <v>7.1362712217729669</v>
      </c>
    </row>
    <row r="136" spans="1:104">
      <c r="A136" s="1290" t="s">
        <v>1082</v>
      </c>
      <c r="B136">
        <v>2016</v>
      </c>
      <c r="C136" s="811">
        <f t="shared" si="267"/>
        <v>1</v>
      </c>
      <c r="D136" s="1169" t="s">
        <v>860</v>
      </c>
      <c r="E136" s="811" t="s">
        <v>1054</v>
      </c>
      <c r="F136">
        <v>47.141269049911173</v>
      </c>
      <c r="G136">
        <v>52.224661236371581</v>
      </c>
      <c r="H136" s="986">
        <v>8.4160389626855991</v>
      </c>
      <c r="I136" s="986">
        <v>10.630483084185546</v>
      </c>
      <c r="J136" s="986">
        <v>10.241695834954719</v>
      </c>
      <c r="K136" s="986">
        <v>9.4549147526367854</v>
      </c>
      <c r="L136" s="986">
        <v>10.431438353650302</v>
      </c>
      <c r="M136" s="986">
        <v>7.3081429877632402</v>
      </c>
      <c r="N136" s="986">
        <v>6.8860004096407268</v>
      </c>
      <c r="O136">
        <v>6.1462564207083838</v>
      </c>
      <c r="P136">
        <v>5.0701845410069568</v>
      </c>
      <c r="Q136">
        <v>5.147940545971605</v>
      </c>
      <c r="R136">
        <v>5.9174075441245835</v>
      </c>
      <c r="S136">
        <v>4.3672641892083037</v>
      </c>
      <c r="T136">
        <v>3.755553639162041</v>
      </c>
      <c r="U136">
        <v>3.3468214009493336</v>
      </c>
      <c r="V136">
        <v>3.6078009129373227</v>
      </c>
      <c r="W136">
        <v>3.9595869792693468</v>
      </c>
      <c r="X136">
        <v>4.2992239274502966</v>
      </c>
      <c r="Y136">
        <v>4.3362295461094007</v>
      </c>
      <c r="Z136">
        <v>4.2972619462853157</v>
      </c>
      <c r="AA136">
        <v>4.3209431537283329</v>
      </c>
      <c r="AB136">
        <v>4.4388231525151278</v>
      </c>
      <c r="AC136">
        <v>4.5598555906037213</v>
      </c>
      <c r="AD136">
        <v>4.6705511366221319</v>
      </c>
      <c r="AE136">
        <v>4.7905826799714895</v>
      </c>
      <c r="AF136">
        <v>4.8909868291351355</v>
      </c>
      <c r="AG136">
        <v>4.9795195705251665</v>
      </c>
      <c r="AH136">
        <v>5.0140428564929254</v>
      </c>
      <c r="AI136">
        <v>5.034241784322349</v>
      </c>
      <c r="AJ136">
        <v>5.0303794300966009</v>
      </c>
      <c r="AK136">
        <v>4.9817061843162831</v>
      </c>
      <c r="AL136">
        <v>5.005816752854825</v>
      </c>
      <c r="AM136">
        <v>5.1117353012541518</v>
      </c>
      <c r="AN136">
        <v>5.1218001698488047</v>
      </c>
      <c r="AO136">
        <v>5.1563490468752367</v>
      </c>
      <c r="AP136">
        <v>5.1654177598155924</v>
      </c>
      <c r="AQ136">
        <v>5.1952502995101684</v>
      </c>
      <c r="AR136">
        <v>5.1548078964528896</v>
      </c>
      <c r="AS136">
        <v>5.1691436283950809</v>
      </c>
      <c r="AT136">
        <v>5.2239208155775625</v>
      </c>
      <c r="AU136">
        <v>5.3036701369405987</v>
      </c>
      <c r="AV136">
        <v>5.3698761013633396</v>
      </c>
      <c r="AW136">
        <v>5.4477553798092231</v>
      </c>
      <c r="AX136">
        <v>5.5105548899774046</v>
      </c>
      <c r="AY136">
        <v>5.5735610242489493</v>
      </c>
      <c r="AZ136">
        <v>5.6745566112130543</v>
      </c>
      <c r="BA136">
        <v>5.7069198222653581</v>
      </c>
      <c r="BB136">
        <v>5.8107835034348891</v>
      </c>
      <c r="BC136">
        <v>5.8430876323795795</v>
      </c>
      <c r="BD136">
        <v>5.8755713510037442</v>
      </c>
      <c r="BE136">
        <v>5.9082356577077126</v>
      </c>
      <c r="BF136">
        <v>5.9410815564422617</v>
      </c>
      <c r="BG136">
        <v>5.974110056739474</v>
      </c>
      <c r="BH136">
        <v>6.006175946840397</v>
      </c>
      <c r="BI136">
        <v>6.0384139498247791</v>
      </c>
      <c r="BJ136">
        <v>6.0708249895043265</v>
      </c>
      <c r="BK136">
        <v>6.1034099946492821</v>
      </c>
      <c r="BL136">
        <v>6.1361698990150408</v>
      </c>
      <c r="BM136">
        <v>6.1651091662794615</v>
      </c>
      <c r="BN136">
        <v>6.1941849162690321</v>
      </c>
      <c r="BO136">
        <v>6.2233977926605295</v>
      </c>
      <c r="BP136">
        <v>6.2527484421664239</v>
      </c>
      <c r="BQ136">
        <v>6.2822375145491964</v>
      </c>
      <c r="BR136">
        <v>6.3074882699506478</v>
      </c>
      <c r="BS136">
        <v>6.3328405179567433</v>
      </c>
      <c r="BT136">
        <v>6.3582946665057261</v>
      </c>
      <c r="BU136">
        <v>6.3838511251755019</v>
      </c>
      <c r="BV136">
        <v>6.4095103051902287</v>
      </c>
      <c r="BW136">
        <v>6.4307917640583545</v>
      </c>
      <c r="BX136">
        <v>6.4521438836275307</v>
      </c>
      <c r="BY136">
        <v>6.473566898512062</v>
      </c>
      <c r="BZ136">
        <v>6.4950610441052419</v>
      </c>
      <c r="CA136">
        <v>6.5166265565819383</v>
      </c>
      <c r="CB136">
        <v>6.5305325700258869</v>
      </c>
      <c r="CC136">
        <v>6.5444682579046409</v>
      </c>
      <c r="CD136">
        <v>6.5584336835413142</v>
      </c>
      <c r="CE136">
        <v>6.5724289103941489</v>
      </c>
      <c r="CF136">
        <v>6.5864540020568016</v>
      </c>
      <c r="CG136">
        <v>6.5910078603528843</v>
      </c>
      <c r="CH136">
        <v>6.5955648671755291</v>
      </c>
      <c r="CI136">
        <v>6.6001250247016205</v>
      </c>
      <c r="CJ136">
        <v>6.6046883351095476</v>
      </c>
      <c r="CK136">
        <v>6.6092548005792047</v>
      </c>
      <c r="CL136">
        <v>6.6108026296665843</v>
      </c>
      <c r="CM136">
        <v>6.6123508212418631</v>
      </c>
      <c r="CN136">
        <v>6.6138993753899316</v>
      </c>
      <c r="CO136">
        <v>6.6154482921957012</v>
      </c>
      <c r="CP136">
        <v>6.6169975717441041</v>
      </c>
      <c r="CQ136">
        <v>6.6193456536491393</v>
      </c>
      <c r="CR136">
        <v>6.6216945687853457</v>
      </c>
      <c r="CS136">
        <v>6.6240443174483996</v>
      </c>
      <c r="CT136">
        <v>6.6263948999340831</v>
      </c>
      <c r="CU136">
        <v>6.6287463165382841</v>
      </c>
      <c r="CV136">
        <v>6.6323651566473876</v>
      </c>
      <c r="CW136">
        <v>6.6359859723945851</v>
      </c>
      <c r="CX136">
        <v>6.6396087648584388</v>
      </c>
      <c r="CY136">
        <v>6.6432335351180996</v>
      </c>
      <c r="CZ136" s="427">
        <v>6.6468602842533091</v>
      </c>
    </row>
    <row r="137" spans="1:104">
      <c r="A137" s="890" t="s">
        <v>1077</v>
      </c>
      <c r="B137">
        <v>2016</v>
      </c>
      <c r="C137" s="811">
        <f t="shared" si="267"/>
        <v>1</v>
      </c>
      <c r="D137" s="1171" t="s">
        <v>267</v>
      </c>
      <c r="E137" s="811" t="s">
        <v>1054</v>
      </c>
      <c r="F137">
        <v>19.551069237418005</v>
      </c>
      <c r="G137">
        <v>20.588656379262464</v>
      </c>
      <c r="H137" s="986">
        <v>5.0967849132778742</v>
      </c>
      <c r="I137" s="986">
        <v>5.0967849132778742</v>
      </c>
      <c r="J137" s="986">
        <v>5.0967849132778742</v>
      </c>
      <c r="K137" s="986">
        <v>5.0967849132778742</v>
      </c>
      <c r="L137" s="986">
        <v>5.0967849132778742</v>
      </c>
      <c r="M137" s="986">
        <v>5.0967849132778742</v>
      </c>
      <c r="N137" s="986">
        <v>5.0967849132778742</v>
      </c>
      <c r="O137">
        <v>5.0967849132778742</v>
      </c>
      <c r="P137">
        <v>5.0967849132778742</v>
      </c>
      <c r="Q137">
        <v>5.0967849132778742</v>
      </c>
      <c r="R137">
        <v>5.0967849132778742</v>
      </c>
      <c r="S137">
        <v>5.0967849132778742</v>
      </c>
      <c r="T137">
        <v>5.0967849132778742</v>
      </c>
      <c r="U137">
        <v>5.0967849132778742</v>
      </c>
      <c r="V137">
        <v>5.0967849132778742</v>
      </c>
      <c r="W137">
        <v>5.0967849132778742</v>
      </c>
      <c r="X137">
        <v>5.0967849132778742</v>
      </c>
      <c r="Y137">
        <v>5.0967849132778742</v>
      </c>
      <c r="Z137">
        <v>5.0967849132778742</v>
      </c>
      <c r="AA137">
        <v>5.0967849132778742</v>
      </c>
      <c r="AB137">
        <v>5.0967849132778742</v>
      </c>
      <c r="AC137">
        <v>5.0967849132778742</v>
      </c>
      <c r="AD137">
        <v>5.0967849132778742</v>
      </c>
      <c r="AE137">
        <v>5.0967849132778742</v>
      </c>
      <c r="AF137">
        <v>5.0967849132778742</v>
      </c>
      <c r="AG137">
        <v>5.0967849132778742</v>
      </c>
      <c r="AH137">
        <v>5.0967849132778742</v>
      </c>
      <c r="AI137">
        <v>5.0967849132778742</v>
      </c>
      <c r="AJ137">
        <v>5.0967849132778742</v>
      </c>
      <c r="AK137">
        <v>5.0967849132778742</v>
      </c>
      <c r="AL137">
        <v>5.0967849132778742</v>
      </c>
      <c r="AM137">
        <v>5.0967849132778742</v>
      </c>
      <c r="AN137">
        <v>5.0967849132778742</v>
      </c>
      <c r="AO137">
        <v>5.0967849132778742</v>
      </c>
      <c r="AP137">
        <v>5.0967849132778742</v>
      </c>
      <c r="AQ137">
        <v>5.0967849132778742</v>
      </c>
      <c r="AR137">
        <v>5.0967849132778742</v>
      </c>
      <c r="AS137">
        <v>5.0967849132778742</v>
      </c>
      <c r="AT137">
        <v>5.0967849132778742</v>
      </c>
      <c r="AU137">
        <v>5.0967849132778742</v>
      </c>
      <c r="AV137">
        <v>5.0967849132778742</v>
      </c>
      <c r="AW137">
        <v>5.0967849132778742</v>
      </c>
      <c r="AX137">
        <v>5.0967849132778742</v>
      </c>
      <c r="AY137">
        <v>5.0967849132778742</v>
      </c>
      <c r="AZ137">
        <v>5.0967849132778742</v>
      </c>
      <c r="BA137">
        <v>5.0967849132778742</v>
      </c>
      <c r="BB137">
        <v>5.0967849132778742</v>
      </c>
      <c r="BC137">
        <v>5.1179587571540939</v>
      </c>
      <c r="BD137">
        <v>5.1392205646528959</v>
      </c>
      <c r="BE137">
        <v>5.1605707012062227</v>
      </c>
      <c r="BF137">
        <v>5.1820095337641501</v>
      </c>
      <c r="BG137">
        <v>5.2035374308011946</v>
      </c>
      <c r="BH137">
        <v>5.2223240063357927</v>
      </c>
      <c r="BI137">
        <v>5.2411784079262249</v>
      </c>
      <c r="BJ137">
        <v>5.2601008804480855</v>
      </c>
      <c r="BK137">
        <v>5.2790916696610548</v>
      </c>
      <c r="BL137">
        <v>5.2981510222120916</v>
      </c>
      <c r="BM137">
        <v>5.3113630812048802</v>
      </c>
      <c r="BN137">
        <v>5.3246080872582748</v>
      </c>
      <c r="BO137">
        <v>5.3378861225327325</v>
      </c>
      <c r="BP137">
        <v>5.3511972693935945</v>
      </c>
      <c r="BQ137">
        <v>5.3645416104115968</v>
      </c>
      <c r="BR137">
        <v>5.3779717491778074</v>
      </c>
      <c r="BS137">
        <v>5.3914355103185612</v>
      </c>
      <c r="BT137">
        <v>5.4049329780075288</v>
      </c>
      <c r="BU137">
        <v>5.4184642366291094</v>
      </c>
      <c r="BV137">
        <v>5.4320293707789578</v>
      </c>
      <c r="BW137">
        <v>5.4450858323773135</v>
      </c>
      <c r="BX137">
        <v>5.458173676572823</v>
      </c>
      <c r="BY137">
        <v>5.471292978796904</v>
      </c>
      <c r="BZ137">
        <v>5.4844438146622805</v>
      </c>
      <c r="CA137">
        <v>5.4976262599634209</v>
      </c>
      <c r="CB137">
        <v>5.509165721372697</v>
      </c>
      <c r="CC137">
        <v>5.5207294039936956</v>
      </c>
      <c r="CD137">
        <v>5.5323173586664938</v>
      </c>
      <c r="CE137">
        <v>5.5439296363378796</v>
      </c>
      <c r="CF137">
        <v>5.5555662880615797</v>
      </c>
      <c r="CG137">
        <v>5.5698816197819898</v>
      </c>
      <c r="CH137">
        <v>5.5842338386011479</v>
      </c>
      <c r="CI137">
        <v>5.598623039568059</v>
      </c>
      <c r="CJ137">
        <v>5.6130493179766479</v>
      </c>
      <c r="CK137">
        <v>5.6275127693663878</v>
      </c>
      <c r="CL137">
        <v>5.6395580019552014</v>
      </c>
      <c r="CM137">
        <v>5.6516290163830023</v>
      </c>
      <c r="CN137">
        <v>5.6637258678337163</v>
      </c>
      <c r="CO137">
        <v>5.6758486116093856</v>
      </c>
      <c r="CP137">
        <v>5.6879973031304223</v>
      </c>
      <c r="CQ137">
        <v>5.6991168854631553</v>
      </c>
      <c r="CR137">
        <v>5.7102582056949531</v>
      </c>
      <c r="CS137">
        <v>5.7214213063216786</v>
      </c>
      <c r="CT137">
        <v>5.732606229922272</v>
      </c>
      <c r="CU137">
        <v>5.7438130191589121</v>
      </c>
      <c r="CV137">
        <v>5.7570440466225028</v>
      </c>
      <c r="CW137">
        <v>5.7703055521130002</v>
      </c>
      <c r="CX137">
        <v>5.7835976058373566</v>
      </c>
      <c r="CY137">
        <v>5.796920278164249</v>
      </c>
      <c r="CZ137" s="427">
        <v>5.8102736396244499</v>
      </c>
    </row>
    <row r="138" spans="1:104">
      <c r="A138" s="1291" t="s">
        <v>1083</v>
      </c>
      <c r="B138">
        <v>2016</v>
      </c>
      <c r="C138" s="811">
        <f t="shared" si="267"/>
        <v>1</v>
      </c>
      <c r="D138" s="1171" t="s">
        <v>267</v>
      </c>
      <c r="E138" s="834" t="s">
        <v>1048</v>
      </c>
      <c r="F138">
        <v>22.7322030001394</v>
      </c>
      <c r="G138">
        <v>23.967615189707661</v>
      </c>
      <c r="H138" s="986" t="e">
        <v>#N/A</v>
      </c>
      <c r="I138" s="986" t="e">
        <v>#N/A</v>
      </c>
      <c r="J138" s="986" t="e">
        <v>#N/A</v>
      </c>
      <c r="K138" s="986" t="e">
        <v>#N/A</v>
      </c>
      <c r="L138" s="986">
        <v>2.2148742453355847</v>
      </c>
      <c r="M138" s="986">
        <v>2.3408877437334223</v>
      </c>
      <c r="N138" s="986">
        <v>2.3629142410275352</v>
      </c>
      <c r="O138">
        <v>2.4181318326423913</v>
      </c>
      <c r="P138">
        <v>2.3501923436687169</v>
      </c>
      <c r="Q138">
        <v>2.2749877363600257</v>
      </c>
      <c r="R138">
        <v>2.2671813119268305</v>
      </c>
      <c r="S138">
        <v>2.0920368648072634</v>
      </c>
      <c r="T138">
        <v>1.9706687398025258</v>
      </c>
      <c r="U138">
        <v>2.067600203211962</v>
      </c>
      <c r="V138">
        <v>2.1142782942327232</v>
      </c>
      <c r="W138">
        <v>2.1573963846468813</v>
      </c>
      <c r="X138">
        <v>2.1900363582596567</v>
      </c>
      <c r="Y138">
        <v>2.1929897559939948</v>
      </c>
      <c r="Z138">
        <v>2.2028650611910647</v>
      </c>
      <c r="AA138">
        <v>2.2090827406317772</v>
      </c>
      <c r="AB138">
        <v>2.2092997907220093</v>
      </c>
      <c r="AC138">
        <v>2.2079918032786887</v>
      </c>
      <c r="AD138">
        <v>2.2065492258230841</v>
      </c>
      <c r="AE138">
        <v>2.1995552842692714</v>
      </c>
      <c r="AF138">
        <v>2.1903510334996437</v>
      </c>
      <c r="AG138">
        <v>2.1795345460335755</v>
      </c>
      <c r="AH138">
        <v>2.1771697426487315</v>
      </c>
      <c r="AI138">
        <v>2.177831318906295</v>
      </c>
      <c r="AJ138">
        <v>2.1809505846135182</v>
      </c>
      <c r="AK138">
        <v>2.1861806387528246</v>
      </c>
      <c r="AL138">
        <v>2.1973402359685172</v>
      </c>
      <c r="AM138">
        <v>2.2020565733003745</v>
      </c>
      <c r="AN138">
        <v>2.2177912831167257</v>
      </c>
      <c r="AO138">
        <v>2.2206593773221517</v>
      </c>
      <c r="AP138">
        <v>2.2289385587115755</v>
      </c>
      <c r="AQ138">
        <v>2.2351116907538557</v>
      </c>
      <c r="AR138">
        <v>2.2481536525075447</v>
      </c>
      <c r="AS138">
        <v>2.2492673374683427</v>
      </c>
      <c r="AT138">
        <v>2.2496910116619402</v>
      </c>
      <c r="AU138">
        <v>2.2544263053335558</v>
      </c>
      <c r="AV138">
        <v>2.2540196918457411</v>
      </c>
      <c r="AW138">
        <v>2.2546357728878843</v>
      </c>
      <c r="AX138">
        <v>2.2490256441364247</v>
      </c>
      <c r="AY138">
        <v>2.2531477002168603</v>
      </c>
      <c r="AZ138">
        <v>2.2540841434009193</v>
      </c>
      <c r="BA138">
        <v>2.2596705767276806</v>
      </c>
      <c r="BB138">
        <v>2.2620458060993922</v>
      </c>
      <c r="BC138">
        <v>2.2703711301923084</v>
      </c>
      <c r="BD138">
        <v>2.2787270951418623</v>
      </c>
      <c r="BE138">
        <v>2.2871138137198912</v>
      </c>
      <c r="BF138">
        <v>2.2955313991132824</v>
      </c>
      <c r="BG138">
        <v>2.3039799649255008</v>
      </c>
      <c r="BH138">
        <v>2.3125787529279784</v>
      </c>
      <c r="BI138">
        <v>2.3212096328567045</v>
      </c>
      <c r="BJ138">
        <v>2.3298727244834101</v>
      </c>
      <c r="BK138">
        <v>2.338568148026833</v>
      </c>
      <c r="BL138">
        <v>2.3472960241543843</v>
      </c>
      <c r="BM138">
        <v>2.3559838582312191</v>
      </c>
      <c r="BN138">
        <v>2.3647038478010849</v>
      </c>
      <c r="BO138">
        <v>2.3734561118781943</v>
      </c>
      <c r="BP138">
        <v>2.3822407699172565</v>
      </c>
      <c r="BQ138">
        <v>2.3910579418151077</v>
      </c>
      <c r="BR138">
        <v>2.3997099382358895</v>
      </c>
      <c r="BS138">
        <v>2.4083932417365861</v>
      </c>
      <c r="BT138">
        <v>2.4171079656012542</v>
      </c>
      <c r="BU138">
        <v>2.4258542235238663</v>
      </c>
      <c r="BV138">
        <v>2.434632129609795</v>
      </c>
      <c r="BW138">
        <v>2.4428635118796533</v>
      </c>
      <c r="BX138">
        <v>2.4511227240845761</v>
      </c>
      <c r="BY138">
        <v>2.4594098603163279</v>
      </c>
      <c r="BZ138">
        <v>2.467725014984794</v>
      </c>
      <c r="CA138">
        <v>2.476068282819055</v>
      </c>
      <c r="CB138">
        <v>2.4831576550549128</v>
      </c>
      <c r="CC138">
        <v>2.4902673252765117</v>
      </c>
      <c r="CD138">
        <v>2.4973973516001715</v>
      </c>
      <c r="CE138">
        <v>2.5045477923086086</v>
      </c>
      <c r="CF138">
        <v>2.5117187058514112</v>
      </c>
      <c r="CG138">
        <v>2.5171937058097216</v>
      </c>
      <c r="CH138">
        <v>2.5226806400759916</v>
      </c>
      <c r="CI138">
        <v>2.5281795346644143</v>
      </c>
      <c r="CJ138">
        <v>2.5336904156458884</v>
      </c>
      <c r="CK138">
        <v>2.539213309148141</v>
      </c>
      <c r="CL138">
        <v>2.5429573704375228</v>
      </c>
      <c r="CM138">
        <v>2.5467069523323964</v>
      </c>
      <c r="CN138">
        <v>2.5504620629728754</v>
      </c>
      <c r="CO138">
        <v>2.554222710511076</v>
      </c>
      <c r="CP138">
        <v>2.5579889031111347</v>
      </c>
      <c r="CQ138">
        <v>2.5592501421168059</v>
      </c>
      <c r="CR138">
        <v>2.5605120029875006</v>
      </c>
      <c r="CS138">
        <v>2.5617744860298348</v>
      </c>
      <c r="CT138">
        <v>2.5630375915505756</v>
      </c>
      <c r="CU138">
        <v>2.564301319856642</v>
      </c>
      <c r="CV138">
        <v>2.5624850697467836</v>
      </c>
      <c r="CW138">
        <v>2.5606701060553489</v>
      </c>
      <c r="CX138">
        <v>2.5588564278711901</v>
      </c>
      <c r="CY138">
        <v>2.5570440342838041</v>
      </c>
      <c r="CZ138" s="427">
        <v>2.555232924383334</v>
      </c>
    </row>
    <row r="139" spans="1:104">
      <c r="A139" s="890" t="s">
        <v>682</v>
      </c>
      <c r="B139">
        <v>2016</v>
      </c>
      <c r="C139" s="811">
        <f t="shared" si="267"/>
        <v>1</v>
      </c>
      <c r="D139" s="1159" t="s">
        <v>295</v>
      </c>
      <c r="E139" s="811" t="s">
        <v>1067</v>
      </c>
      <c r="F139" s="814"/>
      <c r="G139" s="811"/>
      <c r="H139" s="986">
        <v>28.373013628420669</v>
      </c>
      <c r="I139" s="986">
        <v>29.17093293229123</v>
      </c>
      <c r="J139" s="986">
        <v>30.878569780545078</v>
      </c>
      <c r="K139" s="986">
        <v>30.682595180991225</v>
      </c>
      <c r="L139" s="986">
        <v>31.992353762541459</v>
      </c>
      <c r="M139" s="986">
        <v>31.4429334181984</v>
      </c>
      <c r="N139" s="986">
        <v>31.156600892671783</v>
      </c>
      <c r="O139">
        <v>30.676058322376605</v>
      </c>
      <c r="P139">
        <v>29.679126186318804</v>
      </c>
      <c r="Q139">
        <v>29.700131988890092</v>
      </c>
      <c r="R139">
        <v>30.54196479432273</v>
      </c>
      <c r="S139">
        <v>29.932211922183079</v>
      </c>
      <c r="T139">
        <v>28.972214109999999</v>
      </c>
      <c r="U139">
        <v>29.128232055928784</v>
      </c>
      <c r="V139">
        <v>28.995688380521983</v>
      </c>
      <c r="W139">
        <v>29.39475155821113</v>
      </c>
      <c r="X139">
        <v>29.885964346916182</v>
      </c>
      <c r="Y139">
        <v>30.089071101439163</v>
      </c>
      <c r="Z139">
        <v>31.081689502737298</v>
      </c>
      <c r="AA139">
        <v>31.400245105473072</v>
      </c>
      <c r="AB139">
        <v>31.337976372818122</v>
      </c>
      <c r="AC139">
        <v>31.854564117923594</v>
      </c>
      <c r="AD139">
        <v>32.189964324168578</v>
      </c>
      <c r="AE139">
        <v>32.274661250208517</v>
      </c>
      <c r="AF139">
        <v>32.347049824843424</v>
      </c>
      <c r="AG139">
        <v>32.398275541772193</v>
      </c>
      <c r="AH139">
        <v>32.473329377777105</v>
      </c>
      <c r="AI139">
        <v>32.424485524938959</v>
      </c>
      <c r="AJ139">
        <v>32.33705604252286</v>
      </c>
      <c r="AK139">
        <v>32.213589610409308</v>
      </c>
      <c r="AL139">
        <v>32.123147965605618</v>
      </c>
      <c r="AM139">
        <v>32.189031672252469</v>
      </c>
      <c r="AN139">
        <v>32.20134665837643</v>
      </c>
      <c r="AO139">
        <v>32.137342472816606</v>
      </c>
      <c r="AP139">
        <v>32.106067355666433</v>
      </c>
      <c r="AQ139">
        <v>32.055398007309563</v>
      </c>
      <c r="AR139">
        <v>31.985796962436115</v>
      </c>
      <c r="AS139">
        <v>31.883579639374592</v>
      </c>
      <c r="AT139">
        <v>31.88043762605966</v>
      </c>
      <c r="AU139">
        <v>31.921825950470875</v>
      </c>
      <c r="AV139">
        <v>31.967798865652629</v>
      </c>
      <c r="AW139">
        <v>32.011030694105337</v>
      </c>
      <c r="AX139">
        <v>32.04019407500644</v>
      </c>
      <c r="AY139">
        <v>32.084258086774547</v>
      </c>
      <c r="AZ139">
        <v>32.12290532445671</v>
      </c>
      <c r="BA139">
        <v>32.1438833578502</v>
      </c>
      <c r="BB139">
        <v>32.210559439498944</v>
      </c>
      <c r="BC139">
        <v>32.212518425109167</v>
      </c>
      <c r="BD139">
        <v>32.214477529861206</v>
      </c>
      <c r="BE139">
        <v>32.216436753762309</v>
      </c>
      <c r="BF139">
        <v>32.218396096819724</v>
      </c>
      <c r="BG139">
        <v>32.220355559040698</v>
      </c>
      <c r="BH139">
        <v>32.225068562587758</v>
      </c>
      <c r="BI139">
        <v>32.229782255525173</v>
      </c>
      <c r="BJ139">
        <v>32.234496637953782</v>
      </c>
      <c r="BK139">
        <v>32.239211709974448</v>
      </c>
      <c r="BL139">
        <v>32.243927471688032</v>
      </c>
      <c r="BM139">
        <v>32.234738373564198</v>
      </c>
      <c r="BN139">
        <v>32.225551894213289</v>
      </c>
      <c r="BO139">
        <v>32.216368032888994</v>
      </c>
      <c r="BP139">
        <v>32.207186788845206</v>
      </c>
      <c r="BQ139">
        <v>32.198008161336034</v>
      </c>
      <c r="BR139">
        <v>32.188328675270981</v>
      </c>
      <c r="BS139">
        <v>32.178652099089362</v>
      </c>
      <c r="BT139">
        <v>32.168978431916393</v>
      </c>
      <c r="BU139">
        <v>32.15930767287756</v>
      </c>
      <c r="BV139">
        <v>32.14963982109861</v>
      </c>
      <c r="BW139">
        <v>32.135484213462775</v>
      </c>
      <c r="BX139">
        <v>32.121334838594358</v>
      </c>
      <c r="BY139">
        <v>32.107191693749044</v>
      </c>
      <c r="BZ139">
        <v>32.093054776183735</v>
      </c>
      <c r="CA139">
        <v>32.078924083156537</v>
      </c>
      <c r="CB139">
        <v>32.05322936592912</v>
      </c>
      <c r="CC139">
        <v>32.027555229768936</v>
      </c>
      <c r="CD139">
        <v>32.001901658190874</v>
      </c>
      <c r="CE139">
        <v>31.976268634723027</v>
      </c>
      <c r="CF139">
        <v>31.950656142906677</v>
      </c>
      <c r="CG139">
        <v>31.915373500092528</v>
      </c>
      <c r="CH139">
        <v>31.880129819385399</v>
      </c>
      <c r="CI139">
        <v>31.844925057760001</v>
      </c>
      <c r="CJ139">
        <v>31.809759172238564</v>
      </c>
      <c r="CK139">
        <v>31.774632119890772</v>
      </c>
      <c r="CL139">
        <v>31.736335048107414</v>
      </c>
      <c r="CM139">
        <v>31.698084134709202</v>
      </c>
      <c r="CN139">
        <v>31.659879324062725</v>
      </c>
      <c r="CO139">
        <v>31.621720560601634</v>
      </c>
      <c r="CP139">
        <v>31.583607788826551</v>
      </c>
      <c r="CQ139">
        <v>31.539463246970023</v>
      </c>
      <c r="CR139">
        <v>31.495380406125889</v>
      </c>
      <c r="CS139">
        <v>31.451359180054389</v>
      </c>
      <c r="CT139">
        <v>31.407399482636293</v>
      </c>
      <c r="CU139">
        <v>31.363501227872742</v>
      </c>
      <c r="CV139">
        <v>31.320648715953933</v>
      </c>
      <c r="CW139">
        <v>31.277854754187555</v>
      </c>
      <c r="CX139">
        <v>31.235119262575491</v>
      </c>
      <c r="CY139">
        <v>31.192442161228929</v>
      </c>
      <c r="CZ139" s="427">
        <v>31.1498233703682</v>
      </c>
    </row>
    <row r="140" spans="1:104">
      <c r="A140" s="890" t="s">
        <v>697</v>
      </c>
      <c r="B140">
        <v>2016</v>
      </c>
      <c r="C140" s="811">
        <f t="shared" si="267"/>
        <v>1</v>
      </c>
      <c r="D140" s="1159" t="s">
        <v>295</v>
      </c>
      <c r="E140" s="811" t="s">
        <v>1067</v>
      </c>
      <c r="F140" s="812"/>
      <c r="H140" s="986">
        <v>18.232352698801531</v>
      </c>
      <c r="I140" s="986">
        <v>19.279059481202857</v>
      </c>
      <c r="J140" s="986">
        <v>20.106975671052609</v>
      </c>
      <c r="K140" s="986">
        <v>20.31728323383771</v>
      </c>
      <c r="L140" s="986">
        <v>21.702415417864383</v>
      </c>
      <c r="M140" s="986">
        <v>21.137326303769196</v>
      </c>
      <c r="N140" s="986">
        <v>20.699724047437488</v>
      </c>
      <c r="O140">
        <v>20.430734156114106</v>
      </c>
      <c r="P140">
        <v>19.619402543384187</v>
      </c>
      <c r="Q140">
        <v>19.94482547791937</v>
      </c>
      <c r="R140">
        <v>20.190684361237558</v>
      </c>
      <c r="S140">
        <v>19.439058682545589</v>
      </c>
      <c r="T140">
        <v>18.777772519999996</v>
      </c>
      <c r="U140">
        <v>19.537493744407882</v>
      </c>
      <c r="V140">
        <v>19.094688812726531</v>
      </c>
      <c r="W140">
        <v>19.340880484069093</v>
      </c>
      <c r="X140">
        <v>19.700726786066333</v>
      </c>
      <c r="Y140">
        <v>19.809231927025674</v>
      </c>
      <c r="Z140">
        <v>20.448628319255093</v>
      </c>
      <c r="AA140">
        <v>20.513438149254636</v>
      </c>
      <c r="AB140">
        <v>20.459361398826221</v>
      </c>
      <c r="AC140">
        <v>20.950622526197662</v>
      </c>
      <c r="AD140">
        <v>21.163384692376518</v>
      </c>
      <c r="AE140">
        <v>21.285322295688569</v>
      </c>
      <c r="AF140">
        <v>21.423623959296947</v>
      </c>
      <c r="AG140">
        <v>21.53228264660833</v>
      </c>
      <c r="AH140">
        <v>21.607771530610695</v>
      </c>
      <c r="AI140">
        <v>21.635145433038627</v>
      </c>
      <c r="AJ140">
        <v>21.585785019942069</v>
      </c>
      <c r="AK140">
        <v>21.508628925857963</v>
      </c>
      <c r="AL140">
        <v>21.446118499871098</v>
      </c>
      <c r="AM140">
        <v>21.521952389257063</v>
      </c>
      <c r="AN140">
        <v>21.600204159779199</v>
      </c>
      <c r="AO140">
        <v>21.583872325260458</v>
      </c>
      <c r="AP140">
        <v>21.588666383585327</v>
      </c>
      <c r="AQ140">
        <v>21.605374501448264</v>
      </c>
      <c r="AR140">
        <v>21.554715579078266</v>
      </c>
      <c r="AS140">
        <v>21.491324631109631</v>
      </c>
      <c r="AT140">
        <v>21.516251270074765</v>
      </c>
      <c r="AU140">
        <v>21.58191413536343</v>
      </c>
      <c r="AV140">
        <v>21.663232093841465</v>
      </c>
      <c r="AW140">
        <v>21.742367229796333</v>
      </c>
      <c r="AX140">
        <v>21.822824570449338</v>
      </c>
      <c r="AY140">
        <v>21.895024529503647</v>
      </c>
      <c r="AZ140">
        <v>21.976239175929997</v>
      </c>
      <c r="BA140">
        <v>22.046603213478718</v>
      </c>
      <c r="BB140">
        <v>22.114819497732821</v>
      </c>
      <c r="BC140">
        <v>22.13487665280584</v>
      </c>
      <c r="BD140">
        <v>22.15495199882406</v>
      </c>
      <c r="BE140">
        <v>22.175045552285859</v>
      </c>
      <c r="BF140">
        <v>22.195157329704575</v>
      </c>
      <c r="BG140">
        <v>22.215287347608523</v>
      </c>
      <c r="BH140">
        <v>22.237407284551185</v>
      </c>
      <c r="BI140">
        <v>22.259549246489641</v>
      </c>
      <c r="BJ140">
        <v>22.281713255354351</v>
      </c>
      <c r="BK140">
        <v>22.303899333097611</v>
      </c>
      <c r="BL140">
        <v>22.326107501693581</v>
      </c>
      <c r="BM140">
        <v>22.336823207612067</v>
      </c>
      <c r="BN140">
        <v>22.347544056673097</v>
      </c>
      <c r="BO140">
        <v>22.358270051345187</v>
      </c>
      <c r="BP140">
        <v>22.369001194098043</v>
      </c>
      <c r="BQ140">
        <v>22.379737487402554</v>
      </c>
      <c r="BR140">
        <v>22.390100389733625</v>
      </c>
      <c r="BS140">
        <v>22.400468090590362</v>
      </c>
      <c r="BT140">
        <v>22.410840592194713</v>
      </c>
      <c r="BU140">
        <v>22.421217896769658</v>
      </c>
      <c r="BV140">
        <v>22.431600006539206</v>
      </c>
      <c r="BW140">
        <v>22.438377931004013</v>
      </c>
      <c r="BX140">
        <v>22.44515790348412</v>
      </c>
      <c r="BY140">
        <v>22.451939924598356</v>
      </c>
      <c r="BZ140">
        <v>22.458723994965737</v>
      </c>
      <c r="CA140">
        <v>22.465510115205461</v>
      </c>
      <c r="CB140">
        <v>22.462969438648798</v>
      </c>
      <c r="CC140">
        <v>22.46042904942313</v>
      </c>
      <c r="CD140">
        <v>22.45788894749596</v>
      </c>
      <c r="CE140">
        <v>22.455349132834797</v>
      </c>
      <c r="CF140">
        <v>22.452809605407158</v>
      </c>
      <c r="CG140">
        <v>22.442624812220661</v>
      </c>
      <c r="CH140">
        <v>22.432444638946507</v>
      </c>
      <c r="CI140">
        <v>22.422269083489063</v>
      </c>
      <c r="CJ140">
        <v>22.412098143753649</v>
      </c>
      <c r="CK140">
        <v>22.401931817646531</v>
      </c>
      <c r="CL140">
        <v>22.389459823741635</v>
      </c>
      <c r="CM140">
        <v>22.376994773462549</v>
      </c>
      <c r="CN140">
        <v>22.364536662943497</v>
      </c>
      <c r="CO140">
        <v>22.352085488320853</v>
      </c>
      <c r="CP140">
        <v>22.339641245733144</v>
      </c>
      <c r="CQ140">
        <v>22.322592014179389</v>
      </c>
      <c r="CR140">
        <v>22.305555794307125</v>
      </c>
      <c r="CS140">
        <v>22.288532576186064</v>
      </c>
      <c r="CT140">
        <v>22.271522349893491</v>
      </c>
      <c r="CU140">
        <v>22.254525105514261</v>
      </c>
      <c r="CV140">
        <v>22.238544472899552</v>
      </c>
      <c r="CW140">
        <v>22.222575315731635</v>
      </c>
      <c r="CX140">
        <v>22.206617625770171</v>
      </c>
      <c r="CY140">
        <v>22.190671394780733</v>
      </c>
      <c r="CZ140" s="427">
        <v>22.174736614534808</v>
      </c>
    </row>
    <row r="141" spans="1:104" ht="13.5" thickBot="1">
      <c r="A141" s="1292" t="s">
        <v>683</v>
      </c>
      <c r="B141" s="421">
        <v>2016</v>
      </c>
      <c r="C141" s="1293">
        <f t="shared" si="267"/>
        <v>1</v>
      </c>
      <c r="D141" s="1294" t="s">
        <v>295</v>
      </c>
      <c r="E141" s="1293" t="s">
        <v>1067</v>
      </c>
      <c r="F141" s="1295"/>
      <c r="G141" s="421"/>
      <c r="H141" s="1296">
        <v>31.081820315099751</v>
      </c>
      <c r="I141" s="1296">
        <v>31.795307521355493</v>
      </c>
      <c r="J141" s="1296">
        <v>33.946842042036877</v>
      </c>
      <c r="K141" s="1296">
        <v>33.862138723062856</v>
      </c>
      <c r="L141" s="1296">
        <v>35.110516897292094</v>
      </c>
      <c r="M141" s="1296">
        <v>35.620882248372396</v>
      </c>
      <c r="N141" s="1296">
        <v>35.284315436843215</v>
      </c>
      <c r="O141" s="421">
        <v>35.109707376782602</v>
      </c>
      <c r="P141" s="421">
        <v>34.944303180720262</v>
      </c>
      <c r="Q141" s="421">
        <v>35.113313940081568</v>
      </c>
      <c r="R141" s="421">
        <v>35.603854676435802</v>
      </c>
      <c r="S141" s="421">
        <v>35.586699324775935</v>
      </c>
      <c r="T141" s="421">
        <v>34.861101349999998</v>
      </c>
      <c r="U141" s="421">
        <v>34.664653819323334</v>
      </c>
      <c r="V141" s="421">
        <v>34.410290069910978</v>
      </c>
      <c r="W141" s="421">
        <v>34.908531869398402</v>
      </c>
      <c r="X141" s="421">
        <v>35.616671532127199</v>
      </c>
      <c r="Y141" s="421">
        <v>35.947520321196222</v>
      </c>
      <c r="Z141" s="421">
        <v>36.987705865849776</v>
      </c>
      <c r="AA141" s="421">
        <v>37.546039262370911</v>
      </c>
      <c r="AB141" s="421">
        <v>37.510823122184988</v>
      </c>
      <c r="AC141" s="421">
        <v>38.008797637281816</v>
      </c>
      <c r="AD141" s="421">
        <v>38.419808048103611</v>
      </c>
      <c r="AE141" s="421">
        <v>38.480927078752217</v>
      </c>
      <c r="AF141" s="421">
        <v>38.529894147798792</v>
      </c>
      <c r="AG141" s="421">
        <v>38.610432052895767</v>
      </c>
      <c r="AH141" s="421">
        <v>38.669048846696292</v>
      </c>
      <c r="AI141" s="421">
        <v>38.631731396248163</v>
      </c>
      <c r="AJ141" s="421">
        <v>38.567872226687491</v>
      </c>
      <c r="AK141" s="421">
        <v>38.465126969563705</v>
      </c>
      <c r="AL141" s="421">
        <v>38.413723063041203</v>
      </c>
      <c r="AM141" s="421">
        <v>38.515467425425761</v>
      </c>
      <c r="AN141" s="421">
        <v>38.527084818246614</v>
      </c>
      <c r="AO141" s="421">
        <v>38.521472793861179</v>
      </c>
      <c r="AP141" s="421">
        <v>38.546973809920992</v>
      </c>
      <c r="AQ141" s="421">
        <v>38.560691565187064</v>
      </c>
      <c r="AR141" s="421">
        <v>38.568356561168315</v>
      </c>
      <c r="AS141" s="421">
        <v>38.569368829711408</v>
      </c>
      <c r="AT141" s="421">
        <v>38.651143635977618</v>
      </c>
      <c r="AU141" s="421">
        <v>38.781520601750053</v>
      </c>
      <c r="AV141" s="421">
        <v>38.929117506558889</v>
      </c>
      <c r="AW141" s="421">
        <v>39.08758776785308</v>
      </c>
      <c r="AX141" s="421">
        <v>39.228047610742941</v>
      </c>
      <c r="AY141" s="421">
        <v>39.393119417357944</v>
      </c>
      <c r="AZ141" s="421">
        <v>39.595269824540118</v>
      </c>
      <c r="BA141" s="421">
        <v>39.769550621009692</v>
      </c>
      <c r="BB141" s="421">
        <v>39.980674011616443</v>
      </c>
      <c r="BC141" s="421">
        <v>39.983105560972888</v>
      </c>
      <c r="BD141" s="421">
        <v>39.985537258211586</v>
      </c>
      <c r="BE141" s="421">
        <v>39.987969103341534</v>
      </c>
      <c r="BF141" s="421">
        <v>39.990401096371727</v>
      </c>
      <c r="BG141" s="421">
        <v>39.99283323731116</v>
      </c>
      <c r="BH141" s="421">
        <v>39.998683153044055</v>
      </c>
      <c r="BI141" s="421">
        <v>40.00453392446812</v>
      </c>
      <c r="BJ141" s="421">
        <v>40.010385551708517</v>
      </c>
      <c r="BK141" s="421">
        <v>40.016238034890421</v>
      </c>
      <c r="BL141" s="421">
        <v>40.022091374139045</v>
      </c>
      <c r="BM141" s="421">
        <v>40.01068560090993</v>
      </c>
      <c r="BN141" s="421">
        <v>39.999283078177193</v>
      </c>
      <c r="BO141" s="421">
        <v>39.987883805014484</v>
      </c>
      <c r="BP141" s="421">
        <v>39.976487780495717</v>
      </c>
      <c r="BQ141" s="421">
        <v>39.965095003695069</v>
      </c>
      <c r="BR141" s="421">
        <v>39.953080546830584</v>
      </c>
      <c r="BS141" s="421">
        <v>39.941069701797218</v>
      </c>
      <c r="BT141" s="421">
        <v>39.929062467509169</v>
      </c>
      <c r="BU141" s="421">
        <v>39.917058842880955</v>
      </c>
      <c r="BV141" s="421">
        <v>39.905058826827435</v>
      </c>
      <c r="BW141" s="421">
        <v>39.887488478960996</v>
      </c>
      <c r="BX141" s="421">
        <v>39.869925867384971</v>
      </c>
      <c r="BY141" s="421">
        <v>39.852370988693046</v>
      </c>
      <c r="BZ141" s="421">
        <v>39.8348238394804</v>
      </c>
      <c r="CA141" s="421">
        <v>39.817284416343718</v>
      </c>
      <c r="CB141" s="421">
        <v>39.785391393336162</v>
      </c>
      <c r="CC141" s="421">
        <v>39.75352391614198</v>
      </c>
      <c r="CD141" s="421">
        <v>39.721681964299371</v>
      </c>
      <c r="CE141" s="421">
        <v>39.689865517362925</v>
      </c>
      <c r="CF141" s="421">
        <v>39.658074554903607</v>
      </c>
      <c r="CG141" s="421">
        <v>39.614280722534119</v>
      </c>
      <c r="CH141" s="421">
        <v>39.57053525105394</v>
      </c>
      <c r="CI141" s="421">
        <v>39.526838087058842</v>
      </c>
      <c r="CJ141" s="421">
        <v>39.48318917720357</v>
      </c>
      <c r="CK141" s="421">
        <v>39.439588468201791</v>
      </c>
      <c r="CL141" s="421">
        <v>39.392053039782866</v>
      </c>
      <c r="CM141" s="421">
        <v>39.344574904480901</v>
      </c>
      <c r="CN141" s="421">
        <v>39.297153993242112</v>
      </c>
      <c r="CO141" s="421">
        <v>39.249790237095944</v>
      </c>
      <c r="CP141" s="421">
        <v>39.202483567154964</v>
      </c>
      <c r="CQ141" s="421">
        <v>39.147690090479308</v>
      </c>
      <c r="CR141" s="421">
        <v>39.092973198877175</v>
      </c>
      <c r="CS141" s="421">
        <v>39.038332785305279</v>
      </c>
      <c r="CT141" s="421">
        <v>38.983768742869955</v>
      </c>
      <c r="CU141" s="421">
        <v>38.929280964826951</v>
      </c>
      <c r="CV141" s="421">
        <v>38.876091192919297</v>
      </c>
      <c r="CW141" s="421">
        <v>38.822974095147039</v>
      </c>
      <c r="CX141" s="421">
        <v>38.769929572214203</v>
      </c>
      <c r="CY141" s="421">
        <v>38.716957524960492</v>
      </c>
      <c r="CZ141" s="422">
        <v>38.66405785436109</v>
      </c>
    </row>
    <row r="202" spans="1:2" ht="15">
      <c r="A202" s="2"/>
      <c r="B202" s="2"/>
    </row>
    <row r="203" spans="1:2" ht="15">
      <c r="A203" s="2"/>
      <c r="B203" s="2"/>
    </row>
    <row r="251" spans="29:29">
      <c r="AC251" s="28"/>
    </row>
    <row r="252" spans="29:29">
      <c r="AC252" s="28"/>
    </row>
    <row r="253" spans="29:29">
      <c r="AC253" s="28"/>
    </row>
    <row r="254" spans="29:29">
      <c r="AC254" s="28"/>
    </row>
    <row r="257" spans="29:29">
      <c r="AC257" s="28"/>
    </row>
    <row r="258" spans="29:29">
      <c r="AC258" s="28"/>
    </row>
    <row r="259" spans="29:29">
      <c r="AC259" s="28"/>
    </row>
    <row r="260" spans="29:29">
      <c r="AC260" s="28"/>
    </row>
    <row r="263" spans="29:29">
      <c r="AC263" s="28"/>
    </row>
    <row r="264" spans="29:29">
      <c r="AC264" s="28"/>
    </row>
    <row r="265" spans="29:29">
      <c r="AC265" s="28"/>
    </row>
    <row r="266" spans="29:29">
      <c r="AC266" s="28"/>
    </row>
    <row r="267" spans="29:29">
      <c r="AC267" s="28"/>
    </row>
    <row r="268" spans="29:29">
      <c r="AC268" s="28"/>
    </row>
    <row r="270" spans="29:29">
      <c r="AC270" s="28"/>
    </row>
    <row r="273" spans="29:29">
      <c r="AC273" s="28"/>
    </row>
    <row r="274" spans="29:29">
      <c r="AC274" s="28"/>
    </row>
    <row r="275" spans="29:29">
      <c r="AC275" s="28"/>
    </row>
    <row r="276" spans="29:29">
      <c r="AC276" s="28"/>
    </row>
    <row r="277" spans="29:29">
      <c r="AC277" s="28"/>
    </row>
    <row r="278" spans="29:29">
      <c r="AC278" s="28"/>
    </row>
    <row r="279" spans="29:29">
      <c r="AC279" s="28"/>
    </row>
    <row r="280" spans="29:29">
      <c r="AC280" s="28"/>
    </row>
    <row r="283" spans="29:29">
      <c r="AC283" s="28"/>
    </row>
    <row r="284" spans="29:29">
      <c r="AC284" s="28"/>
    </row>
    <row r="285" spans="29:29">
      <c r="AC285" s="28"/>
    </row>
    <row r="286" spans="29:29">
      <c r="AC286" s="28"/>
    </row>
    <row r="289" spans="29:29">
      <c r="AC289" s="28"/>
    </row>
    <row r="290" spans="29:29">
      <c r="AC290" s="28"/>
    </row>
    <row r="291" spans="29:29">
      <c r="AC291" s="28"/>
    </row>
    <row r="292" spans="29:29">
      <c r="AC292" s="28"/>
    </row>
    <row r="293" spans="29:29">
      <c r="AC293" s="28"/>
    </row>
    <row r="294" spans="29:29">
      <c r="AC294" s="28"/>
    </row>
    <row r="295" spans="29:29">
      <c r="AC295" s="28"/>
    </row>
    <row r="296" spans="29:29">
      <c r="AC296" s="28"/>
    </row>
    <row r="297" spans="29:29">
      <c r="AC297" s="28"/>
    </row>
    <row r="299" spans="29:29">
      <c r="AC299" s="28"/>
    </row>
    <row r="303" spans="29:29">
      <c r="AC303" s="28"/>
    </row>
    <row r="304" spans="29:29">
      <c r="AC304" s="28"/>
    </row>
    <row r="305" spans="29:29">
      <c r="AC305" s="28"/>
    </row>
    <row r="306" spans="29:29">
      <c r="AC306" s="28"/>
    </row>
    <row r="307" spans="29:29">
      <c r="AC307" s="28"/>
    </row>
    <row r="308" spans="29:29">
      <c r="AC308" s="28"/>
    </row>
    <row r="309" spans="29:29">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topLeftCell="E1" workbookViewId="0"/>
  </sheetViews>
  <sheetFormatPr defaultRowHeight="12.75"/>
  <cols>
    <col min="1" max="1" width="27.85546875" customWidth="1"/>
    <col min="2" max="2" width="12.7109375" customWidth="1"/>
    <col min="3" max="3" width="19.85546875" customWidth="1"/>
    <col min="4" max="4" width="28.28515625" customWidth="1"/>
    <col min="5" max="5" width="16.5703125" customWidth="1"/>
    <col min="6" max="6" width="11.42578125" customWidth="1"/>
    <col min="7" max="7" width="9.7109375" customWidth="1"/>
    <col min="8" max="8" width="10.28515625" customWidth="1"/>
    <col min="9" max="9" width="10.42578125" customWidth="1"/>
    <col min="10" max="10" width="9.5703125" customWidth="1"/>
    <col min="11" max="12" width="10" customWidth="1"/>
    <col min="13" max="13" width="10.7109375" customWidth="1"/>
    <col min="14" max="14" width="9.5703125" customWidth="1"/>
    <col min="15" max="15" width="10.7109375" customWidth="1"/>
    <col min="16" max="16" width="10.28515625" customWidth="1"/>
    <col min="17" max="17" width="9.5703125" customWidth="1"/>
    <col min="18" max="18" width="9.7109375" customWidth="1"/>
    <col min="19" max="19" width="10" customWidth="1"/>
    <col min="20" max="21" width="9.7109375" customWidth="1"/>
    <col min="22" max="22" width="10" customWidth="1"/>
    <col min="23" max="24" width="9.7109375" customWidth="1"/>
    <col min="25" max="25" width="10" customWidth="1"/>
    <col min="26" max="26" width="9.7109375" customWidth="1"/>
    <col min="27" max="27" width="10.7109375" customWidth="1"/>
    <col min="28" max="28" width="10.28515625" customWidth="1"/>
    <col min="29" max="29" width="10" customWidth="1"/>
    <col min="30" max="30" width="9.7109375" customWidth="1"/>
    <col min="31" max="31" width="10.28515625" customWidth="1"/>
    <col min="32" max="32" width="10.42578125" customWidth="1"/>
    <col min="33" max="33" width="9.5703125" customWidth="1"/>
    <col min="34" max="34" width="10" customWidth="1"/>
    <col min="35" max="35" width="9.28515625" customWidth="1"/>
    <col min="36" max="36" width="10" customWidth="1"/>
    <col min="37" max="37" width="10.28515625" customWidth="1"/>
    <col min="38" max="38" width="9.7109375" customWidth="1"/>
    <col min="39" max="39" width="9.5703125" customWidth="1"/>
    <col min="40" max="40" width="9.7109375" customWidth="1"/>
    <col min="41" max="41" width="10.28515625" customWidth="1"/>
    <col min="42" max="44" width="9.7109375" customWidth="1"/>
    <col min="45" max="45" width="9.28515625" customWidth="1"/>
    <col min="46" max="46" width="9.5703125" customWidth="1"/>
    <col min="47" max="47" width="9.7109375" customWidth="1"/>
    <col min="48" max="48" width="10.28515625" customWidth="1"/>
    <col min="49" max="49" width="10.42578125" customWidth="1"/>
    <col min="50" max="50" width="9.5703125" customWidth="1"/>
    <col min="51" max="52" width="9.7109375" customWidth="1"/>
    <col min="53" max="54" width="9.5703125" customWidth="1"/>
    <col min="55" max="55" width="9.7109375" customWidth="1"/>
    <col min="56" max="56" width="9.5703125" customWidth="1"/>
    <col min="57" max="59" width="9.7109375" customWidth="1"/>
    <col min="60" max="60" width="9.5703125" customWidth="1"/>
    <col min="61" max="61" width="9.7109375" customWidth="1"/>
    <col min="62" max="62" width="9.5703125" customWidth="1"/>
    <col min="63" max="63" width="9.7109375" customWidth="1"/>
    <col min="64" max="64" width="10.28515625" customWidth="1"/>
    <col min="65" max="65" width="9.7109375" customWidth="1"/>
    <col min="66" max="66" width="10.28515625" customWidth="1"/>
    <col min="67" max="67" width="9.5703125" customWidth="1"/>
    <col min="68" max="68" width="9.7109375" customWidth="1"/>
    <col min="69" max="69" width="9.5703125" customWidth="1"/>
    <col min="70" max="70" width="9.7109375" customWidth="1"/>
    <col min="71" max="71" width="10.28515625" customWidth="1"/>
    <col min="72" max="72" width="9.7109375" customWidth="1"/>
    <col min="73" max="74" width="9.5703125" customWidth="1"/>
  </cols>
  <sheetData>
    <row r="1" spans="1:104" ht="52.5" thickTop="1" thickBot="1">
      <c r="A1" s="209" t="s">
        <v>1046</v>
      </c>
      <c r="B1" s="210" t="s">
        <v>1045</v>
      </c>
      <c r="C1" s="835" t="s">
        <v>677</v>
      </c>
      <c r="D1" s="835" t="s">
        <v>822</v>
      </c>
      <c r="E1" s="211">
        <v>2001</v>
      </c>
      <c r="F1" s="212">
        <v>2002</v>
      </c>
      <c r="G1" s="212">
        <v>2003</v>
      </c>
      <c r="H1" s="212">
        <v>2004</v>
      </c>
      <c r="I1" s="212">
        <v>2005</v>
      </c>
      <c r="J1" s="212">
        <v>2006</v>
      </c>
      <c r="K1" s="212">
        <v>2007</v>
      </c>
      <c r="L1" s="212">
        <v>2008</v>
      </c>
      <c r="M1" s="212">
        <v>2009</v>
      </c>
      <c r="N1" s="212">
        <v>2010</v>
      </c>
      <c r="O1" s="212">
        <v>2011</v>
      </c>
      <c r="P1" s="212">
        <v>2012</v>
      </c>
      <c r="Q1" s="212">
        <v>2013</v>
      </c>
      <c r="R1" s="212">
        <v>2014</v>
      </c>
      <c r="S1" s="212">
        <v>2015</v>
      </c>
      <c r="T1" s="212">
        <v>2016</v>
      </c>
      <c r="U1" s="212">
        <v>2017</v>
      </c>
      <c r="V1" s="212">
        <v>2018</v>
      </c>
      <c r="W1" s="212">
        <v>2019</v>
      </c>
      <c r="X1" s="212">
        <v>2020</v>
      </c>
      <c r="Y1" s="212">
        <v>2021</v>
      </c>
      <c r="Z1" s="212">
        <v>2022</v>
      </c>
      <c r="AA1" s="212">
        <v>2023</v>
      </c>
      <c r="AB1" s="212">
        <v>2024</v>
      </c>
      <c r="AC1" s="212">
        <v>2025</v>
      </c>
      <c r="AD1" s="212">
        <v>2026</v>
      </c>
      <c r="AE1" s="212">
        <v>2027</v>
      </c>
      <c r="AF1" s="212">
        <v>2028</v>
      </c>
      <c r="AG1" s="212">
        <v>2029</v>
      </c>
      <c r="AH1" s="212">
        <v>2030</v>
      </c>
      <c r="AI1" s="212">
        <v>2031</v>
      </c>
      <c r="AJ1" s="212">
        <v>2032</v>
      </c>
      <c r="AK1" s="212">
        <v>2033</v>
      </c>
      <c r="AL1" s="212">
        <v>2034</v>
      </c>
      <c r="AM1" s="212">
        <v>2035</v>
      </c>
      <c r="AN1" s="212">
        <v>2036</v>
      </c>
      <c r="AO1" s="212">
        <v>2037</v>
      </c>
      <c r="AP1" s="212">
        <v>2038</v>
      </c>
      <c r="AQ1" s="212">
        <v>2039</v>
      </c>
      <c r="AR1" s="212">
        <v>2040</v>
      </c>
      <c r="AS1" s="212">
        <v>2041</v>
      </c>
      <c r="AT1" s="212">
        <v>2042</v>
      </c>
      <c r="AU1" s="212">
        <v>2043</v>
      </c>
      <c r="AV1" s="212">
        <v>2044</v>
      </c>
      <c r="AW1" s="212">
        <v>2045</v>
      </c>
      <c r="AX1" s="212">
        <v>2046</v>
      </c>
      <c r="AY1" s="212">
        <v>2047</v>
      </c>
      <c r="AZ1" s="212">
        <v>2048</v>
      </c>
      <c r="BA1" s="212">
        <v>2049</v>
      </c>
      <c r="BB1" s="212">
        <v>2050</v>
      </c>
      <c r="BC1" s="212">
        <v>2051</v>
      </c>
      <c r="BD1" s="212">
        <v>2052</v>
      </c>
      <c r="BE1" s="212">
        <v>2053</v>
      </c>
      <c r="BF1" s="212">
        <v>2054</v>
      </c>
      <c r="BG1" s="212">
        <v>2055</v>
      </c>
      <c r="BH1" s="212">
        <v>2056</v>
      </c>
      <c r="BI1" s="212">
        <v>2057</v>
      </c>
      <c r="BJ1" s="212">
        <v>2058</v>
      </c>
      <c r="BK1" s="212">
        <v>2059</v>
      </c>
      <c r="BL1" s="212">
        <v>2060</v>
      </c>
      <c r="BM1" s="212">
        <v>2061</v>
      </c>
      <c r="BN1" s="212">
        <v>2062</v>
      </c>
      <c r="BO1" s="212">
        <v>2063</v>
      </c>
      <c r="BP1" s="212">
        <v>2064</v>
      </c>
      <c r="BQ1" s="212">
        <v>2065</v>
      </c>
      <c r="BR1" s="212">
        <v>2066</v>
      </c>
      <c r="BS1" s="212">
        <v>2067</v>
      </c>
      <c r="BT1" s="212">
        <v>2068</v>
      </c>
      <c r="BU1" s="212">
        <v>2069</v>
      </c>
      <c r="BV1" s="213">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5" thickTop="1">
      <c r="A2" t="s">
        <v>1041</v>
      </c>
      <c r="B2" s="40" t="s">
        <v>706</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c r="A3" t="s">
        <v>1042</v>
      </c>
      <c r="B3" s="40" t="s">
        <v>706</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c r="A4" t="s">
        <v>1043</v>
      </c>
      <c r="B4" s="40" t="s">
        <v>706</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c r="A5" t="s">
        <v>1044</v>
      </c>
      <c r="B5" s="40" t="s">
        <v>267</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c r="A6" t="s">
        <v>673</v>
      </c>
      <c r="B6" s="40" t="s">
        <v>267</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c r="A7" s="40" t="s">
        <v>1084</v>
      </c>
      <c r="B7" s="40" t="s">
        <v>267</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c r="A8" s="40" t="s">
        <v>821</v>
      </c>
      <c r="B8" s="40" t="s">
        <v>267</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75"/>
  <cols>
    <col min="1" max="1" width="27.85546875" customWidth="1"/>
    <col min="2" max="2" width="19.85546875" customWidth="1"/>
    <col min="3" max="3" width="16.5703125" customWidth="1"/>
    <col min="4" max="4" width="11.42578125" customWidth="1"/>
    <col min="5" max="5" width="9.7109375" customWidth="1"/>
    <col min="6" max="6" width="10.28515625" customWidth="1"/>
    <col min="7" max="7" width="10.42578125" customWidth="1"/>
    <col min="8" max="8" width="9.5703125" customWidth="1"/>
    <col min="9" max="10" width="10" customWidth="1"/>
    <col min="11" max="11" width="10.7109375" customWidth="1"/>
    <col min="12" max="12" width="9.5703125" customWidth="1"/>
    <col min="13" max="13" width="10.7109375" customWidth="1"/>
    <col min="14" max="14" width="10.28515625" customWidth="1"/>
    <col min="15" max="15" width="9.5703125" customWidth="1"/>
    <col min="16" max="16" width="9.7109375" customWidth="1"/>
    <col min="17" max="17" width="10" customWidth="1"/>
    <col min="18" max="19" width="9.7109375" customWidth="1"/>
    <col min="20" max="20" width="10" customWidth="1"/>
    <col min="21" max="22" width="9.7109375" customWidth="1"/>
    <col min="23" max="23" width="10" customWidth="1"/>
    <col min="24" max="24" width="9.7109375" customWidth="1"/>
    <col min="25" max="25" width="10.7109375" customWidth="1"/>
    <col min="26" max="26" width="10.28515625" customWidth="1"/>
    <col min="27" max="27" width="10" customWidth="1"/>
    <col min="28" max="28" width="9.7109375" customWidth="1"/>
    <col min="29" max="29" width="10.28515625" customWidth="1"/>
    <col min="30" max="30" width="10.42578125" customWidth="1"/>
    <col min="31" max="31" width="9.5703125" customWidth="1"/>
    <col min="32" max="32" width="10" customWidth="1"/>
    <col min="33" max="33" width="9.28515625" customWidth="1"/>
    <col min="34" max="34" width="10" customWidth="1"/>
    <col min="35" max="35" width="10.28515625" customWidth="1"/>
    <col min="36" max="36" width="9.7109375" customWidth="1"/>
    <col min="37" max="37" width="9.5703125" customWidth="1"/>
    <col min="38" max="38" width="9.7109375" customWidth="1"/>
    <col min="39" max="39" width="10.28515625" customWidth="1"/>
    <col min="40" max="42" width="9.7109375" customWidth="1"/>
    <col min="43" max="43" width="9.28515625" customWidth="1"/>
    <col min="44" max="44" width="9.5703125" customWidth="1"/>
    <col min="45" max="45" width="9.7109375" customWidth="1"/>
    <col min="46" max="46" width="10.28515625" customWidth="1"/>
    <col min="47" max="47" width="10.42578125" customWidth="1"/>
    <col min="48" max="48" width="9.5703125" customWidth="1"/>
    <col min="49" max="50" width="9.7109375" customWidth="1"/>
    <col min="51" max="52" width="9.5703125" customWidth="1"/>
    <col min="53" max="53" width="9.7109375" customWidth="1"/>
    <col min="54" max="54" width="9.5703125" customWidth="1"/>
    <col min="55" max="57" width="9.7109375" customWidth="1"/>
    <col min="58" max="58" width="9.5703125" customWidth="1"/>
    <col min="59" max="59" width="9.7109375" customWidth="1"/>
    <col min="60" max="60" width="9.5703125" customWidth="1"/>
    <col min="61" max="61" width="9.7109375" customWidth="1"/>
    <col min="62" max="62" width="10.28515625" customWidth="1"/>
    <col min="63" max="63" width="9.7109375" customWidth="1"/>
    <col min="64" max="64" width="10.28515625" customWidth="1"/>
    <col min="65" max="65" width="9.5703125" customWidth="1"/>
    <col min="66" max="66" width="9.7109375" customWidth="1"/>
    <col min="67" max="67" width="9.5703125" customWidth="1"/>
    <col min="68" max="68" width="9.7109375" customWidth="1"/>
    <col min="69" max="69" width="10.28515625" customWidth="1"/>
    <col min="70" max="70" width="9.7109375" customWidth="1"/>
    <col min="71" max="72" width="9.5703125" customWidth="1"/>
    <col min="73" max="73" width="10" customWidth="1"/>
  </cols>
  <sheetData>
    <row r="1" spans="1:72" ht="15">
      <c r="A1" s="1548" t="s">
        <v>742</v>
      </c>
      <c r="B1" s="1548"/>
      <c r="C1" s="1548"/>
      <c r="D1" s="1548"/>
      <c r="E1" s="1548"/>
      <c r="F1" s="1548"/>
      <c r="G1" s="1548"/>
      <c r="H1" s="1548"/>
      <c r="I1" s="1548"/>
      <c r="J1" s="1548"/>
      <c r="K1" s="1548"/>
      <c r="L1" s="1548"/>
      <c r="M1" s="1548"/>
      <c r="N1" s="1548"/>
      <c r="O1" s="1548"/>
      <c r="P1" s="1548"/>
      <c r="Q1" s="1548"/>
      <c r="R1" s="1548"/>
      <c r="S1" s="1548"/>
      <c r="T1" s="1548"/>
      <c r="U1" s="1548"/>
      <c r="V1" s="1548"/>
      <c r="W1" s="1548"/>
      <c r="X1" s="1548"/>
      <c r="Y1" s="1548"/>
      <c r="Z1" s="1548"/>
      <c r="AA1" s="1548"/>
      <c r="AB1" s="1548"/>
      <c r="AC1" s="1548"/>
      <c r="AD1" s="1548"/>
      <c r="AE1" s="1548"/>
      <c r="AF1" s="1548"/>
      <c r="AG1" s="1548"/>
      <c r="AH1" s="1548"/>
      <c r="AI1" s="1548"/>
      <c r="AJ1" s="1548"/>
      <c r="AK1" s="1548"/>
      <c r="AL1" s="1548"/>
      <c r="AM1" s="1548"/>
      <c r="AN1" s="1548"/>
      <c r="AO1" s="1548"/>
      <c r="AP1" s="1548"/>
      <c r="AQ1" s="1548"/>
      <c r="AR1" s="1548"/>
      <c r="AS1" s="1548"/>
      <c r="AT1" s="1548"/>
      <c r="AU1" s="1548"/>
      <c r="AV1" s="1548"/>
      <c r="AW1" s="1548"/>
      <c r="AX1" s="1548"/>
      <c r="AY1" s="1548"/>
      <c r="AZ1" s="1548"/>
      <c r="BA1" s="1548"/>
      <c r="BB1" s="1548"/>
      <c r="BC1" s="1548"/>
      <c r="BD1" s="1548"/>
      <c r="BE1" s="1548"/>
      <c r="BF1" s="1548"/>
      <c r="BG1" s="1548"/>
      <c r="BH1" s="1548"/>
      <c r="BI1" s="1548"/>
      <c r="BJ1" s="1548"/>
      <c r="BK1" s="1548"/>
      <c r="BL1" s="1548"/>
      <c r="BM1" s="1548"/>
      <c r="BN1" s="1548"/>
      <c r="BO1" s="1548"/>
      <c r="BP1" s="1548"/>
      <c r="BQ1" s="1548"/>
      <c r="BR1" s="1548"/>
      <c r="BS1" s="1548"/>
      <c r="BT1" s="1548"/>
    </row>
    <row r="2" spans="1:72">
      <c r="A2" s="1549" t="s">
        <v>743</v>
      </c>
      <c r="B2" s="1549"/>
      <c r="C2" s="1549"/>
      <c r="D2" s="1549"/>
      <c r="E2" s="1549"/>
      <c r="F2" s="1549"/>
      <c r="G2" s="1549"/>
      <c r="H2" s="1549"/>
      <c r="I2" s="1549"/>
      <c r="J2" s="1549"/>
      <c r="K2" s="1549"/>
      <c r="L2" s="1549"/>
      <c r="M2" s="1549"/>
      <c r="N2" s="1549"/>
      <c r="O2" s="1549"/>
      <c r="P2" s="1549"/>
      <c r="Q2" s="1549"/>
      <c r="R2" s="1549"/>
      <c r="S2" s="1549"/>
      <c r="T2" s="1549"/>
      <c r="U2" s="1549"/>
      <c r="V2" s="1549"/>
      <c r="W2" s="1549"/>
      <c r="X2" s="1549"/>
      <c r="Y2" s="1549"/>
      <c r="Z2" s="1549"/>
      <c r="AA2" s="1549"/>
      <c r="AB2" s="1549"/>
      <c r="AC2" s="1549"/>
      <c r="AD2" s="1549"/>
      <c r="AE2" s="1549"/>
      <c r="AF2" s="1549"/>
      <c r="AG2" s="1549"/>
      <c r="AH2" s="1549"/>
      <c r="AI2" s="1549"/>
      <c r="AJ2" s="1549"/>
      <c r="AK2" s="1549"/>
      <c r="AL2" s="1549"/>
      <c r="AM2" s="1549"/>
      <c r="AN2" s="1549"/>
      <c r="AO2" s="1549"/>
      <c r="AP2" s="1549"/>
      <c r="AQ2" s="1549"/>
      <c r="AR2" s="1549"/>
      <c r="AS2" s="1549"/>
      <c r="AT2" s="1549"/>
      <c r="AU2" s="1549"/>
      <c r="AV2" s="1549"/>
      <c r="AW2" s="1549"/>
      <c r="AX2" s="1549"/>
      <c r="AY2" s="1549"/>
      <c r="AZ2" s="1549"/>
      <c r="BA2" s="1549"/>
      <c r="BB2" s="1549"/>
      <c r="BC2" s="1549"/>
      <c r="BD2" s="1549"/>
      <c r="BE2" s="1549"/>
      <c r="BF2" s="1549"/>
      <c r="BG2" s="1549"/>
      <c r="BH2" s="1549"/>
      <c r="BI2" s="1549"/>
      <c r="BJ2" s="1549"/>
      <c r="BK2" s="1549"/>
      <c r="BL2" s="1549"/>
      <c r="BM2" s="1549"/>
      <c r="BN2" s="1549"/>
      <c r="BO2" s="1549"/>
      <c r="BP2" s="1549"/>
      <c r="BQ2" s="1549"/>
      <c r="BR2" s="1549"/>
      <c r="BS2" s="1549"/>
      <c r="BT2" s="1549"/>
    </row>
    <row r="3" spans="1:72" ht="13.5" thickBot="1">
      <c r="A3" s="1550"/>
      <c r="B3" s="1550"/>
      <c r="C3" s="1550"/>
      <c r="D3" s="1550"/>
      <c r="E3" s="1550"/>
      <c r="F3" s="1550"/>
      <c r="G3" s="1550"/>
      <c r="H3" s="1550"/>
      <c r="I3" s="1550"/>
      <c r="J3" s="1550"/>
      <c r="K3" s="1550"/>
      <c r="L3" s="1550"/>
      <c r="M3" s="1550"/>
      <c r="N3" s="1550"/>
      <c r="O3" s="1550"/>
      <c r="P3" s="1550"/>
      <c r="Q3" s="1550"/>
      <c r="R3" s="1550"/>
      <c r="S3" s="1550"/>
      <c r="T3" s="1550"/>
      <c r="U3" s="1550"/>
      <c r="V3" s="1550"/>
      <c r="W3" s="1550"/>
      <c r="X3" s="1550"/>
      <c r="Y3" s="1550"/>
      <c r="Z3" s="1550"/>
      <c r="AA3" s="1550"/>
      <c r="AB3" s="1550"/>
      <c r="AC3" s="1550"/>
      <c r="AD3" s="1550"/>
      <c r="AE3" s="1550"/>
      <c r="AF3" s="1550"/>
      <c r="AG3" s="1550"/>
      <c r="AH3" s="1550"/>
      <c r="AI3" s="1550"/>
      <c r="AJ3" s="1550"/>
      <c r="AK3" s="1550"/>
      <c r="AL3" s="1550"/>
      <c r="AM3" s="1550"/>
      <c r="AN3" s="1550"/>
      <c r="AO3" s="1550"/>
      <c r="AP3" s="1550"/>
      <c r="AQ3" s="1550"/>
      <c r="AR3" s="1550"/>
      <c r="AS3" s="1550"/>
      <c r="AT3" s="1550"/>
      <c r="AU3" s="1550"/>
      <c r="AV3" s="1550"/>
      <c r="AW3" s="1550"/>
      <c r="AX3" s="1550"/>
      <c r="AY3" s="1550"/>
      <c r="AZ3" s="1550"/>
      <c r="BA3" s="1550"/>
      <c r="BB3" s="1550"/>
      <c r="BC3" s="1550"/>
      <c r="BD3" s="1550"/>
      <c r="BE3" s="1550"/>
      <c r="BF3" s="1550"/>
      <c r="BG3" s="1550"/>
      <c r="BH3" s="1550"/>
      <c r="BI3" s="1550"/>
      <c r="BJ3" s="1550"/>
      <c r="BK3" s="1550"/>
      <c r="BL3" s="1550"/>
      <c r="BM3" s="1550"/>
      <c r="BN3" s="1550"/>
      <c r="BO3" s="1550"/>
      <c r="BP3" s="1550"/>
      <c r="BQ3" s="1550"/>
      <c r="BR3" s="1550"/>
      <c r="BS3" s="1550"/>
      <c r="BT3" s="1550"/>
    </row>
    <row r="4" spans="1:72">
      <c r="A4" s="846"/>
      <c r="B4" s="847" t="s">
        <v>1045</v>
      </c>
      <c r="C4" s="848">
        <v>2001</v>
      </c>
      <c r="D4" s="848">
        <v>2002</v>
      </c>
      <c r="E4" s="848">
        <v>2003</v>
      </c>
      <c r="F4" s="848">
        <v>2004</v>
      </c>
      <c r="G4" s="848">
        <v>2005</v>
      </c>
      <c r="H4" s="848">
        <v>2006</v>
      </c>
      <c r="I4" s="848">
        <v>2007</v>
      </c>
      <c r="J4" s="848">
        <v>2008</v>
      </c>
      <c r="K4" s="848">
        <v>2009</v>
      </c>
      <c r="L4" s="848">
        <v>2010</v>
      </c>
      <c r="M4" s="848">
        <v>2011</v>
      </c>
      <c r="N4" s="848">
        <v>2012</v>
      </c>
      <c r="O4" s="848">
        <v>2013</v>
      </c>
      <c r="P4" s="848">
        <v>2014</v>
      </c>
      <c r="Q4" s="848">
        <v>2015</v>
      </c>
      <c r="R4" s="848">
        <v>2016</v>
      </c>
      <c r="S4" s="848">
        <v>2017</v>
      </c>
      <c r="T4" s="848">
        <v>2018</v>
      </c>
      <c r="U4" s="848">
        <v>2019</v>
      </c>
      <c r="V4" s="848">
        <v>2020</v>
      </c>
      <c r="W4" s="848">
        <v>2021</v>
      </c>
      <c r="X4" s="848">
        <v>2022</v>
      </c>
      <c r="Y4" s="848">
        <v>2023</v>
      </c>
      <c r="Z4" s="848">
        <v>2024</v>
      </c>
      <c r="AA4" s="848">
        <v>2025</v>
      </c>
      <c r="AB4" s="848">
        <v>2026</v>
      </c>
      <c r="AC4" s="848">
        <v>2027</v>
      </c>
      <c r="AD4" s="848">
        <v>2028</v>
      </c>
      <c r="AE4" s="848">
        <v>2029</v>
      </c>
      <c r="AF4" s="848">
        <v>2030</v>
      </c>
      <c r="AG4" s="848">
        <v>2031</v>
      </c>
      <c r="AH4" s="848">
        <v>2032</v>
      </c>
      <c r="AI4" s="848">
        <v>2033</v>
      </c>
      <c r="AJ4" s="848">
        <v>2034</v>
      </c>
      <c r="AK4" s="848">
        <v>2035</v>
      </c>
      <c r="AL4" s="848">
        <v>2036</v>
      </c>
      <c r="AM4" s="848">
        <v>2037</v>
      </c>
      <c r="AN4" s="848">
        <v>2038</v>
      </c>
      <c r="AO4" s="848">
        <v>2039</v>
      </c>
      <c r="AP4" s="848">
        <v>2040</v>
      </c>
      <c r="AQ4" s="848">
        <v>2041</v>
      </c>
      <c r="AR4" s="848">
        <v>2042</v>
      </c>
      <c r="AS4" s="848">
        <v>2043</v>
      </c>
      <c r="AT4" s="848">
        <v>2044</v>
      </c>
      <c r="AU4" s="848">
        <v>2045</v>
      </c>
      <c r="AV4" s="848">
        <v>2046</v>
      </c>
      <c r="AW4" s="848">
        <v>2047</v>
      </c>
      <c r="AX4" s="848">
        <v>2048</v>
      </c>
      <c r="AY4" s="848">
        <v>2049</v>
      </c>
      <c r="AZ4" s="848">
        <v>2050</v>
      </c>
      <c r="BA4" s="848">
        <v>2051</v>
      </c>
      <c r="BB4" s="848">
        <v>2052</v>
      </c>
      <c r="BC4" s="848">
        <v>2053</v>
      </c>
      <c r="BD4" s="848">
        <v>2054</v>
      </c>
      <c r="BE4" s="848">
        <v>2056</v>
      </c>
      <c r="BF4" s="848">
        <v>2056</v>
      </c>
      <c r="BG4" s="848">
        <v>2057</v>
      </c>
      <c r="BH4" s="848">
        <v>2058</v>
      </c>
      <c r="BI4" s="848">
        <v>2059</v>
      </c>
      <c r="BJ4" s="848">
        <v>2060</v>
      </c>
      <c r="BK4" s="848">
        <v>2061</v>
      </c>
      <c r="BL4" s="848">
        <v>2062</v>
      </c>
      <c r="BM4" s="848">
        <v>2063</v>
      </c>
      <c r="BN4" s="848">
        <v>2064</v>
      </c>
      <c r="BO4" s="848">
        <v>2065</v>
      </c>
      <c r="BP4" s="848">
        <v>2066</v>
      </c>
      <c r="BQ4" s="848">
        <v>2067</v>
      </c>
      <c r="BR4" s="848">
        <v>2068</v>
      </c>
      <c r="BS4" s="848">
        <v>2069</v>
      </c>
      <c r="BT4" s="849">
        <v>2070</v>
      </c>
    </row>
    <row r="5" spans="1:72">
      <c r="A5" s="1551" t="s">
        <v>744</v>
      </c>
      <c r="B5" s="1552"/>
      <c r="C5" s="1552"/>
      <c r="D5" s="1552"/>
      <c r="E5" s="1552"/>
      <c r="F5" s="1552"/>
      <c r="G5" s="1552"/>
      <c r="H5" s="1552"/>
      <c r="I5" s="1552"/>
      <c r="J5" s="1552"/>
      <c r="K5" s="1552"/>
      <c r="L5" s="1552"/>
      <c r="M5" s="1552"/>
      <c r="N5" s="1552"/>
      <c r="O5" s="1552"/>
      <c r="P5" s="1552"/>
      <c r="Q5" s="1552"/>
      <c r="R5" s="1552"/>
      <c r="S5" s="1552"/>
      <c r="T5" s="1552"/>
      <c r="U5" s="1552"/>
      <c r="V5" s="1552"/>
      <c r="W5" s="1552"/>
      <c r="X5" s="1552"/>
      <c r="Y5" s="1552"/>
      <c r="Z5" s="1552"/>
      <c r="AA5" s="1552"/>
      <c r="AB5" s="1552"/>
      <c r="AC5" s="1552"/>
      <c r="AD5" s="1552"/>
      <c r="AE5" s="1552"/>
      <c r="AF5" s="1552"/>
      <c r="AG5" s="1552"/>
      <c r="AH5" s="1552"/>
      <c r="AI5" s="1552"/>
      <c r="AJ5" s="1552"/>
      <c r="AK5" s="1552"/>
      <c r="AL5" s="1552"/>
      <c r="AM5" s="1552"/>
      <c r="AN5" s="1552"/>
      <c r="AO5" s="1552"/>
      <c r="AP5" s="1552"/>
      <c r="AQ5" s="1552"/>
      <c r="AR5" s="1552"/>
      <c r="AS5" s="1552"/>
      <c r="AT5" s="1552"/>
      <c r="AU5" s="1552"/>
      <c r="AV5" s="1552"/>
      <c r="AW5" s="1552"/>
      <c r="AX5" s="1552"/>
      <c r="AY5" s="1552"/>
      <c r="AZ5" s="1552"/>
      <c r="BA5" s="1552"/>
      <c r="BB5" s="1552"/>
      <c r="BC5" s="1552"/>
      <c r="BD5" s="1552"/>
      <c r="BE5" s="1552"/>
      <c r="BF5" s="1552"/>
      <c r="BG5" s="1552"/>
      <c r="BH5" s="1552"/>
      <c r="BI5" s="1552"/>
      <c r="BJ5" s="1552"/>
      <c r="BK5" s="1552"/>
      <c r="BL5" s="1552"/>
      <c r="BM5" s="1552"/>
      <c r="BN5" s="1552"/>
      <c r="BO5" s="1552"/>
      <c r="BP5" s="1552"/>
      <c r="BQ5" s="1552"/>
      <c r="BR5" s="1552"/>
      <c r="BS5" s="1552"/>
      <c r="BT5" s="1553"/>
    </row>
    <row r="6" spans="1:72">
      <c r="A6" s="850" t="s">
        <v>745</v>
      </c>
      <c r="B6" s="851" t="s">
        <v>746</v>
      </c>
      <c r="C6" s="852">
        <v>8.9541000728991982</v>
      </c>
      <c r="D6" s="852">
        <v>6.8979457774252282</v>
      </c>
      <c r="E6" s="852">
        <v>8.4197996967243682</v>
      </c>
      <c r="F6" s="852">
        <v>8.8059982398770913</v>
      </c>
      <c r="G6" s="852">
        <v>8.8656468751295598</v>
      </c>
      <c r="H6" s="852">
        <v>8.2234977371287847</v>
      </c>
      <c r="I6" s="852">
        <v>7.8073426530046319</v>
      </c>
      <c r="J6" s="852">
        <v>7.4325694992857168</v>
      </c>
      <c r="K6" s="852">
        <v>7.297531685739191</v>
      </c>
      <c r="L6" s="852">
        <v>7.1966502441550162</v>
      </c>
      <c r="M6" s="852">
        <v>7.2405429268783017</v>
      </c>
      <c r="N6" s="852">
        <v>7.2944294079294778</v>
      </c>
      <c r="O6" s="852">
        <v>7.4037989917791105</v>
      </c>
      <c r="P6" s="852">
        <v>7.5440859727139706</v>
      </c>
      <c r="Q6" s="852">
        <v>7.6385998163583153</v>
      </c>
      <c r="R6" s="852">
        <v>7.6698249061152577</v>
      </c>
      <c r="S6" s="852">
        <v>7.596507558282819</v>
      </c>
      <c r="T6" s="852">
        <v>7.644327174942454</v>
      </c>
      <c r="U6" s="852">
        <v>7.7875295315148705</v>
      </c>
      <c r="V6" s="852">
        <v>8.0180296178133954</v>
      </c>
      <c r="W6" s="852">
        <v>8.1425457338117244</v>
      </c>
      <c r="X6" s="852">
        <v>8.1602542175436898</v>
      </c>
      <c r="Y6" s="852">
        <v>8.1927349319997838</v>
      </c>
      <c r="Z6" s="852">
        <v>8.2544961582939571</v>
      </c>
      <c r="AA6" s="852">
        <v>8.3511330316651513</v>
      </c>
      <c r="AB6" s="853">
        <v>8.4290329061652454</v>
      </c>
      <c r="AC6" s="853">
        <v>8.5069327806653394</v>
      </c>
      <c r="AD6" s="853">
        <v>8.5848326551654335</v>
      </c>
      <c r="AE6" s="853">
        <v>8.6627325296655275</v>
      </c>
      <c r="AF6" s="853">
        <v>8.7406324041656216</v>
      </c>
      <c r="AG6" s="853">
        <v>8.8185322786657157</v>
      </c>
      <c r="AH6" s="853">
        <v>8.8964321531658097</v>
      </c>
      <c r="AI6" s="853">
        <v>8.9743320276659038</v>
      </c>
      <c r="AJ6" s="853">
        <v>9.0522319021659978</v>
      </c>
      <c r="AK6" s="853">
        <v>9.1301317766660848</v>
      </c>
      <c r="AL6" s="853">
        <v>9.2578200706648097</v>
      </c>
      <c r="AM6" s="853">
        <v>9.3855083646635347</v>
      </c>
      <c r="AN6" s="853">
        <v>9.5131966586622596</v>
      </c>
      <c r="AO6" s="853">
        <v>9.6408849526609846</v>
      </c>
      <c r="AP6" s="853">
        <v>9.7685732466597095</v>
      </c>
      <c r="AQ6" s="853">
        <v>9.8962615406584344</v>
      </c>
      <c r="AR6" s="853">
        <v>10.023949834657159</v>
      </c>
      <c r="AS6" s="853">
        <v>10.151638128655884</v>
      </c>
      <c r="AT6" s="853">
        <v>10.279326422654609</v>
      </c>
      <c r="AU6" s="853">
        <v>10.407014716653334</v>
      </c>
      <c r="AV6" s="853">
        <v>10.534703010652059</v>
      </c>
      <c r="AW6" s="853">
        <v>10.662391304650784</v>
      </c>
      <c r="AX6" s="853">
        <v>10.790079598649509</v>
      </c>
      <c r="AY6" s="853">
        <v>10.917767892648234</v>
      </c>
      <c r="AZ6" s="853">
        <v>11.045456186646948</v>
      </c>
      <c r="BA6" s="853">
        <v>11.066404719719236</v>
      </c>
      <c r="BB6" s="853">
        <v>11.087353252791523</v>
      </c>
      <c r="BC6" s="853">
        <v>11.10830178586381</v>
      </c>
      <c r="BD6" s="853">
        <v>11.129250318936098</v>
      </c>
      <c r="BE6" s="853">
        <v>11.150198852008385</v>
      </c>
      <c r="BF6" s="853">
        <v>11.171147385080673</v>
      </c>
      <c r="BG6" s="853">
        <v>11.19209591815296</v>
      </c>
      <c r="BH6" s="853">
        <v>11.213044451225247</v>
      </c>
      <c r="BI6" s="853">
        <v>11.233992984297535</v>
      </c>
      <c r="BJ6" s="853">
        <v>11.254941517369822</v>
      </c>
      <c r="BK6" s="853">
        <v>11.27589005044211</v>
      </c>
      <c r="BL6" s="853">
        <v>11.296838583514397</v>
      </c>
      <c r="BM6" s="853">
        <v>11.317787116586684</v>
      </c>
      <c r="BN6" s="853">
        <v>11.338735649658972</v>
      </c>
      <c r="BO6" s="853">
        <v>11.359684182731248</v>
      </c>
      <c r="BP6" s="853">
        <v>11.381228672680008</v>
      </c>
      <c r="BQ6" s="853">
        <v>11.402773162628767</v>
      </c>
      <c r="BR6" s="853">
        <v>11.424317652577527</v>
      </c>
      <c r="BS6" s="853">
        <v>11.445862142526286</v>
      </c>
      <c r="BT6" s="854">
        <v>11.467406632475045</v>
      </c>
    </row>
    <row r="7" spans="1:72">
      <c r="A7" s="855" t="s">
        <v>747</v>
      </c>
      <c r="B7" s="851" t="s">
        <v>746</v>
      </c>
      <c r="C7" s="852">
        <v>5.2088497969877503</v>
      </c>
      <c r="D7" s="852">
        <v>4.0515519538015683</v>
      </c>
      <c r="E7" s="852">
        <v>5.7953765594734321</v>
      </c>
      <c r="F7" s="852">
        <v>6.3059286733843276</v>
      </c>
      <c r="G7" s="852">
        <v>6.3351569917966728</v>
      </c>
      <c r="H7" s="852">
        <v>5.6603640970194089</v>
      </c>
      <c r="I7" s="852">
        <v>5.2154936812958672</v>
      </c>
      <c r="J7" s="852">
        <v>4.824472465605103</v>
      </c>
      <c r="K7" s="852">
        <v>4.7214620293311338</v>
      </c>
      <c r="L7" s="852">
        <v>4.5987567766657387</v>
      </c>
      <c r="M7" s="852">
        <v>4.6224680014376371</v>
      </c>
      <c r="N7" s="852">
        <v>4.6768878495918127</v>
      </c>
      <c r="O7" s="852">
        <v>4.7861952984108127</v>
      </c>
      <c r="P7" s="852">
        <v>4.922351045428587</v>
      </c>
      <c r="Q7" s="852">
        <v>5.0173813554475863</v>
      </c>
      <c r="R7" s="852">
        <v>5.0686005039035118</v>
      </c>
      <c r="S7" s="852">
        <v>5.0229759936062797</v>
      </c>
      <c r="T7" s="852">
        <v>5.0914502886106439</v>
      </c>
      <c r="U7" s="852">
        <v>5.2365480121576597</v>
      </c>
      <c r="V7" s="852">
        <v>5.4816269649649545</v>
      </c>
      <c r="W7" s="852">
        <v>5.5841408180740668</v>
      </c>
      <c r="X7" s="852">
        <v>5.5850370537559959</v>
      </c>
      <c r="Y7" s="852">
        <v>5.6052826350589937</v>
      </c>
      <c r="Z7" s="852">
        <v>5.6612136071582997</v>
      </c>
      <c r="AA7" s="852">
        <v>5.7676752715740598</v>
      </c>
      <c r="AB7" s="853">
        <v>5.8539244792759346</v>
      </c>
      <c r="AC7" s="853">
        <v>5.9401736869778095</v>
      </c>
      <c r="AD7" s="853">
        <v>6.0264228946796843</v>
      </c>
      <c r="AE7" s="853">
        <v>6.1126721023815591</v>
      </c>
      <c r="AF7" s="853">
        <v>6.1989213100834339</v>
      </c>
      <c r="AG7" s="853">
        <v>6.2851705177853088</v>
      </c>
      <c r="AH7" s="853">
        <v>6.3714197254871836</v>
      </c>
      <c r="AI7" s="853">
        <v>6.4576689331890584</v>
      </c>
      <c r="AJ7" s="853">
        <v>6.5439181408909333</v>
      </c>
      <c r="AK7" s="853">
        <v>6.6301673485928063</v>
      </c>
      <c r="AL7" s="853">
        <v>6.7228927087931387</v>
      </c>
      <c r="AM7" s="853">
        <v>6.8156180689934711</v>
      </c>
      <c r="AN7" s="853">
        <v>6.9083434291938035</v>
      </c>
      <c r="AO7" s="853">
        <v>7.0010687893941359</v>
      </c>
      <c r="AP7" s="853">
        <v>7.0937941495944683</v>
      </c>
      <c r="AQ7" s="853">
        <v>7.1865195097948007</v>
      </c>
      <c r="AR7" s="853">
        <v>7.2792448699951331</v>
      </c>
      <c r="AS7" s="853">
        <v>7.3719702301954655</v>
      </c>
      <c r="AT7" s="853">
        <v>7.4646955903957979</v>
      </c>
      <c r="AU7" s="853">
        <v>7.5574209505961303</v>
      </c>
      <c r="AV7" s="853">
        <v>7.6501463107964627</v>
      </c>
      <c r="AW7" s="853">
        <v>7.7428716709967951</v>
      </c>
      <c r="AX7" s="853">
        <v>7.8355970311971275</v>
      </c>
      <c r="AY7" s="853">
        <v>7.9283223913974599</v>
      </c>
      <c r="AZ7" s="853">
        <v>8.021047751597786</v>
      </c>
      <c r="BA7" s="853">
        <v>8.0362602680624171</v>
      </c>
      <c r="BB7" s="853">
        <v>8.0514727845270482</v>
      </c>
      <c r="BC7" s="853">
        <v>8.0666853009916792</v>
      </c>
      <c r="BD7" s="853">
        <v>8.0818978174563103</v>
      </c>
      <c r="BE7" s="853">
        <v>8.0971103339209414</v>
      </c>
      <c r="BF7" s="853">
        <v>8.1123228503855724</v>
      </c>
      <c r="BG7" s="853">
        <v>8.1275353668502035</v>
      </c>
      <c r="BH7" s="853">
        <v>8.1427478833148346</v>
      </c>
      <c r="BI7" s="853">
        <v>8.1579603997794656</v>
      </c>
      <c r="BJ7" s="853">
        <v>8.1731729162440967</v>
      </c>
      <c r="BK7" s="853">
        <v>8.1883854327087278</v>
      </c>
      <c r="BL7" s="853">
        <v>8.2035979491733588</v>
      </c>
      <c r="BM7" s="853">
        <v>8.2188104656379899</v>
      </c>
      <c r="BN7" s="853">
        <v>8.234022982102621</v>
      </c>
      <c r="BO7" s="853">
        <v>8.2492354985672645</v>
      </c>
      <c r="BP7" s="853">
        <v>8.2648807901462327</v>
      </c>
      <c r="BQ7" s="853">
        <v>8.2805260817252009</v>
      </c>
      <c r="BR7" s="853">
        <v>8.2961713733041691</v>
      </c>
      <c r="BS7" s="853">
        <v>8.3118166648831373</v>
      </c>
      <c r="BT7" s="854">
        <v>8.3274619564621091</v>
      </c>
    </row>
    <row r="8" spans="1:72">
      <c r="A8" s="855" t="s">
        <v>748</v>
      </c>
      <c r="B8" s="851" t="s">
        <v>746</v>
      </c>
      <c r="C8" s="852">
        <v>5.6269638934579786</v>
      </c>
      <c r="D8" s="852">
        <v>3.8422456293735823</v>
      </c>
      <c r="E8" s="852">
        <v>5.691139826234779</v>
      </c>
      <c r="F8" s="852">
        <v>6.2376343214286925</v>
      </c>
      <c r="G8" s="852">
        <v>6.1731978092553481</v>
      </c>
      <c r="H8" s="852">
        <v>5.4998161252939477</v>
      </c>
      <c r="I8" s="852">
        <v>5.0667498741509744</v>
      </c>
      <c r="J8" s="852">
        <v>4.6999946247856554</v>
      </c>
      <c r="K8" s="852">
        <v>4.5877827360944901</v>
      </c>
      <c r="L8" s="852">
        <v>4.4974766767249967</v>
      </c>
      <c r="M8" s="852">
        <v>4.5471429464952013</v>
      </c>
      <c r="N8" s="852">
        <v>4.6470168064225401</v>
      </c>
      <c r="O8" s="852">
        <v>4.7885290901615907</v>
      </c>
      <c r="P8" s="852">
        <v>4.9298490038457894</v>
      </c>
      <c r="Q8" s="852">
        <v>5.0143193411377212</v>
      </c>
      <c r="R8" s="852">
        <v>5.0431599369588911</v>
      </c>
      <c r="S8" s="852">
        <v>4.9958503246307417</v>
      </c>
      <c r="T8" s="852">
        <v>5.071809156885692</v>
      </c>
      <c r="U8" s="852">
        <v>5.2209958625289659</v>
      </c>
      <c r="V8" s="852">
        <v>5.4542850660827948</v>
      </c>
      <c r="W8" s="852">
        <v>5.5514960671370845</v>
      </c>
      <c r="X8" s="852">
        <v>5.5489887943807661</v>
      </c>
      <c r="Y8" s="852">
        <v>5.5622220646660265</v>
      </c>
      <c r="Z8" s="852">
        <v>5.6263508841676488</v>
      </c>
      <c r="AA8" s="852">
        <v>5.730461856104295</v>
      </c>
      <c r="AB8" s="853">
        <v>5.8123040182474703</v>
      </c>
      <c r="AC8" s="853">
        <v>5.8941461803906456</v>
      </c>
      <c r="AD8" s="853">
        <v>5.9759883425338209</v>
      </c>
      <c r="AE8" s="853">
        <v>6.0578305046769962</v>
      </c>
      <c r="AF8" s="853">
        <v>6.1396726668201715</v>
      </c>
      <c r="AG8" s="853">
        <v>6.2215148289633468</v>
      </c>
      <c r="AH8" s="853">
        <v>6.3033569911065221</v>
      </c>
      <c r="AI8" s="853">
        <v>6.3851991532496974</v>
      </c>
      <c r="AJ8" s="853">
        <v>6.4670413153928727</v>
      </c>
      <c r="AK8" s="853">
        <v>6.5488834775360516</v>
      </c>
      <c r="AL8" s="853">
        <v>6.6404720525202734</v>
      </c>
      <c r="AM8" s="853">
        <v>6.7320606275044952</v>
      </c>
      <c r="AN8" s="853">
        <v>6.823649202488717</v>
      </c>
      <c r="AO8" s="853">
        <v>6.9152377774729388</v>
      </c>
      <c r="AP8" s="853">
        <v>7.0068263524571606</v>
      </c>
      <c r="AQ8" s="853">
        <v>7.0984149274413824</v>
      </c>
      <c r="AR8" s="853">
        <v>7.1900035024256042</v>
      </c>
      <c r="AS8" s="853">
        <v>7.2815920774098259</v>
      </c>
      <c r="AT8" s="853">
        <v>7.3731806523940477</v>
      </c>
      <c r="AU8" s="853">
        <v>7.4647692273782695</v>
      </c>
      <c r="AV8" s="853">
        <v>7.5563578023624913</v>
      </c>
      <c r="AW8" s="853">
        <v>7.6479463773467131</v>
      </c>
      <c r="AX8" s="853">
        <v>7.7395349523309349</v>
      </c>
      <c r="AY8" s="853">
        <v>7.8311235273151567</v>
      </c>
      <c r="AZ8" s="853">
        <v>7.9227121022993829</v>
      </c>
      <c r="BA8" s="853">
        <v>7.9377381178566102</v>
      </c>
      <c r="BB8" s="853">
        <v>7.9527641334138375</v>
      </c>
      <c r="BC8" s="853">
        <v>7.9677901489710647</v>
      </c>
      <c r="BD8" s="853">
        <v>7.982816164528292</v>
      </c>
      <c r="BE8" s="853">
        <v>7.9978421800855193</v>
      </c>
      <c r="BF8" s="853">
        <v>8.0128681956427457</v>
      </c>
      <c r="BG8" s="853">
        <v>8.0278942111999729</v>
      </c>
      <c r="BH8" s="853">
        <v>8.0429202267572002</v>
      </c>
      <c r="BI8" s="853">
        <v>8.0579462423144275</v>
      </c>
      <c r="BJ8" s="853">
        <v>8.0729722578716547</v>
      </c>
      <c r="BK8" s="853">
        <v>8.087998273428882</v>
      </c>
      <c r="BL8" s="853">
        <v>8.1030242889861093</v>
      </c>
      <c r="BM8" s="853">
        <v>8.1180503045433365</v>
      </c>
      <c r="BN8" s="853">
        <v>8.1330763201005638</v>
      </c>
      <c r="BO8" s="853">
        <v>8.1481023356577857</v>
      </c>
      <c r="BP8" s="853">
        <v>8.1635558206357306</v>
      </c>
      <c r="BQ8" s="853">
        <v>8.1790093056136755</v>
      </c>
      <c r="BR8" s="853">
        <v>8.1944627905916203</v>
      </c>
      <c r="BS8" s="853">
        <v>8.2099162755695652</v>
      </c>
      <c r="BT8" s="854">
        <v>8.2253697605475136</v>
      </c>
    </row>
    <row r="9" spans="1:72">
      <c r="A9" s="1551" t="s">
        <v>749</v>
      </c>
      <c r="B9" s="1552"/>
      <c r="C9" s="1552"/>
      <c r="D9" s="1552"/>
      <c r="E9" s="1552"/>
      <c r="F9" s="1552"/>
      <c r="G9" s="1552"/>
      <c r="H9" s="1552"/>
      <c r="I9" s="1552"/>
      <c r="J9" s="1552"/>
      <c r="K9" s="1552"/>
      <c r="L9" s="1552"/>
      <c r="M9" s="1552"/>
      <c r="N9" s="1552"/>
      <c r="O9" s="1552"/>
      <c r="P9" s="1552"/>
      <c r="Q9" s="1552"/>
      <c r="R9" s="1552"/>
      <c r="S9" s="1552"/>
      <c r="T9" s="1552"/>
      <c r="U9" s="1552"/>
      <c r="V9" s="1552"/>
      <c r="W9" s="1552"/>
      <c r="X9" s="1552"/>
      <c r="Y9" s="1552"/>
      <c r="Z9" s="1552"/>
      <c r="AA9" s="1552"/>
      <c r="AB9" s="1552"/>
      <c r="AC9" s="1552"/>
      <c r="AD9" s="1552"/>
      <c r="AE9" s="1552"/>
      <c r="AF9" s="1552"/>
      <c r="AG9" s="1552"/>
      <c r="AH9" s="1552"/>
      <c r="AI9" s="1552"/>
      <c r="AJ9" s="1552"/>
      <c r="AK9" s="1552"/>
      <c r="AL9" s="1552"/>
      <c r="AM9" s="1552"/>
      <c r="AN9" s="1552"/>
      <c r="AO9" s="1552"/>
      <c r="AP9" s="1552"/>
      <c r="AQ9" s="1552"/>
      <c r="AR9" s="1552"/>
      <c r="AS9" s="1552"/>
      <c r="AT9" s="1552"/>
      <c r="AU9" s="1552"/>
      <c r="AV9" s="1552"/>
      <c r="AW9" s="1552"/>
      <c r="AX9" s="1552"/>
      <c r="AY9" s="1552"/>
      <c r="AZ9" s="1552"/>
      <c r="BA9" s="1552"/>
      <c r="BB9" s="1552"/>
      <c r="BC9" s="1552"/>
      <c r="BD9" s="1552"/>
      <c r="BE9" s="1552"/>
      <c r="BF9" s="1552"/>
      <c r="BG9" s="1552"/>
      <c r="BH9" s="1552"/>
      <c r="BI9" s="1552"/>
      <c r="BJ9" s="1552"/>
      <c r="BK9" s="1552"/>
      <c r="BL9" s="1552"/>
      <c r="BM9" s="1552"/>
      <c r="BN9" s="1552"/>
      <c r="BO9" s="1552"/>
      <c r="BP9" s="1552"/>
      <c r="BQ9" s="1552"/>
      <c r="BR9" s="1552"/>
      <c r="BS9" s="1552"/>
      <c r="BT9" s="1553"/>
    </row>
    <row r="10" spans="1:72">
      <c r="A10" s="855" t="s">
        <v>682</v>
      </c>
      <c r="B10" s="851" t="s">
        <v>746</v>
      </c>
      <c r="C10" s="852">
        <v>24.866788774356646</v>
      </c>
      <c r="D10" s="852">
        <v>24.345010037692106</v>
      </c>
      <c r="E10" s="852">
        <v>24.223933219909672</v>
      </c>
      <c r="F10" s="852">
        <v>24.020635352944481</v>
      </c>
      <c r="G10" s="852">
        <v>23.91295186528621</v>
      </c>
      <c r="H10" s="852">
        <v>22.837542614846832</v>
      </c>
      <c r="I10" s="852">
        <v>21.69091966017233</v>
      </c>
      <c r="J10" s="852">
        <v>21.090846376599046</v>
      </c>
      <c r="K10" s="852">
        <v>21.058556043876806</v>
      </c>
      <c r="L10" s="852">
        <v>20.987678365887316</v>
      </c>
      <c r="M10" s="852">
        <v>20.983490961902529</v>
      </c>
      <c r="N10" s="852">
        <v>21.313707333690761</v>
      </c>
      <c r="O10" s="852">
        <v>21.638938984780914</v>
      </c>
      <c r="P10" s="852">
        <v>22.13258341123478</v>
      </c>
      <c r="Q10" s="852">
        <v>22.313049388381657</v>
      </c>
      <c r="R10" s="852">
        <v>22.486876361774936</v>
      </c>
      <c r="S10" s="852">
        <v>22.494946956634521</v>
      </c>
      <c r="T10" s="852">
        <v>22.662665807975912</v>
      </c>
      <c r="U10" s="852">
        <v>22.922821701697636</v>
      </c>
      <c r="V10" s="852">
        <v>23.270139622238439</v>
      </c>
      <c r="W10" s="852">
        <v>23.509686568997985</v>
      </c>
      <c r="X10" s="852">
        <v>23.493712398241108</v>
      </c>
      <c r="Y10" s="852">
        <v>23.423848763951703</v>
      </c>
      <c r="Z10" s="852">
        <v>23.513217827059155</v>
      </c>
      <c r="AA10" s="852">
        <v>23.645542576627872</v>
      </c>
      <c r="AB10" s="853">
        <v>23.786749293232678</v>
      </c>
      <c r="AC10" s="853">
        <v>23.927956009837484</v>
      </c>
      <c r="AD10" s="853">
        <v>24.06916272644229</v>
      </c>
      <c r="AE10" s="853">
        <v>24.210369443047096</v>
      </c>
      <c r="AF10" s="853">
        <v>24.351576159651902</v>
      </c>
      <c r="AG10" s="853">
        <v>24.492782876256708</v>
      </c>
      <c r="AH10" s="853">
        <v>24.633989592861514</v>
      </c>
      <c r="AI10" s="853">
        <v>24.77519630946632</v>
      </c>
      <c r="AJ10" s="853">
        <v>24.916403026071126</v>
      </c>
      <c r="AK10" s="853">
        <v>25.057609742675933</v>
      </c>
      <c r="AL10" s="853">
        <v>25.047759076850095</v>
      </c>
      <c r="AM10" s="853">
        <v>25.037908411024258</v>
      </c>
      <c r="AN10" s="853">
        <v>25.028057745198421</v>
      </c>
      <c r="AO10" s="853">
        <v>25.018207079372583</v>
      </c>
      <c r="AP10" s="853">
        <v>25.008356413546746</v>
      </c>
      <c r="AQ10" s="853">
        <v>24.998505747720909</v>
      </c>
      <c r="AR10" s="853">
        <v>24.988655081895072</v>
      </c>
      <c r="AS10" s="853">
        <v>24.978804416069234</v>
      </c>
      <c r="AT10" s="853">
        <v>24.968953750243397</v>
      </c>
      <c r="AU10" s="853">
        <v>24.95910308441756</v>
      </c>
      <c r="AV10" s="853">
        <v>24.949252418591723</v>
      </c>
      <c r="AW10" s="853">
        <v>24.939401752765885</v>
      </c>
      <c r="AX10" s="853">
        <v>24.929551086940048</v>
      </c>
      <c r="AY10" s="853">
        <v>24.919700421114211</v>
      </c>
      <c r="AZ10" s="853">
        <v>24.90984975528837</v>
      </c>
      <c r="BA10" s="853">
        <v>24.925673674379027</v>
      </c>
      <c r="BB10" s="853">
        <v>24.941497593469684</v>
      </c>
      <c r="BC10" s="853">
        <v>24.957321512560341</v>
      </c>
      <c r="BD10" s="853">
        <v>24.973145431650998</v>
      </c>
      <c r="BE10" s="853">
        <v>24.988969350741655</v>
      </c>
      <c r="BF10" s="853">
        <v>25.004793269832312</v>
      </c>
      <c r="BG10" s="853">
        <v>25.020617188922969</v>
      </c>
      <c r="BH10" s="853">
        <v>25.036441108013626</v>
      </c>
      <c r="BI10" s="853">
        <v>25.052265027104283</v>
      </c>
      <c r="BJ10" s="853">
        <v>25.068088946194941</v>
      </c>
      <c r="BK10" s="853">
        <v>25.083912865285598</v>
      </c>
      <c r="BL10" s="853">
        <v>25.099736784376255</v>
      </c>
      <c r="BM10" s="853">
        <v>25.115560703466912</v>
      </c>
      <c r="BN10" s="853">
        <v>25.131384622557569</v>
      </c>
      <c r="BO10" s="853">
        <v>25.147208541648205</v>
      </c>
      <c r="BP10" s="853">
        <v>25.163183242307905</v>
      </c>
      <c r="BQ10" s="853">
        <v>25.179157942967606</v>
      </c>
      <c r="BR10" s="853">
        <v>25.195132643627307</v>
      </c>
      <c r="BS10" s="853">
        <v>25.211107344287008</v>
      </c>
      <c r="BT10" s="854">
        <v>25.227082044946716</v>
      </c>
    </row>
    <row r="11" spans="1:72">
      <c r="A11" s="855" t="s">
        <v>697</v>
      </c>
      <c r="B11" s="851" t="s">
        <v>746</v>
      </c>
      <c r="C11" s="852">
        <v>16.038863482553147</v>
      </c>
      <c r="D11" s="852">
        <v>15.36037109932807</v>
      </c>
      <c r="E11" s="852">
        <v>15.664056310113844</v>
      </c>
      <c r="F11" s="852">
        <v>16.390134465019642</v>
      </c>
      <c r="G11" s="852">
        <v>16.26049394877451</v>
      </c>
      <c r="H11" s="852">
        <v>15.718549229064077</v>
      </c>
      <c r="I11" s="852">
        <v>15.083546116666987</v>
      </c>
      <c r="J11" s="852">
        <v>14.764544869368896</v>
      </c>
      <c r="K11" s="852">
        <v>14.679648534306921</v>
      </c>
      <c r="L11" s="852">
        <v>14.510741661179726</v>
      </c>
      <c r="M11" s="852">
        <v>14.370329416023063</v>
      </c>
      <c r="N11" s="852">
        <v>14.522587083420669</v>
      </c>
      <c r="O11" s="852">
        <v>14.791267903345901</v>
      </c>
      <c r="P11" s="852">
        <v>15.142176731577413</v>
      </c>
      <c r="Q11" s="852">
        <v>15.304996360023072</v>
      </c>
      <c r="R11" s="852">
        <v>15.443286072533045</v>
      </c>
      <c r="S11" s="852">
        <v>15.485992224711291</v>
      </c>
      <c r="T11" s="852">
        <v>15.663456831338236</v>
      </c>
      <c r="U11" s="852">
        <v>15.910829809476709</v>
      </c>
      <c r="V11" s="852">
        <v>16.241389166634008</v>
      </c>
      <c r="W11" s="852">
        <v>16.419768400912066</v>
      </c>
      <c r="X11" s="852">
        <v>16.405212897174714</v>
      </c>
      <c r="Y11" s="852">
        <v>16.372526888577397</v>
      </c>
      <c r="Z11" s="852">
        <v>16.449089176249931</v>
      </c>
      <c r="AA11" s="852">
        <v>16.568027554817903</v>
      </c>
      <c r="AB11" s="853">
        <v>16.704753726753587</v>
      </c>
      <c r="AC11" s="853">
        <v>16.841479898689272</v>
      </c>
      <c r="AD11" s="853">
        <v>16.978206070624957</v>
      </c>
      <c r="AE11" s="853">
        <v>17.114932242560641</v>
      </c>
      <c r="AF11" s="853">
        <v>17.251658414496326</v>
      </c>
      <c r="AG11" s="853">
        <v>17.388384586432011</v>
      </c>
      <c r="AH11" s="853">
        <v>17.525110758367695</v>
      </c>
      <c r="AI11" s="853">
        <v>17.66183693030338</v>
      </c>
      <c r="AJ11" s="853">
        <v>17.798563102239065</v>
      </c>
      <c r="AK11" s="853">
        <v>17.935289274174743</v>
      </c>
      <c r="AL11" s="853">
        <v>17.928238540168429</v>
      </c>
      <c r="AM11" s="853">
        <v>17.921187806162116</v>
      </c>
      <c r="AN11" s="853">
        <v>17.914137072155803</v>
      </c>
      <c r="AO11" s="853">
        <v>17.90708633814949</v>
      </c>
      <c r="AP11" s="853">
        <v>17.900035604143177</v>
      </c>
      <c r="AQ11" s="853">
        <v>17.892984870136864</v>
      </c>
      <c r="AR11" s="853">
        <v>17.885934136130551</v>
      </c>
      <c r="AS11" s="853">
        <v>17.878883402124238</v>
      </c>
      <c r="AT11" s="853">
        <v>17.871832668117925</v>
      </c>
      <c r="AU11" s="853">
        <v>17.864781934111612</v>
      </c>
      <c r="AV11" s="853">
        <v>17.857731200105299</v>
      </c>
      <c r="AW11" s="853">
        <v>17.850680466098986</v>
      </c>
      <c r="AX11" s="853">
        <v>17.843629732092673</v>
      </c>
      <c r="AY11" s="853">
        <v>17.83657899808636</v>
      </c>
      <c r="AZ11" s="853">
        <v>17.829528264080036</v>
      </c>
      <c r="BA11" s="853">
        <v>17.840854426840831</v>
      </c>
      <c r="BB11" s="853">
        <v>17.852180589601627</v>
      </c>
      <c r="BC11" s="853">
        <v>17.863506752362422</v>
      </c>
      <c r="BD11" s="853">
        <v>17.874832915123218</v>
      </c>
      <c r="BE11" s="853">
        <v>17.886159077884013</v>
      </c>
      <c r="BF11" s="853">
        <v>17.897485240644809</v>
      </c>
      <c r="BG11" s="853">
        <v>17.908811403405604</v>
      </c>
      <c r="BH11" s="853">
        <v>17.9201375661664</v>
      </c>
      <c r="BI11" s="853">
        <v>17.931463728927195</v>
      </c>
      <c r="BJ11" s="853">
        <v>17.94278989168799</v>
      </c>
      <c r="BK11" s="853">
        <v>17.954116054448786</v>
      </c>
      <c r="BL11" s="853">
        <v>17.965442217209581</v>
      </c>
      <c r="BM11" s="853">
        <v>17.976768379970377</v>
      </c>
      <c r="BN11" s="853">
        <v>17.988094542731172</v>
      </c>
      <c r="BO11" s="853">
        <v>17.999420705491971</v>
      </c>
      <c r="BP11" s="853">
        <v>18.010854791996724</v>
      </c>
      <c r="BQ11" s="853">
        <v>18.022288878501477</v>
      </c>
      <c r="BR11" s="853">
        <v>18.033722965006231</v>
      </c>
      <c r="BS11" s="853">
        <v>18.045157051510984</v>
      </c>
      <c r="BT11" s="854">
        <v>18.056591138015737</v>
      </c>
    </row>
    <row r="12" spans="1:72">
      <c r="A12" s="856" t="s">
        <v>750</v>
      </c>
      <c r="B12" s="851"/>
      <c r="C12" s="851"/>
      <c r="D12" s="851"/>
      <c r="E12" s="851"/>
      <c r="F12" s="851"/>
      <c r="G12" s="851"/>
      <c r="H12" s="851"/>
      <c r="I12" s="851"/>
      <c r="J12" s="851"/>
      <c r="K12" s="851"/>
      <c r="L12" s="851"/>
      <c r="M12" s="851"/>
      <c r="N12" s="851"/>
      <c r="O12" s="851"/>
      <c r="P12" s="851"/>
      <c r="Q12" s="851"/>
      <c r="R12" s="851"/>
      <c r="S12" s="851"/>
      <c r="T12" s="851"/>
      <c r="U12" s="851"/>
      <c r="V12" s="851"/>
      <c r="W12" s="851"/>
      <c r="X12" s="851"/>
      <c r="Y12" s="851"/>
      <c r="Z12" s="851"/>
      <c r="AA12" s="851"/>
      <c r="AB12" s="851"/>
      <c r="AC12" s="851"/>
      <c r="AD12" s="851"/>
      <c r="AE12" s="851"/>
      <c r="AF12" s="851"/>
      <c r="AG12" s="851"/>
      <c r="AH12" s="851"/>
      <c r="AI12" s="851"/>
      <c r="AJ12" s="851"/>
      <c r="AK12" s="851"/>
      <c r="AL12" s="851"/>
      <c r="AM12" s="851"/>
      <c r="AN12" s="851"/>
      <c r="AO12" s="851"/>
      <c r="AP12" s="851"/>
      <c r="AQ12" s="851"/>
      <c r="AR12" s="851"/>
      <c r="AS12" s="851"/>
      <c r="AT12" s="851"/>
      <c r="AU12" s="851"/>
      <c r="AV12" s="851"/>
      <c r="AW12" s="851"/>
      <c r="AX12" s="851"/>
      <c r="AY12" s="851"/>
      <c r="AZ12" s="851"/>
      <c r="BA12" s="851"/>
      <c r="BB12" s="851"/>
      <c r="BC12" s="851"/>
      <c r="BD12" s="851"/>
      <c r="BE12" s="851"/>
      <c r="BF12" s="851"/>
      <c r="BG12" s="851"/>
      <c r="BH12" s="851"/>
      <c r="BI12" s="851"/>
      <c r="BJ12" s="851"/>
      <c r="BK12" s="851"/>
      <c r="BL12" s="851"/>
      <c r="BM12" s="851"/>
      <c r="BN12" s="851"/>
      <c r="BO12" s="851"/>
      <c r="BP12" s="851"/>
      <c r="BQ12" s="851"/>
      <c r="BR12" s="851"/>
      <c r="BS12" s="851"/>
      <c r="BT12" s="857"/>
    </row>
    <row r="13" spans="1:72">
      <c r="A13" s="855" t="s">
        <v>1083</v>
      </c>
      <c r="B13" s="851" t="s">
        <v>746</v>
      </c>
      <c r="C13" s="852">
        <v>1.3268491834774256</v>
      </c>
      <c r="D13" s="852">
        <v>1.32388562245189</v>
      </c>
      <c r="E13" s="852">
        <v>1.3334961719108085</v>
      </c>
      <c r="F13" s="852">
        <v>1.3380821099821107</v>
      </c>
      <c r="G13" s="852">
        <v>1.3443425871291239</v>
      </c>
      <c r="H13" s="852">
        <v>1.3528785733681756</v>
      </c>
      <c r="I13" s="852">
        <v>1.3415886383011697</v>
      </c>
      <c r="J13" s="852">
        <v>1.3403624656065469</v>
      </c>
      <c r="K13" s="852">
        <v>1.330997225248586</v>
      </c>
      <c r="L13" s="852">
        <v>1.3164209684110997</v>
      </c>
      <c r="M13" s="852">
        <v>1.3072140481112184</v>
      </c>
      <c r="N13" s="852">
        <v>1.3019573002491378</v>
      </c>
      <c r="O13" s="852">
        <v>1.2978333982656636</v>
      </c>
      <c r="P13" s="852">
        <v>1.295833644439585</v>
      </c>
      <c r="Q13" s="852">
        <v>1.2953486183904279</v>
      </c>
      <c r="R13" s="852">
        <v>1.2970626753456174</v>
      </c>
      <c r="S13" s="852">
        <v>1.2955796364343368</v>
      </c>
      <c r="T13" s="852">
        <v>1.3002382724914889</v>
      </c>
      <c r="U13" s="852">
        <v>1.3044509032987155</v>
      </c>
      <c r="V13" s="852">
        <v>1.3304805103337984</v>
      </c>
      <c r="W13" s="852">
        <v>1.3397570218680066</v>
      </c>
      <c r="X13" s="852">
        <v>1.3519914094007222</v>
      </c>
      <c r="Y13" s="852">
        <v>1.3569265463442153</v>
      </c>
      <c r="Z13" s="852">
        <v>1.3726611244228613</v>
      </c>
      <c r="AA13" s="852">
        <v>1.3854931266802686</v>
      </c>
      <c r="AB13" s="853">
        <v>1.3951349014789893</v>
      </c>
      <c r="AC13" s="853">
        <v>1.4047766762777101</v>
      </c>
      <c r="AD13" s="853">
        <v>1.4144184510764308</v>
      </c>
      <c r="AE13" s="853">
        <v>1.4240602258751516</v>
      </c>
      <c r="AF13" s="853">
        <v>1.4337020006738723</v>
      </c>
      <c r="AG13" s="853">
        <v>1.4433437754725931</v>
      </c>
      <c r="AH13" s="853">
        <v>1.4529855502713138</v>
      </c>
      <c r="AI13" s="853">
        <v>1.4626273250700346</v>
      </c>
      <c r="AJ13" s="853">
        <v>1.4722690998687553</v>
      </c>
      <c r="AK13" s="853">
        <v>1.481910874667477</v>
      </c>
      <c r="AL13" s="853">
        <v>1.4862555877963981</v>
      </c>
      <c r="AM13" s="853">
        <v>1.4906003009253193</v>
      </c>
      <c r="AN13" s="853">
        <v>1.4949450140542404</v>
      </c>
      <c r="AO13" s="853">
        <v>1.4992897271831616</v>
      </c>
      <c r="AP13" s="853">
        <v>1.5036344403120827</v>
      </c>
      <c r="AQ13" s="853">
        <v>1.5079791534410039</v>
      </c>
      <c r="AR13" s="853">
        <v>1.512323866569925</v>
      </c>
      <c r="AS13" s="853">
        <v>1.5166685796988462</v>
      </c>
      <c r="AT13" s="853">
        <v>1.5210132928277673</v>
      </c>
      <c r="AU13" s="853">
        <v>1.5253580059566885</v>
      </c>
      <c r="AV13" s="853">
        <v>1.5297027190856096</v>
      </c>
      <c r="AW13" s="853">
        <v>1.5340474322145308</v>
      </c>
      <c r="AX13" s="853">
        <v>1.5383921453434519</v>
      </c>
      <c r="AY13" s="853">
        <v>1.5427368584723731</v>
      </c>
      <c r="AZ13" s="853">
        <v>1.5470815716012942</v>
      </c>
      <c r="BA13" s="853">
        <v>1.5500157274134729</v>
      </c>
      <c r="BB13" s="853">
        <v>1.5529498832256516</v>
      </c>
      <c r="BC13" s="853">
        <v>1.5558840390378303</v>
      </c>
      <c r="BD13" s="853">
        <v>1.5588181948500091</v>
      </c>
      <c r="BE13" s="853">
        <v>1.5617523506621878</v>
      </c>
      <c r="BF13" s="853">
        <v>1.5646865064743665</v>
      </c>
      <c r="BG13" s="853">
        <v>1.5676206622865452</v>
      </c>
      <c r="BH13" s="853">
        <v>1.5705548180987239</v>
      </c>
      <c r="BI13" s="853">
        <v>1.5734889739109026</v>
      </c>
      <c r="BJ13" s="853">
        <v>1.5764231297230813</v>
      </c>
      <c r="BK13" s="853">
        <v>1.57935728553526</v>
      </c>
      <c r="BL13" s="853">
        <v>1.5822914413474387</v>
      </c>
      <c r="BM13" s="853">
        <v>1.5852255971596174</v>
      </c>
      <c r="BN13" s="853">
        <v>1.5881597529717961</v>
      </c>
      <c r="BO13" s="853">
        <v>1.5910939087839742</v>
      </c>
      <c r="BP13" s="853">
        <v>1.5941115372826113</v>
      </c>
      <c r="BQ13" s="853">
        <v>1.5971291657812485</v>
      </c>
      <c r="BR13" s="853">
        <v>1.6001467942798857</v>
      </c>
      <c r="BS13" s="853">
        <v>1.6031644227785229</v>
      </c>
      <c r="BT13" s="854">
        <v>1.6061820512771605</v>
      </c>
    </row>
    <row r="14" spans="1:72">
      <c r="A14" s="1551" t="s">
        <v>751</v>
      </c>
      <c r="B14" s="1552"/>
      <c r="C14" s="1552"/>
      <c r="D14" s="1552"/>
      <c r="E14" s="1552"/>
      <c r="F14" s="1552"/>
      <c r="G14" s="1552"/>
      <c r="H14" s="1552"/>
      <c r="I14" s="1552"/>
      <c r="J14" s="1552"/>
      <c r="K14" s="1552"/>
      <c r="L14" s="1552"/>
      <c r="M14" s="1552"/>
      <c r="N14" s="1552"/>
      <c r="O14" s="1552"/>
      <c r="P14" s="1552"/>
      <c r="Q14" s="1552"/>
      <c r="R14" s="1552"/>
      <c r="S14" s="1552"/>
      <c r="T14" s="1552"/>
      <c r="U14" s="1552"/>
      <c r="V14" s="1552"/>
      <c r="W14" s="1552"/>
      <c r="X14" s="1552"/>
      <c r="Y14" s="1552"/>
      <c r="Z14" s="1552"/>
      <c r="AA14" s="1552"/>
      <c r="AB14" s="1552"/>
      <c r="AC14" s="1552"/>
      <c r="AD14" s="1552"/>
      <c r="AE14" s="1552"/>
      <c r="AF14" s="1552"/>
      <c r="AG14" s="1552"/>
      <c r="AH14" s="1552"/>
      <c r="AI14" s="1552"/>
      <c r="AJ14" s="1552"/>
      <c r="AK14" s="1552"/>
      <c r="AL14" s="1552"/>
      <c r="AM14" s="1552"/>
      <c r="AN14" s="1552"/>
      <c r="AO14" s="1552"/>
      <c r="AP14" s="1552"/>
      <c r="AQ14" s="1552"/>
      <c r="AR14" s="1552"/>
      <c r="AS14" s="1552"/>
      <c r="AT14" s="1552"/>
      <c r="AU14" s="1552"/>
      <c r="AV14" s="1552"/>
      <c r="AW14" s="1552"/>
      <c r="AX14" s="1552"/>
      <c r="AY14" s="1552"/>
      <c r="AZ14" s="1552"/>
      <c r="BA14" s="1552"/>
      <c r="BB14" s="1552"/>
      <c r="BC14" s="1552"/>
      <c r="BD14" s="1552"/>
      <c r="BE14" s="1552"/>
      <c r="BF14" s="1552"/>
      <c r="BG14" s="1552"/>
      <c r="BH14" s="1552"/>
      <c r="BI14" s="1552"/>
      <c r="BJ14" s="1552"/>
      <c r="BK14" s="1552"/>
      <c r="BL14" s="1552"/>
      <c r="BM14" s="1552"/>
      <c r="BN14" s="1552"/>
      <c r="BO14" s="1552"/>
      <c r="BP14" s="1552"/>
      <c r="BQ14" s="1552"/>
      <c r="BR14" s="1552"/>
      <c r="BS14" s="1552"/>
      <c r="BT14" s="1553"/>
    </row>
    <row r="15" spans="1:72" ht="24">
      <c r="A15" s="850" t="s">
        <v>752</v>
      </c>
      <c r="B15" s="851" t="s">
        <v>746</v>
      </c>
      <c r="C15" s="852">
        <v>10.789461735918687</v>
      </c>
      <c r="D15" s="852">
        <v>9.9590971559848445</v>
      </c>
      <c r="E15" s="852">
        <v>11.383831536994775</v>
      </c>
      <c r="F15" s="852">
        <v>12.531178240506115</v>
      </c>
      <c r="G15" s="852">
        <v>12.036300060884058</v>
      </c>
      <c r="H15" s="852">
        <v>12.613383383121093</v>
      </c>
      <c r="I15" s="852">
        <v>13.01890940036416</v>
      </c>
      <c r="J15" s="852">
        <v>12.908589399085846</v>
      </c>
      <c r="K15" s="852">
        <v>12.946875513724528</v>
      </c>
      <c r="L15" s="852">
        <v>13.039098811599491</v>
      </c>
      <c r="M15" s="852">
        <v>13.088955960183741</v>
      </c>
      <c r="N15" s="852">
        <v>13.133508268392355</v>
      </c>
      <c r="O15" s="852">
        <v>13.038477461293056</v>
      </c>
      <c r="P15" s="852">
        <v>12.989168095138872</v>
      </c>
      <c r="Q15" s="852">
        <v>12.752903866318045</v>
      </c>
      <c r="R15" s="852">
        <v>12.539506322932722</v>
      </c>
      <c r="S15" s="852">
        <v>12.335074118848111</v>
      </c>
      <c r="T15" s="852">
        <v>12.292193988584152</v>
      </c>
      <c r="U15" s="852">
        <v>12.304560350921868</v>
      </c>
      <c r="V15" s="852">
        <v>12.340337204483362</v>
      </c>
      <c r="W15" s="852">
        <v>12.418707870087554</v>
      </c>
      <c r="X15" s="852">
        <v>12.438495640484758</v>
      </c>
      <c r="Y15" s="852">
        <v>12.492141534697302</v>
      </c>
      <c r="Z15" s="852">
        <v>12.624332072599859</v>
      </c>
      <c r="AA15" s="852">
        <v>13.025979869770596</v>
      </c>
      <c r="AB15" s="852">
        <v>13.053872203635709</v>
      </c>
      <c r="AC15" s="852">
        <v>13.081764537500822</v>
      </c>
      <c r="AD15" s="852">
        <v>13.109656871365935</v>
      </c>
      <c r="AE15" s="852">
        <v>13.137549205231048</v>
      </c>
      <c r="AF15" s="852">
        <v>13.165441539096161</v>
      </c>
      <c r="AG15" s="852">
        <v>13.193333872961274</v>
      </c>
      <c r="AH15" s="852">
        <v>13.221226206826387</v>
      </c>
      <c r="AI15" s="852">
        <v>13.2491185406915</v>
      </c>
      <c r="AJ15" s="852">
        <v>13.277010874556613</v>
      </c>
      <c r="AK15" s="852">
        <v>13.304903208421727</v>
      </c>
      <c r="AL15" s="852">
        <v>13.445726499778688</v>
      </c>
      <c r="AM15" s="852">
        <v>13.586549791135649</v>
      </c>
      <c r="AN15" s="852">
        <v>13.72737308249261</v>
      </c>
      <c r="AO15" s="852">
        <v>13.868196373849571</v>
      </c>
      <c r="AP15" s="852">
        <v>14.009019665206532</v>
      </c>
      <c r="AQ15" s="852">
        <v>14.149842956563493</v>
      </c>
      <c r="AR15" s="852">
        <v>14.290666247920454</v>
      </c>
      <c r="AS15" s="852">
        <v>14.431489539277415</v>
      </c>
      <c r="AT15" s="852">
        <v>14.572312830634376</v>
      </c>
      <c r="AU15" s="852">
        <v>14.713136121991337</v>
      </c>
      <c r="AV15" s="852">
        <v>14.853959413348298</v>
      </c>
      <c r="AW15" s="852">
        <v>14.994782704705258</v>
      </c>
      <c r="AX15" s="852">
        <v>15.135605996062219</v>
      </c>
      <c r="AY15" s="852">
        <v>15.27642928741918</v>
      </c>
      <c r="AZ15" s="852">
        <v>15.417252578776129</v>
      </c>
      <c r="BA15" s="852">
        <v>15.505038084680947</v>
      </c>
      <c r="BB15" s="852">
        <v>15.592823590585766</v>
      </c>
      <c r="BC15" s="852">
        <v>15.680609096490585</v>
      </c>
      <c r="BD15" s="852">
        <v>15.768394602395404</v>
      </c>
      <c r="BE15" s="852">
        <v>15.856180108300222</v>
      </c>
      <c r="BF15" s="852">
        <v>15.943965614205041</v>
      </c>
      <c r="BG15" s="852">
        <v>16.03175112010986</v>
      </c>
      <c r="BH15" s="852">
        <v>16.119536626014678</v>
      </c>
      <c r="BI15" s="852">
        <v>16.207322131919497</v>
      </c>
      <c r="BJ15" s="852">
        <v>16.295107637824316</v>
      </c>
      <c r="BK15" s="852">
        <v>16.382893143729135</v>
      </c>
      <c r="BL15" s="852">
        <v>16.470678649633953</v>
      </c>
      <c r="BM15" s="852">
        <v>16.558464155538772</v>
      </c>
      <c r="BN15" s="852">
        <v>16.646249661443591</v>
      </c>
      <c r="BO15" s="852">
        <v>16.734035167348416</v>
      </c>
      <c r="BP15" s="852">
        <v>16.829318405103567</v>
      </c>
      <c r="BQ15" s="852">
        <v>16.924601642858718</v>
      </c>
      <c r="BR15" s="852">
        <v>17.019884880613869</v>
      </c>
      <c r="BS15" s="852">
        <v>17.11516811836902</v>
      </c>
      <c r="BT15" s="858">
        <v>17.210451356124164</v>
      </c>
    </row>
    <row r="16" spans="1:72">
      <c r="A16" s="855" t="s">
        <v>753</v>
      </c>
      <c r="B16" s="851" t="s">
        <v>746</v>
      </c>
      <c r="C16" s="852">
        <v>12.730520250245322</v>
      </c>
      <c r="D16" s="852">
        <v>11.801320287416596</v>
      </c>
      <c r="E16" s="852">
        <v>13.477350603859424</v>
      </c>
      <c r="F16" s="852">
        <v>15.275134761378448</v>
      </c>
      <c r="G16" s="852">
        <v>14.956036086352325</v>
      </c>
      <c r="H16" s="852">
        <v>15.333911517881027</v>
      </c>
      <c r="I16" s="852">
        <v>14.969645149302909</v>
      </c>
      <c r="J16" s="852">
        <v>14.856007634468792</v>
      </c>
      <c r="K16" s="852">
        <v>14.855665643260203</v>
      </c>
      <c r="L16" s="852">
        <v>14.676357863084307</v>
      </c>
      <c r="M16" s="852">
        <v>14.660823111264261</v>
      </c>
      <c r="N16" s="852">
        <v>14.621396694543213</v>
      </c>
      <c r="O16" s="852">
        <v>14.496914877081778</v>
      </c>
      <c r="P16" s="852">
        <v>14.525867813038341</v>
      </c>
      <c r="Q16" s="852">
        <v>14.406443289990676</v>
      </c>
      <c r="R16" s="852">
        <v>14.511791494657368</v>
      </c>
      <c r="S16" s="852">
        <v>14.408484301477108</v>
      </c>
      <c r="T16" s="852">
        <v>14.421367627269808</v>
      </c>
      <c r="U16" s="852">
        <v>14.483474821414545</v>
      </c>
      <c r="V16" s="852">
        <v>14.423047758498246</v>
      </c>
      <c r="W16" s="852">
        <v>14.678410804496627</v>
      </c>
      <c r="X16" s="852">
        <v>14.842794247393387</v>
      </c>
      <c r="Y16" s="852">
        <v>14.985196801851416</v>
      </c>
      <c r="Z16" s="852">
        <v>15.125157698145465</v>
      </c>
      <c r="AA16" s="852">
        <v>15.225733932459173</v>
      </c>
      <c r="AB16" s="853">
        <v>15.312322281050708</v>
      </c>
      <c r="AC16" s="853">
        <v>15.398910629642243</v>
      </c>
      <c r="AD16" s="853">
        <v>15.485498978233778</v>
      </c>
      <c r="AE16" s="853">
        <v>15.572087326825313</v>
      </c>
      <c r="AF16" s="853">
        <v>15.658675675416848</v>
      </c>
      <c r="AG16" s="853">
        <v>15.745264024008383</v>
      </c>
      <c r="AH16" s="853">
        <v>15.831852372599919</v>
      </c>
      <c r="AI16" s="853">
        <v>15.918440721191454</v>
      </c>
      <c r="AJ16" s="853">
        <v>16.005029069782989</v>
      </c>
      <c r="AK16" s="853">
        <v>16.091617418374518</v>
      </c>
      <c r="AL16" s="853">
        <v>16.26193617174043</v>
      </c>
      <c r="AM16" s="853">
        <v>16.432254925106342</v>
      </c>
      <c r="AN16" s="853">
        <v>16.602573678472254</v>
      </c>
      <c r="AO16" s="853">
        <v>16.772892431838166</v>
      </c>
      <c r="AP16" s="853">
        <v>16.943211185204078</v>
      </c>
      <c r="AQ16" s="853">
        <v>17.113529938569989</v>
      </c>
      <c r="AR16" s="853">
        <v>17.283848691935901</v>
      </c>
      <c r="AS16" s="853">
        <v>17.454167445301813</v>
      </c>
      <c r="AT16" s="853">
        <v>17.624486198667725</v>
      </c>
      <c r="AU16" s="853">
        <v>17.794804952033637</v>
      </c>
      <c r="AV16" s="853">
        <v>17.965123705399549</v>
      </c>
      <c r="AW16" s="853">
        <v>18.135442458765461</v>
      </c>
      <c r="AX16" s="853">
        <v>18.305761212131372</v>
      </c>
      <c r="AY16" s="853">
        <v>18.476079965497284</v>
      </c>
      <c r="AZ16" s="852">
        <v>18.646398718863171</v>
      </c>
      <c r="BA16" s="853">
        <v>18.752570913712709</v>
      </c>
      <c r="BB16" s="853">
        <v>18.858743108562248</v>
      </c>
      <c r="BC16" s="853">
        <v>18.964915303411786</v>
      </c>
      <c r="BD16" s="853">
        <v>19.071087498261324</v>
      </c>
      <c r="BE16" s="853">
        <v>19.177259693110862</v>
      </c>
      <c r="BF16" s="853">
        <v>19.283431887960401</v>
      </c>
      <c r="BG16" s="853">
        <v>19.389604082809939</v>
      </c>
      <c r="BH16" s="853">
        <v>19.495776277659477</v>
      </c>
      <c r="BI16" s="853">
        <v>19.601948472509015</v>
      </c>
      <c r="BJ16" s="853">
        <v>19.708120667358553</v>
      </c>
      <c r="BK16" s="853">
        <v>19.814292862208092</v>
      </c>
      <c r="BL16" s="853">
        <v>19.92046505705763</v>
      </c>
      <c r="BM16" s="853">
        <v>20.026637251907168</v>
      </c>
      <c r="BN16" s="853">
        <v>20.132809446756706</v>
      </c>
      <c r="BO16" s="852">
        <v>20.238981641606255</v>
      </c>
      <c r="BP16" s="853">
        <v>20.354221969500514</v>
      </c>
      <c r="BQ16" s="853">
        <v>20.469462297394774</v>
      </c>
      <c r="BR16" s="853">
        <v>20.584702625289033</v>
      </c>
      <c r="BS16" s="853">
        <v>20.699942953183292</v>
      </c>
      <c r="BT16" s="858">
        <v>20.815183281077545</v>
      </c>
    </row>
    <row r="17" spans="1:72">
      <c r="A17" s="855" t="s">
        <v>311</v>
      </c>
      <c r="B17" s="851" t="s">
        <v>746</v>
      </c>
      <c r="C17" s="852">
        <v>15.730049999999999</v>
      </c>
      <c r="D17" s="852">
        <v>15.730049999999999</v>
      </c>
      <c r="E17" s="852">
        <v>15.730049999999999</v>
      </c>
      <c r="F17" s="852">
        <v>15.730049999999999</v>
      </c>
      <c r="G17" s="852">
        <v>15.730049999999999</v>
      </c>
      <c r="H17" s="852">
        <v>15.730049999999999</v>
      </c>
      <c r="I17" s="852">
        <v>15.730049999999999</v>
      </c>
      <c r="J17" s="852">
        <v>15.730049999999999</v>
      </c>
      <c r="K17" s="852">
        <v>15.730049999999999</v>
      </c>
      <c r="L17" s="852">
        <v>15.730049999999999</v>
      </c>
      <c r="M17" s="852">
        <v>15.730049999999999</v>
      </c>
      <c r="N17" s="852">
        <v>15.730049999999999</v>
      </c>
      <c r="O17" s="852">
        <v>15.730049999999999</v>
      </c>
      <c r="P17" s="852">
        <v>15.730049999999999</v>
      </c>
      <c r="Q17" s="852">
        <v>15.730049999999999</v>
      </c>
      <c r="R17" s="852">
        <v>15.730049999999999</v>
      </c>
      <c r="S17" s="852">
        <v>15.730049999999999</v>
      </c>
      <c r="T17" s="852">
        <v>15.730049999999999</v>
      </c>
      <c r="U17" s="852">
        <v>15.730049999999999</v>
      </c>
      <c r="V17" s="852">
        <v>15.730049999999999</v>
      </c>
      <c r="W17" s="852">
        <v>15.730049999999999</v>
      </c>
      <c r="X17" s="852">
        <v>15.730049999999999</v>
      </c>
      <c r="Y17" s="852">
        <v>15.730049999999999</v>
      </c>
      <c r="Z17" s="852">
        <v>15.730049999999999</v>
      </c>
      <c r="AA17" s="852">
        <v>15.730049999999999</v>
      </c>
      <c r="AB17" s="852">
        <v>15.730049999999999</v>
      </c>
      <c r="AC17" s="852">
        <v>15.730049999999999</v>
      </c>
      <c r="AD17" s="852">
        <v>15.730049999999999</v>
      </c>
      <c r="AE17" s="852">
        <v>15.730049999999999</v>
      </c>
      <c r="AF17" s="852">
        <v>15.730049999999999</v>
      </c>
      <c r="AG17" s="852">
        <v>15.730049999999999</v>
      </c>
      <c r="AH17" s="852">
        <v>15.730049999999999</v>
      </c>
      <c r="AI17" s="852">
        <v>15.730049999999999</v>
      </c>
      <c r="AJ17" s="852">
        <v>15.730049999999999</v>
      </c>
      <c r="AK17" s="852">
        <v>15.730049999999999</v>
      </c>
      <c r="AL17" s="852">
        <v>15.730049999999999</v>
      </c>
      <c r="AM17" s="852">
        <v>15.730049999999999</v>
      </c>
      <c r="AN17" s="852">
        <v>15.730049999999999</v>
      </c>
      <c r="AO17" s="852">
        <v>15.730049999999999</v>
      </c>
      <c r="AP17" s="852">
        <v>15.730049999999999</v>
      </c>
      <c r="AQ17" s="852">
        <v>15.730049999999999</v>
      </c>
      <c r="AR17" s="852">
        <v>15.730049999999999</v>
      </c>
      <c r="AS17" s="852">
        <v>15.730049999999999</v>
      </c>
      <c r="AT17" s="852">
        <v>15.730049999999999</v>
      </c>
      <c r="AU17" s="852">
        <v>15.730049999999999</v>
      </c>
      <c r="AV17" s="852">
        <v>15.730049999999999</v>
      </c>
      <c r="AW17" s="852">
        <v>15.730049999999999</v>
      </c>
      <c r="AX17" s="852">
        <v>15.730049999999999</v>
      </c>
      <c r="AY17" s="852">
        <v>15.730049999999999</v>
      </c>
      <c r="AZ17" s="852">
        <v>15.730049999999999</v>
      </c>
      <c r="BA17" s="852">
        <v>15.730049999999999</v>
      </c>
      <c r="BB17" s="852">
        <v>15.730049999999999</v>
      </c>
      <c r="BC17" s="852">
        <v>15.730049999999999</v>
      </c>
      <c r="BD17" s="852">
        <v>15.730049999999999</v>
      </c>
      <c r="BE17" s="852">
        <v>15.730049999999999</v>
      </c>
      <c r="BF17" s="852">
        <v>15.730049999999999</v>
      </c>
      <c r="BG17" s="852">
        <v>15.730049999999999</v>
      </c>
      <c r="BH17" s="852">
        <v>15.730049999999999</v>
      </c>
      <c r="BI17" s="852">
        <v>15.730049999999999</v>
      </c>
      <c r="BJ17" s="852">
        <v>15.730049999999999</v>
      </c>
      <c r="BK17" s="852">
        <v>15.730049999999999</v>
      </c>
      <c r="BL17" s="852">
        <v>15.730049999999999</v>
      </c>
      <c r="BM17" s="852">
        <v>15.730049999999999</v>
      </c>
      <c r="BN17" s="852">
        <v>15.730049999999999</v>
      </c>
      <c r="BO17" s="852">
        <v>15.730049999999999</v>
      </c>
      <c r="BP17" s="852">
        <v>15.730049999999999</v>
      </c>
      <c r="BQ17" s="852">
        <v>15.730049999999999</v>
      </c>
      <c r="BR17" s="852">
        <v>15.730049999999999</v>
      </c>
      <c r="BS17" s="852">
        <v>15.730049999999999</v>
      </c>
      <c r="BT17" s="858">
        <v>15.730049999999999</v>
      </c>
    </row>
    <row r="18" spans="1:72">
      <c r="A18" s="850" t="s">
        <v>310</v>
      </c>
      <c r="B18" s="851" t="s">
        <v>746</v>
      </c>
      <c r="C18" s="852">
        <v>8.7353999999999985</v>
      </c>
      <c r="D18" s="852">
        <v>8.7353999999999985</v>
      </c>
      <c r="E18" s="852">
        <v>8.7353999999999985</v>
      </c>
      <c r="F18" s="852">
        <v>8.7353999999999985</v>
      </c>
      <c r="G18" s="852">
        <v>8.7353999999999985</v>
      </c>
      <c r="H18" s="852">
        <v>8.7353999999999985</v>
      </c>
      <c r="I18" s="852">
        <v>8.7353999999999985</v>
      </c>
      <c r="J18" s="852">
        <v>8.7353999999999985</v>
      </c>
      <c r="K18" s="852">
        <v>8.7353999999999985</v>
      </c>
      <c r="L18" s="852">
        <v>8.7353999999999985</v>
      </c>
      <c r="M18" s="852">
        <v>8.7353999999999985</v>
      </c>
      <c r="N18" s="852">
        <v>8.7353999999999985</v>
      </c>
      <c r="O18" s="852">
        <v>8.7353999999999985</v>
      </c>
      <c r="P18" s="852">
        <v>8.7353999999999985</v>
      </c>
      <c r="Q18" s="852">
        <v>8.7353999999999985</v>
      </c>
      <c r="R18" s="852">
        <v>8.7353999999999985</v>
      </c>
      <c r="S18" s="852">
        <v>8.7353999999999985</v>
      </c>
      <c r="T18" s="852">
        <v>8.7353999999999985</v>
      </c>
      <c r="U18" s="852">
        <v>8.7353999999999985</v>
      </c>
      <c r="V18" s="852">
        <v>8.7353999999999985</v>
      </c>
      <c r="W18" s="852">
        <v>8.7353999999999985</v>
      </c>
      <c r="X18" s="852">
        <v>8.7353999999999985</v>
      </c>
      <c r="Y18" s="852">
        <v>8.7353999999999985</v>
      </c>
      <c r="Z18" s="852">
        <v>8.7353999999999985</v>
      </c>
      <c r="AA18" s="852">
        <v>8.7353999999999985</v>
      </c>
      <c r="AB18" s="852">
        <v>8.7353999999999985</v>
      </c>
      <c r="AC18" s="852">
        <v>8.7353999999999985</v>
      </c>
      <c r="AD18" s="852">
        <v>8.7353999999999985</v>
      </c>
      <c r="AE18" s="852">
        <v>8.7353999999999985</v>
      </c>
      <c r="AF18" s="852">
        <v>8.7353999999999985</v>
      </c>
      <c r="AG18" s="852">
        <v>8.7353999999999985</v>
      </c>
      <c r="AH18" s="852">
        <v>8.7353999999999985</v>
      </c>
      <c r="AI18" s="852">
        <v>8.7353999999999985</v>
      </c>
      <c r="AJ18" s="852">
        <v>8.7353999999999985</v>
      </c>
      <c r="AK18" s="852">
        <v>8.7353999999999985</v>
      </c>
      <c r="AL18" s="852">
        <v>8.7353999999999985</v>
      </c>
      <c r="AM18" s="852">
        <v>8.7353999999999985</v>
      </c>
      <c r="AN18" s="852">
        <v>8.7353999999999985</v>
      </c>
      <c r="AO18" s="852">
        <v>8.7353999999999985</v>
      </c>
      <c r="AP18" s="852">
        <v>8.7353999999999985</v>
      </c>
      <c r="AQ18" s="852">
        <v>8.7353999999999985</v>
      </c>
      <c r="AR18" s="852">
        <v>8.7353999999999985</v>
      </c>
      <c r="AS18" s="852">
        <v>8.7353999999999985</v>
      </c>
      <c r="AT18" s="852">
        <v>8.7353999999999985</v>
      </c>
      <c r="AU18" s="852">
        <v>8.7353999999999985</v>
      </c>
      <c r="AV18" s="852">
        <v>8.7353999999999985</v>
      </c>
      <c r="AW18" s="852">
        <v>8.7353999999999985</v>
      </c>
      <c r="AX18" s="852">
        <v>8.7353999999999985</v>
      </c>
      <c r="AY18" s="852">
        <v>8.7353999999999985</v>
      </c>
      <c r="AZ18" s="852">
        <v>8.7353999999999985</v>
      </c>
      <c r="BA18" s="852">
        <v>8.7353999999999985</v>
      </c>
      <c r="BB18" s="852">
        <v>8.7353999999999985</v>
      </c>
      <c r="BC18" s="852">
        <v>8.7353999999999985</v>
      </c>
      <c r="BD18" s="852">
        <v>8.7353999999999985</v>
      </c>
      <c r="BE18" s="852">
        <v>8.7353999999999985</v>
      </c>
      <c r="BF18" s="852">
        <v>8.7353999999999985</v>
      </c>
      <c r="BG18" s="852">
        <v>8.7353999999999985</v>
      </c>
      <c r="BH18" s="852">
        <v>8.7353999999999985</v>
      </c>
      <c r="BI18" s="852">
        <v>8.7353999999999985</v>
      </c>
      <c r="BJ18" s="852">
        <v>8.7353999999999985</v>
      </c>
      <c r="BK18" s="852">
        <v>8.7353999999999985</v>
      </c>
      <c r="BL18" s="852">
        <v>8.7353999999999985</v>
      </c>
      <c r="BM18" s="852">
        <v>8.7353999999999985</v>
      </c>
      <c r="BN18" s="852">
        <v>8.7353999999999985</v>
      </c>
      <c r="BO18" s="852">
        <v>8.7353999999999985</v>
      </c>
      <c r="BP18" s="852">
        <v>8.7353999999999985</v>
      </c>
      <c r="BQ18" s="852">
        <v>8.7353999999999985</v>
      </c>
      <c r="BR18" s="852">
        <v>8.7353999999999985</v>
      </c>
      <c r="BS18" s="852">
        <v>8.7353999999999985</v>
      </c>
      <c r="BT18" s="858">
        <v>8.7353999999999985</v>
      </c>
    </row>
    <row r="19" spans="1:72">
      <c r="A19" s="1551" t="s">
        <v>754</v>
      </c>
      <c r="B19" s="1552"/>
      <c r="C19" s="1552"/>
      <c r="D19" s="1552"/>
      <c r="E19" s="1552"/>
      <c r="F19" s="1552"/>
      <c r="G19" s="1552"/>
      <c r="H19" s="1552"/>
      <c r="I19" s="1552"/>
      <c r="J19" s="1552"/>
      <c r="K19" s="1552"/>
      <c r="L19" s="1552"/>
      <c r="M19" s="1552"/>
      <c r="N19" s="1552"/>
      <c r="O19" s="1552"/>
      <c r="P19" s="1552"/>
      <c r="Q19" s="1552"/>
      <c r="R19" s="1552"/>
      <c r="S19" s="1552"/>
      <c r="T19" s="1552"/>
      <c r="U19" s="1552"/>
      <c r="V19" s="1552"/>
      <c r="W19" s="1552"/>
      <c r="X19" s="1552"/>
      <c r="Y19" s="1552"/>
      <c r="Z19" s="1552"/>
      <c r="AA19" s="1552"/>
      <c r="AB19" s="1552"/>
      <c r="AC19" s="1552"/>
      <c r="AD19" s="1552"/>
      <c r="AE19" s="1552"/>
      <c r="AF19" s="1552"/>
      <c r="AG19" s="1552"/>
      <c r="AH19" s="1552"/>
      <c r="AI19" s="1552"/>
      <c r="AJ19" s="1552"/>
      <c r="AK19" s="1552"/>
      <c r="AL19" s="1552"/>
      <c r="AM19" s="1552"/>
      <c r="AN19" s="1552"/>
      <c r="AO19" s="1552"/>
      <c r="AP19" s="1552"/>
      <c r="AQ19" s="1552"/>
      <c r="AR19" s="1552"/>
      <c r="AS19" s="1552"/>
      <c r="AT19" s="1552"/>
      <c r="AU19" s="1552"/>
      <c r="AV19" s="1552"/>
      <c r="AW19" s="1552"/>
      <c r="AX19" s="1552"/>
      <c r="AY19" s="1552"/>
      <c r="AZ19" s="1552"/>
      <c r="BA19" s="1552"/>
      <c r="BB19" s="1552"/>
      <c r="BC19" s="1552"/>
      <c r="BD19" s="1552"/>
      <c r="BE19" s="1552"/>
      <c r="BF19" s="1552"/>
      <c r="BG19" s="1552"/>
      <c r="BH19" s="1552"/>
      <c r="BI19" s="1552"/>
      <c r="BJ19" s="1552"/>
      <c r="BK19" s="1552"/>
      <c r="BL19" s="1552"/>
      <c r="BM19" s="1552"/>
      <c r="BN19" s="1552"/>
      <c r="BO19" s="1552"/>
      <c r="BP19" s="1552"/>
      <c r="BQ19" s="1552"/>
      <c r="BR19" s="1552"/>
      <c r="BS19" s="1552"/>
      <c r="BT19" s="1553"/>
    </row>
    <row r="20" spans="1:72" ht="24.75" thickBot="1">
      <c r="A20" s="859" t="s">
        <v>755</v>
      </c>
      <c r="B20" s="860" t="s">
        <v>746</v>
      </c>
      <c r="C20" s="861">
        <v>1.2696286520685174</v>
      </c>
      <c r="D20" s="861">
        <v>1.2696286520685174</v>
      </c>
      <c r="E20" s="861">
        <v>1.2696286520685174</v>
      </c>
      <c r="F20" s="861">
        <v>1.2696286520685174</v>
      </c>
      <c r="G20" s="861">
        <v>1.2696286520685174</v>
      </c>
      <c r="H20" s="861">
        <v>1.2696286520685174</v>
      </c>
      <c r="I20" s="861">
        <v>1.2696286520685174</v>
      </c>
      <c r="J20" s="861">
        <v>1.2696286520685174</v>
      </c>
      <c r="K20" s="861">
        <v>1.2696286520685174</v>
      </c>
      <c r="L20" s="861">
        <v>1.2696286520685174</v>
      </c>
      <c r="M20" s="861">
        <v>1.2716814065585227</v>
      </c>
      <c r="N20" s="861">
        <v>1.2809188017635484</v>
      </c>
      <c r="O20" s="861">
        <v>1.3178683825836508</v>
      </c>
      <c r="P20" s="861">
        <v>1.3209475143186591</v>
      </c>
      <c r="Q20" s="861">
        <v>1.3435278137087219</v>
      </c>
      <c r="R20" s="861">
        <v>1.3466069454437304</v>
      </c>
      <c r="S20" s="861">
        <v>1.3630289813637759</v>
      </c>
      <c r="T20" s="861">
        <v>1.3578970951387617</v>
      </c>
      <c r="U20" s="861">
        <v>1.383556526263833</v>
      </c>
      <c r="V20" s="861">
        <v>1.4030576939188868</v>
      </c>
      <c r="W20" s="861">
        <v>1.460534819639046</v>
      </c>
      <c r="X20" s="861">
        <v>1.4800359872941</v>
      </c>
      <c r="Y20" s="861">
        <v>1.4861942507641173</v>
      </c>
      <c r="Z20" s="861">
        <v>1.5118536818891883</v>
      </c>
      <c r="AA20" s="861">
        <v>1.5262229633192279</v>
      </c>
      <c r="AB20" s="861">
        <v>1.6236006669873051</v>
      </c>
      <c r="AC20" s="861">
        <v>1.7209783706553823</v>
      </c>
      <c r="AD20" s="861">
        <v>1.8183560743234595</v>
      </c>
      <c r="AE20" s="861">
        <v>1.9157337779915367</v>
      </c>
      <c r="AF20" s="861">
        <v>2.0131114816596138</v>
      </c>
      <c r="AG20" s="861">
        <v>2.1104891853276913</v>
      </c>
      <c r="AH20" s="861">
        <v>2.2078668889957687</v>
      </c>
      <c r="AI20" s="861">
        <v>2.3052445926638461</v>
      </c>
      <c r="AJ20" s="861">
        <v>2.4026222963319235</v>
      </c>
      <c r="AK20" s="861">
        <v>2.5</v>
      </c>
      <c r="AL20" s="861">
        <v>2.5714285714285716</v>
      </c>
      <c r="AM20" s="861">
        <v>2.6428571428571432</v>
      </c>
      <c r="AN20" s="861">
        <v>2.7142857142857149</v>
      </c>
      <c r="AO20" s="861">
        <v>2.7857142857142865</v>
      </c>
      <c r="AP20" s="861">
        <v>2.8571428571428581</v>
      </c>
      <c r="AQ20" s="861">
        <v>2.9285714285714297</v>
      </c>
      <c r="AR20" s="861">
        <v>3</v>
      </c>
      <c r="AS20" s="861">
        <v>3.071428571428573</v>
      </c>
      <c r="AT20" s="861">
        <v>3.1428571428571446</v>
      </c>
      <c r="AU20" s="861">
        <v>3.2142857142857162</v>
      </c>
      <c r="AV20" s="861">
        <v>3.2857142857142878</v>
      </c>
      <c r="AW20" s="861">
        <v>3.3571428571428594</v>
      </c>
      <c r="AX20" s="861">
        <v>3.428571428571431</v>
      </c>
      <c r="AY20" s="861">
        <v>3.5</v>
      </c>
      <c r="AZ20" s="861">
        <v>3.5714285714285743</v>
      </c>
      <c r="BA20" s="861">
        <v>3.6428571428571459</v>
      </c>
      <c r="BB20" s="861">
        <v>3.7142857142857175</v>
      </c>
      <c r="BC20" s="861">
        <v>3.7857142857142891</v>
      </c>
      <c r="BD20" s="861">
        <v>3.8571428571428608</v>
      </c>
      <c r="BE20" s="861">
        <v>3.9285714285714324</v>
      </c>
      <c r="BF20" s="861">
        <v>4</v>
      </c>
      <c r="BG20" s="861">
        <v>4.0714285714285747</v>
      </c>
      <c r="BH20" s="861">
        <v>4.1428571428571459</v>
      </c>
      <c r="BI20" s="861">
        <v>4.2142857142857171</v>
      </c>
      <c r="BJ20" s="861">
        <v>4.2857142857142883</v>
      </c>
      <c r="BK20" s="861">
        <v>4.3571428571428594</v>
      </c>
      <c r="BL20" s="861">
        <v>4.4285714285714306</v>
      </c>
      <c r="BM20" s="861">
        <v>4.5</v>
      </c>
      <c r="BN20" s="861">
        <v>4.571428571428573</v>
      </c>
      <c r="BO20" s="861">
        <v>4.6428571428571441</v>
      </c>
      <c r="BP20" s="861">
        <v>4.7142857142857153</v>
      </c>
      <c r="BQ20" s="861">
        <v>4.7857142857142865</v>
      </c>
      <c r="BR20" s="861">
        <v>4.8571428571428577</v>
      </c>
      <c r="BS20" s="861">
        <v>4.9285714285714288</v>
      </c>
      <c r="BT20" s="862">
        <v>5</v>
      </c>
    </row>
    <row r="21" spans="1:72" ht="47.25" customHeight="1">
      <c r="A21" s="1559" t="s">
        <v>436</v>
      </c>
      <c r="B21" s="1560"/>
      <c r="C21" s="1560"/>
      <c r="D21" s="1560"/>
      <c r="E21" s="1560"/>
      <c r="F21" s="1560"/>
      <c r="G21" s="1560"/>
      <c r="H21" s="1560"/>
      <c r="I21" s="1560"/>
      <c r="J21" s="1560"/>
      <c r="K21" s="1560"/>
      <c r="L21" s="1560"/>
      <c r="M21" s="1560"/>
      <c r="N21" s="1560"/>
      <c r="O21" s="1560"/>
      <c r="P21" s="1560"/>
      <c r="Q21" s="1560"/>
      <c r="R21" s="1560"/>
      <c r="S21" s="1560"/>
      <c r="T21" s="1560"/>
      <c r="U21" s="863"/>
      <c r="V21" s="863"/>
      <c r="W21" s="863"/>
      <c r="X21" s="863"/>
      <c r="Y21" s="863"/>
      <c r="Z21" s="863"/>
      <c r="AA21" s="863"/>
      <c r="AB21" s="863"/>
      <c r="AC21" s="863"/>
      <c r="AD21" s="863"/>
      <c r="AE21" s="863"/>
      <c r="AF21" s="863"/>
      <c r="AG21" s="863"/>
      <c r="AH21" s="863"/>
      <c r="AI21" s="863"/>
      <c r="AJ21" s="863"/>
      <c r="AK21" s="863"/>
      <c r="AL21" s="863"/>
      <c r="AM21" s="863"/>
      <c r="AN21" s="863"/>
      <c r="AO21" s="863"/>
      <c r="AP21" s="863"/>
      <c r="AQ21" s="863"/>
      <c r="AR21" s="863"/>
      <c r="AS21" s="863"/>
      <c r="AT21" s="863"/>
      <c r="AU21" s="863"/>
      <c r="AV21" s="863"/>
      <c r="AW21" s="863"/>
      <c r="AX21" s="863"/>
      <c r="AY21" s="863"/>
      <c r="AZ21" s="863"/>
      <c r="BA21" s="863"/>
      <c r="BB21" s="863"/>
      <c r="BC21" s="863"/>
      <c r="BD21" s="863"/>
      <c r="BE21" s="863"/>
      <c r="BF21" s="863"/>
      <c r="BG21" s="863"/>
      <c r="BH21" s="863"/>
      <c r="BI21" s="863"/>
      <c r="BJ21" s="863"/>
      <c r="BK21" s="863"/>
      <c r="BL21" s="863"/>
      <c r="BM21" s="863"/>
      <c r="BN21" s="863"/>
      <c r="BO21" s="863"/>
      <c r="BP21" s="863"/>
      <c r="BQ21" s="863"/>
      <c r="BR21" s="863"/>
      <c r="BS21" s="863"/>
      <c r="BT21" s="863"/>
    </row>
    <row r="22" spans="1:72">
      <c r="A22" s="864"/>
      <c r="B22" s="864"/>
      <c r="C22" s="864"/>
      <c r="D22" s="864"/>
      <c r="E22" s="864"/>
      <c r="F22" s="864"/>
      <c r="G22" s="864"/>
      <c r="H22" s="864"/>
      <c r="I22" s="864"/>
      <c r="J22" s="864"/>
      <c r="K22" s="864"/>
      <c r="L22" s="864"/>
      <c r="M22" s="864"/>
      <c r="N22" s="864"/>
      <c r="O22" s="864"/>
      <c r="P22" s="864"/>
      <c r="Q22" s="864"/>
      <c r="R22" s="864"/>
      <c r="S22" s="864"/>
      <c r="T22" s="864"/>
      <c r="U22" s="863"/>
      <c r="V22" s="863"/>
      <c r="W22" s="863"/>
      <c r="X22" s="863"/>
      <c r="Y22" s="863"/>
      <c r="Z22" s="863"/>
      <c r="AA22" s="863"/>
      <c r="AB22" s="863"/>
      <c r="AC22" s="863"/>
      <c r="AD22" s="863"/>
      <c r="AE22" s="863"/>
      <c r="AF22" s="863"/>
      <c r="AG22" s="863"/>
      <c r="AH22" s="863"/>
      <c r="AI22" s="863"/>
      <c r="AJ22" s="863"/>
      <c r="AK22" s="863"/>
      <c r="AL22" s="863"/>
      <c r="AM22" s="863"/>
      <c r="AN22" s="863"/>
      <c r="AO22" s="863"/>
      <c r="AP22" s="863"/>
      <c r="AQ22" s="863"/>
      <c r="AR22" s="863"/>
      <c r="AS22" s="863"/>
      <c r="AT22" s="863"/>
      <c r="AU22" s="863"/>
      <c r="AV22" s="863"/>
      <c r="AW22" s="863"/>
      <c r="AX22" s="863"/>
      <c r="AY22" s="863"/>
      <c r="AZ22" s="863"/>
      <c r="BA22" s="863"/>
      <c r="BB22" s="863"/>
      <c r="BC22" s="863"/>
      <c r="BD22" s="863"/>
      <c r="BE22" s="863"/>
      <c r="BF22" s="863"/>
      <c r="BG22" s="863"/>
      <c r="BH22" s="863"/>
      <c r="BI22" s="863"/>
      <c r="BJ22" s="863"/>
      <c r="BK22" s="863"/>
      <c r="BL22" s="863"/>
      <c r="BM22" s="863"/>
      <c r="BN22" s="863"/>
      <c r="BO22" s="863"/>
      <c r="BP22" s="863"/>
      <c r="BQ22" s="863"/>
      <c r="BR22" s="863"/>
      <c r="BS22" s="863"/>
      <c r="BT22" s="863"/>
    </row>
    <row r="23" spans="1:72" ht="42.75" customHeight="1">
      <c r="A23" s="1543" t="s">
        <v>756</v>
      </c>
      <c r="B23" s="1543"/>
      <c r="C23" s="1543"/>
      <c r="D23" s="1543"/>
      <c r="E23" s="1543"/>
      <c r="F23" s="1543"/>
      <c r="G23" s="1543"/>
      <c r="H23" s="1543"/>
      <c r="I23" s="1543"/>
      <c r="J23" s="1543"/>
      <c r="K23" s="1543"/>
      <c r="L23" s="1543"/>
      <c r="M23" s="1543"/>
      <c r="N23" s="1543"/>
      <c r="O23" s="1543"/>
      <c r="P23" s="1543"/>
      <c r="Q23" s="1543"/>
      <c r="R23" s="1543"/>
      <c r="S23" s="1543"/>
      <c r="T23" s="1543"/>
      <c r="U23" s="863"/>
      <c r="V23" s="863"/>
      <c r="W23" s="863"/>
      <c r="X23" s="863"/>
      <c r="Y23" s="863"/>
      <c r="Z23" s="863"/>
      <c r="AA23" s="863"/>
      <c r="AB23" s="863"/>
      <c r="AC23" s="863"/>
      <c r="AD23" s="863"/>
      <c r="AE23" s="863"/>
      <c r="AF23" s="863"/>
      <c r="AG23" s="863"/>
      <c r="AH23" s="863"/>
      <c r="AI23" s="863"/>
      <c r="AJ23" s="863"/>
      <c r="AK23" s="863"/>
      <c r="AL23" s="863"/>
      <c r="AM23" s="863"/>
      <c r="AN23" s="863"/>
      <c r="AO23" s="863"/>
      <c r="AP23" s="863"/>
      <c r="AQ23" s="863"/>
      <c r="AR23" s="863"/>
      <c r="AS23" s="863"/>
      <c r="AT23" s="863"/>
      <c r="AU23" s="863"/>
      <c r="AV23" s="863"/>
      <c r="AW23" s="863"/>
      <c r="AX23" s="863"/>
      <c r="AY23" s="863"/>
      <c r="AZ23" s="863"/>
      <c r="BA23" s="863"/>
      <c r="BB23" s="863"/>
      <c r="BC23" s="863"/>
      <c r="BD23" s="863"/>
      <c r="BE23" s="863"/>
      <c r="BF23" s="863"/>
      <c r="BG23" s="863"/>
      <c r="BH23" s="863"/>
      <c r="BI23" s="863"/>
      <c r="BJ23" s="863"/>
      <c r="BK23" s="863"/>
      <c r="BL23" s="863"/>
      <c r="BM23" s="863"/>
      <c r="BN23" s="863"/>
      <c r="BO23" s="863"/>
      <c r="BP23" s="863"/>
      <c r="BQ23" s="863"/>
      <c r="BR23" s="863"/>
      <c r="BS23" s="863"/>
      <c r="BT23" s="863"/>
    </row>
    <row r="24" spans="1:72">
      <c r="A24" s="863"/>
      <c r="B24" s="863"/>
      <c r="C24" s="863"/>
      <c r="D24" s="863"/>
      <c r="E24" s="863"/>
      <c r="F24" s="863"/>
      <c r="G24" s="863"/>
      <c r="H24" s="863"/>
      <c r="I24" s="863"/>
      <c r="J24" s="863"/>
      <c r="K24" s="863"/>
      <c r="L24" s="863"/>
      <c r="M24" s="863"/>
      <c r="N24" s="863"/>
      <c r="O24" s="863"/>
      <c r="P24" s="863"/>
      <c r="Q24" s="863"/>
      <c r="R24" s="863"/>
      <c r="S24" s="863"/>
      <c r="T24" s="863"/>
      <c r="U24" s="863"/>
      <c r="V24" s="863"/>
      <c r="W24" s="863"/>
      <c r="X24" s="863"/>
      <c r="Y24" s="863"/>
      <c r="Z24" s="863"/>
      <c r="AA24" s="863"/>
      <c r="AB24" s="863"/>
      <c r="AC24" s="863"/>
      <c r="AD24" s="863"/>
      <c r="AE24" s="863"/>
      <c r="AF24" s="863"/>
      <c r="AG24" s="863"/>
      <c r="AH24" s="863"/>
      <c r="AI24" s="863"/>
      <c r="AJ24" s="863"/>
      <c r="AK24" s="863"/>
      <c r="AL24" s="863"/>
      <c r="AM24" s="863"/>
      <c r="AN24" s="863"/>
      <c r="AO24" s="863"/>
      <c r="AP24" s="863"/>
      <c r="AQ24" s="863"/>
      <c r="AR24" s="863"/>
      <c r="AS24" s="863"/>
      <c r="AT24" s="863"/>
      <c r="AU24" s="863"/>
      <c r="AV24" s="863"/>
      <c r="AW24" s="863"/>
      <c r="AX24" s="863"/>
      <c r="AY24" s="863"/>
      <c r="AZ24" s="863"/>
      <c r="BA24" s="863"/>
      <c r="BB24" s="863"/>
      <c r="BC24" s="863"/>
      <c r="BD24" s="863"/>
      <c r="BE24" s="863"/>
      <c r="BF24" s="863"/>
      <c r="BG24" s="863"/>
      <c r="BH24" s="863"/>
      <c r="BI24" s="863"/>
      <c r="BJ24" s="863"/>
      <c r="BK24" s="863"/>
      <c r="BL24" s="863"/>
      <c r="BM24" s="863"/>
      <c r="BN24" s="863"/>
      <c r="BO24" s="863"/>
      <c r="BP24" s="863"/>
      <c r="BQ24" s="863"/>
      <c r="BR24" s="863"/>
      <c r="BS24" s="863"/>
      <c r="BT24" s="863"/>
    </row>
    <row r="25" spans="1:72" ht="15">
      <c r="A25" s="1561" t="s">
        <v>1110</v>
      </c>
      <c r="B25" s="1561"/>
      <c r="C25" s="1561"/>
      <c r="D25" s="1561"/>
      <c r="E25" s="1561"/>
      <c r="F25" s="1561"/>
      <c r="G25" s="1561"/>
      <c r="H25" s="1561"/>
      <c r="I25" s="1561"/>
      <c r="J25" s="1561"/>
      <c r="K25" s="1561"/>
      <c r="L25" s="863"/>
      <c r="M25" s="863"/>
      <c r="N25" s="863"/>
      <c r="O25" s="863"/>
      <c r="P25" s="863"/>
      <c r="Q25" s="863"/>
      <c r="R25" s="863"/>
      <c r="S25" s="863"/>
      <c r="T25" s="863"/>
      <c r="U25" s="863"/>
      <c r="V25" s="863"/>
      <c r="W25" s="863"/>
      <c r="X25" s="863"/>
      <c r="Y25" s="863"/>
      <c r="Z25" s="863"/>
      <c r="AA25" s="863"/>
      <c r="AB25" s="863"/>
      <c r="AC25" s="863"/>
      <c r="AD25" s="863"/>
      <c r="AE25" s="863"/>
      <c r="AF25" s="863"/>
      <c r="AG25" s="863"/>
      <c r="AH25" s="863"/>
      <c r="AI25" s="863"/>
      <c r="AJ25" s="863"/>
      <c r="AK25" s="863"/>
      <c r="AL25" s="863"/>
      <c r="AM25" s="863"/>
      <c r="AN25" s="863"/>
      <c r="AO25" s="863"/>
      <c r="AP25" s="863"/>
      <c r="AQ25" s="863"/>
      <c r="AR25" s="863"/>
      <c r="AS25" s="863"/>
      <c r="AT25" s="863"/>
      <c r="AU25" s="863"/>
      <c r="AV25" s="863"/>
      <c r="AW25" s="863"/>
      <c r="AX25" s="863"/>
      <c r="AY25" s="863"/>
      <c r="AZ25" s="863"/>
      <c r="BA25" s="863"/>
      <c r="BB25" s="863"/>
      <c r="BC25" s="863"/>
      <c r="BD25" s="863"/>
      <c r="BE25" s="863"/>
      <c r="BF25" s="863"/>
      <c r="BG25" s="863"/>
      <c r="BH25" s="863"/>
      <c r="BI25" s="863"/>
      <c r="BJ25" s="863"/>
      <c r="BK25" s="863"/>
      <c r="BL25" s="863"/>
      <c r="BM25" s="863"/>
      <c r="BN25" s="863"/>
      <c r="BO25" s="863"/>
      <c r="BP25" s="863"/>
      <c r="BQ25" s="863"/>
      <c r="BR25" s="863"/>
      <c r="BS25" s="863"/>
      <c r="BT25" s="863"/>
    </row>
    <row r="26" spans="1:72" ht="13.5" thickBot="1">
      <c r="A26" s="1562"/>
      <c r="B26" s="1562"/>
      <c r="C26" s="1562"/>
      <c r="D26" s="1562"/>
      <c r="E26" s="1562"/>
      <c r="F26" s="1562"/>
      <c r="G26" s="1562"/>
      <c r="H26" s="1562"/>
      <c r="I26" s="1562"/>
      <c r="J26" s="1562"/>
      <c r="K26" s="1562"/>
      <c r="L26" s="863"/>
      <c r="M26" s="863"/>
      <c r="N26" s="863"/>
      <c r="O26" s="863"/>
      <c r="P26" s="863"/>
      <c r="Q26" s="863"/>
      <c r="R26" s="863"/>
      <c r="S26" s="863"/>
      <c r="T26" s="863"/>
      <c r="U26" s="863"/>
      <c r="V26" s="863"/>
      <c r="W26" s="863"/>
      <c r="X26" s="863"/>
      <c r="Y26" s="863"/>
      <c r="Z26" s="863"/>
      <c r="AA26" s="863"/>
      <c r="AB26" s="863"/>
      <c r="AC26" s="863"/>
      <c r="AD26" s="863"/>
      <c r="AE26" s="863"/>
      <c r="AF26" s="863"/>
      <c r="AG26" s="863"/>
      <c r="AH26" s="863"/>
      <c r="AI26" s="863"/>
      <c r="AJ26" s="863"/>
      <c r="AK26" s="863"/>
      <c r="AL26" s="863"/>
      <c r="AM26" s="863"/>
      <c r="AN26" s="863"/>
      <c r="AO26" s="863"/>
      <c r="AP26" s="863"/>
      <c r="AQ26" s="863"/>
      <c r="AR26" s="863"/>
      <c r="AS26" s="863"/>
      <c r="AT26" s="863"/>
      <c r="AU26" s="863"/>
      <c r="AV26" s="863"/>
      <c r="AW26" s="863"/>
      <c r="AX26" s="863"/>
      <c r="AY26" s="863"/>
      <c r="AZ26" s="863"/>
      <c r="BA26" s="863"/>
      <c r="BB26" s="863"/>
      <c r="BC26" s="863"/>
      <c r="BD26" s="863"/>
      <c r="BE26" s="863"/>
      <c r="BF26" s="863"/>
      <c r="BG26" s="863"/>
      <c r="BH26" s="863"/>
      <c r="BI26" s="863"/>
      <c r="BJ26" s="863"/>
      <c r="BK26" s="863"/>
      <c r="BL26" s="863"/>
      <c r="BM26" s="863"/>
      <c r="BN26" s="863"/>
      <c r="BO26" s="863"/>
      <c r="BP26" s="863"/>
      <c r="BQ26" s="863"/>
      <c r="BR26" s="863"/>
      <c r="BS26" s="863"/>
      <c r="BT26" s="863"/>
    </row>
    <row r="27" spans="1:72" ht="38.25">
      <c r="A27" s="865"/>
      <c r="B27" s="866" t="s">
        <v>757</v>
      </c>
      <c r="C27" s="866" t="s">
        <v>758</v>
      </c>
      <c r="D27" s="866" t="s">
        <v>1112</v>
      </c>
      <c r="E27" s="1563"/>
      <c r="F27" s="1563"/>
      <c r="G27" s="1563"/>
      <c r="H27" s="1563"/>
      <c r="I27" s="1563"/>
      <c r="J27" s="1529" t="s">
        <v>759</v>
      </c>
      <c r="K27" s="1530"/>
      <c r="L27" s="863"/>
      <c r="M27" s="863"/>
      <c r="N27" s="863"/>
      <c r="O27" s="863"/>
      <c r="P27" s="863"/>
      <c r="Q27" s="863"/>
      <c r="R27" s="863"/>
      <c r="S27" s="863"/>
      <c r="T27" s="863"/>
      <c r="U27" s="863"/>
      <c r="V27" s="863"/>
      <c r="W27" s="863"/>
      <c r="X27" s="863"/>
      <c r="Y27" s="863"/>
      <c r="Z27" s="863"/>
      <c r="AA27" s="863"/>
      <c r="AB27" s="863"/>
      <c r="AC27" s="863"/>
      <c r="AD27" s="863"/>
      <c r="AE27" s="863"/>
      <c r="AF27" s="863"/>
      <c r="AG27" s="863"/>
      <c r="AH27" s="863"/>
      <c r="AI27" s="863"/>
      <c r="AJ27" s="863"/>
      <c r="AK27" s="863"/>
      <c r="AL27" s="863"/>
      <c r="AM27" s="863"/>
      <c r="AN27" s="863"/>
      <c r="AO27" s="863"/>
      <c r="AP27" s="863"/>
      <c r="AQ27" s="863"/>
      <c r="AR27" s="863"/>
      <c r="AS27" s="863"/>
      <c r="AT27" s="863"/>
      <c r="AU27" s="863"/>
      <c r="AV27" s="863"/>
      <c r="AW27" s="863"/>
      <c r="AX27" s="863"/>
      <c r="AY27" s="863"/>
      <c r="AZ27" s="863"/>
      <c r="BA27" s="863"/>
      <c r="BB27" s="863"/>
      <c r="BC27" s="863"/>
      <c r="BD27" s="863"/>
      <c r="BE27" s="863"/>
      <c r="BF27" s="863"/>
      <c r="BG27" s="863"/>
      <c r="BH27" s="863"/>
      <c r="BI27" s="863"/>
      <c r="BJ27" s="863"/>
      <c r="BK27" s="863"/>
      <c r="BL27" s="863"/>
      <c r="BM27" s="863"/>
      <c r="BN27" s="863"/>
      <c r="BO27" s="863"/>
      <c r="BP27" s="863"/>
      <c r="BQ27" s="863"/>
      <c r="BR27" s="863"/>
      <c r="BS27" s="863"/>
      <c r="BT27" s="863"/>
    </row>
    <row r="28" spans="1:72">
      <c r="A28" s="867" t="s">
        <v>568</v>
      </c>
      <c r="B28" s="868">
        <f>G40/F40</f>
        <v>1.0482288241385485</v>
      </c>
      <c r="C28" s="868">
        <f>H40/G40</f>
        <v>1.0526415477404851</v>
      </c>
      <c r="D28" s="868">
        <f>I40/H40</f>
        <v>1.0160295046377366</v>
      </c>
      <c r="E28" s="1531"/>
      <c r="F28" s="1531"/>
      <c r="G28" s="1531"/>
      <c r="H28" s="1531"/>
      <c r="I28" s="1531"/>
      <c r="J28" s="1531" t="s">
        <v>1080</v>
      </c>
      <c r="K28" s="1532" t="s">
        <v>1088</v>
      </c>
      <c r="L28" s="863"/>
      <c r="M28" s="863"/>
      <c r="N28" s="863"/>
      <c r="O28" s="863"/>
      <c r="P28" s="863"/>
      <c r="Q28" s="863"/>
      <c r="R28" s="863"/>
      <c r="S28" s="863"/>
      <c r="T28" s="863"/>
      <c r="U28" s="863"/>
      <c r="V28" s="863"/>
      <c r="W28" s="863"/>
      <c r="X28" s="863"/>
      <c r="Y28" s="863"/>
      <c r="Z28" s="863"/>
      <c r="AA28" s="863"/>
      <c r="AB28" s="863"/>
      <c r="AC28" s="863"/>
      <c r="AD28" s="863"/>
      <c r="AE28" s="863"/>
      <c r="AF28" s="863"/>
      <c r="AG28" s="863"/>
      <c r="AH28" s="863"/>
      <c r="AI28" s="863"/>
      <c r="AJ28" s="863"/>
      <c r="AK28" s="863"/>
      <c r="AL28" s="863"/>
      <c r="AM28" s="863"/>
      <c r="AN28" s="863"/>
      <c r="AO28" s="863"/>
      <c r="AP28" s="863"/>
      <c r="AQ28" s="863"/>
      <c r="AR28" s="863"/>
      <c r="AS28" s="863"/>
      <c r="AT28" s="863"/>
      <c r="AU28" s="863"/>
      <c r="AV28" s="863"/>
      <c r="AW28" s="863"/>
      <c r="AX28" s="863"/>
      <c r="AY28" s="863"/>
      <c r="AZ28" s="863"/>
      <c r="BA28" s="863"/>
      <c r="BB28" s="863"/>
      <c r="BC28" s="863"/>
      <c r="BD28" s="863"/>
      <c r="BE28" s="863"/>
      <c r="BF28" s="863"/>
      <c r="BG28" s="863"/>
      <c r="BH28" s="863"/>
      <c r="BI28" s="863"/>
      <c r="BJ28" s="863"/>
      <c r="BK28" s="863"/>
      <c r="BL28" s="863"/>
      <c r="BM28" s="863"/>
      <c r="BN28" s="863"/>
      <c r="BO28" s="863"/>
      <c r="BP28" s="863"/>
      <c r="BQ28" s="863"/>
      <c r="BR28" s="863"/>
      <c r="BS28" s="863"/>
      <c r="BT28" s="863"/>
    </row>
    <row r="29" spans="1:72">
      <c r="A29" s="869" t="s">
        <v>569</v>
      </c>
      <c r="B29" s="870">
        <f t="shared" ref="B29:B35" si="0">G41/F41</f>
        <v>1.1441282284851997</v>
      </c>
      <c r="C29" s="870">
        <f t="shared" ref="C29:C35" si="1">H41/G41</f>
        <v>1.1360328119345371</v>
      </c>
      <c r="D29" s="870">
        <f t="shared" ref="D29:D35" si="2">I41/H41</f>
        <v>1.0363018547359477</v>
      </c>
      <c r="E29" s="1531"/>
      <c r="F29" s="1531"/>
      <c r="G29" s="1531"/>
      <c r="H29" s="1531"/>
      <c r="I29" s="1531"/>
      <c r="J29" s="1531"/>
      <c r="K29" s="1532"/>
      <c r="L29" s="863"/>
      <c r="M29" s="863"/>
      <c r="N29" s="863"/>
      <c r="O29" s="863"/>
      <c r="P29" s="863"/>
      <c r="Q29" s="863"/>
      <c r="R29" s="863"/>
      <c r="S29" s="863"/>
      <c r="T29" s="863"/>
      <c r="U29" s="863"/>
      <c r="V29" s="863"/>
      <c r="W29" s="863"/>
      <c r="X29" s="863"/>
      <c r="Y29" s="863"/>
      <c r="Z29" s="863"/>
      <c r="AA29" s="863"/>
      <c r="AB29" s="863"/>
      <c r="AC29" s="863"/>
      <c r="AD29" s="863"/>
      <c r="AE29" s="863"/>
      <c r="AF29" s="863"/>
      <c r="AG29" s="863"/>
      <c r="AH29" s="863"/>
      <c r="AI29" s="863"/>
      <c r="AJ29" s="863"/>
      <c r="AK29" s="863"/>
      <c r="AL29" s="863"/>
      <c r="AM29" s="863"/>
      <c r="AN29" s="863"/>
      <c r="AO29" s="863"/>
      <c r="AP29" s="863"/>
      <c r="AQ29" s="863"/>
      <c r="AR29" s="863"/>
      <c r="AS29" s="863"/>
      <c r="AT29" s="863"/>
      <c r="AU29" s="863"/>
      <c r="AV29" s="863"/>
      <c r="AW29" s="863"/>
      <c r="AX29" s="863"/>
      <c r="AY29" s="863"/>
      <c r="AZ29" s="863"/>
      <c r="BA29" s="863"/>
      <c r="BB29" s="863"/>
      <c r="BC29" s="863"/>
      <c r="BD29" s="863"/>
      <c r="BE29" s="863"/>
      <c r="BF29" s="863"/>
      <c r="BG29" s="863"/>
      <c r="BH29" s="863"/>
      <c r="BI29" s="863"/>
      <c r="BJ29" s="863"/>
      <c r="BK29" s="863"/>
      <c r="BL29" s="863"/>
      <c r="BM29" s="863"/>
      <c r="BN29" s="863"/>
      <c r="BO29" s="863"/>
      <c r="BP29" s="863"/>
      <c r="BQ29" s="863"/>
      <c r="BR29" s="863"/>
      <c r="BS29" s="863"/>
      <c r="BT29" s="863"/>
    </row>
    <row r="30" spans="1:72">
      <c r="A30" s="867" t="s">
        <v>570</v>
      </c>
      <c r="B30" s="868">
        <f t="shared" si="0"/>
        <v>1.1252277801242987</v>
      </c>
      <c r="C30" s="868">
        <f t="shared" si="1"/>
        <v>1.1222249629995065</v>
      </c>
      <c r="D30" s="868">
        <f t="shared" si="2"/>
        <v>1.0285793469898747</v>
      </c>
      <c r="E30" s="1531"/>
      <c r="F30" s="1531"/>
      <c r="G30" s="1531"/>
      <c r="H30" s="1531"/>
      <c r="I30" s="1531"/>
      <c r="J30" s="871">
        <v>1991</v>
      </c>
      <c r="K30" s="872">
        <v>84.5</v>
      </c>
      <c r="L30" s="863"/>
      <c r="M30" s="863"/>
      <c r="N30" s="863"/>
      <c r="O30" s="863"/>
      <c r="P30" s="863"/>
      <c r="Q30" s="863"/>
      <c r="R30" s="863"/>
      <c r="S30" s="863"/>
      <c r="T30" s="863"/>
      <c r="U30" s="863"/>
      <c r="V30" s="863"/>
      <c r="W30" s="863"/>
      <c r="X30" s="863"/>
      <c r="Y30" s="863"/>
      <c r="Z30" s="863"/>
      <c r="AA30" s="863"/>
      <c r="AB30" s="863"/>
      <c r="AC30" s="863"/>
      <c r="AD30" s="863"/>
      <c r="AE30" s="863"/>
      <c r="AF30" s="863"/>
      <c r="AG30" s="863"/>
      <c r="AH30" s="863"/>
      <c r="AI30" s="863"/>
      <c r="AJ30" s="863"/>
      <c r="AK30" s="863"/>
      <c r="AL30" s="863"/>
      <c r="AM30" s="863"/>
      <c r="AN30" s="863"/>
      <c r="AO30" s="863"/>
      <c r="AP30" s="863"/>
      <c r="AQ30" s="863"/>
      <c r="AR30" s="863"/>
      <c r="AS30" s="863"/>
      <c r="AT30" s="863"/>
      <c r="AU30" s="863"/>
      <c r="AV30" s="863"/>
      <c r="AW30" s="863"/>
      <c r="AX30" s="863"/>
      <c r="AY30" s="863"/>
      <c r="AZ30" s="863"/>
      <c r="BA30" s="863"/>
      <c r="BB30" s="863"/>
      <c r="BC30" s="863"/>
      <c r="BD30" s="863"/>
      <c r="BE30" s="863"/>
      <c r="BF30" s="863"/>
      <c r="BG30" s="863"/>
      <c r="BH30" s="863"/>
      <c r="BI30" s="863"/>
      <c r="BJ30" s="863"/>
      <c r="BK30" s="863"/>
      <c r="BL30" s="863"/>
      <c r="BM30" s="863"/>
      <c r="BN30" s="863"/>
      <c r="BO30" s="863"/>
      <c r="BP30" s="863"/>
      <c r="BQ30" s="863"/>
      <c r="BR30" s="863"/>
      <c r="BS30" s="863"/>
      <c r="BT30" s="863"/>
    </row>
    <row r="31" spans="1:72">
      <c r="A31" s="869" t="s">
        <v>571</v>
      </c>
      <c r="B31" s="870">
        <f t="shared" si="0"/>
        <v>1.0687839040840581</v>
      </c>
      <c r="C31" s="870">
        <f t="shared" si="1"/>
        <v>1.0213566498986533</v>
      </c>
      <c r="D31" s="870">
        <f t="shared" si="2"/>
        <v>1.0031375164207406</v>
      </c>
      <c r="E31" s="1531"/>
      <c r="F31" s="1531"/>
      <c r="G31" s="1531"/>
      <c r="H31" s="1531"/>
      <c r="I31" s="1531"/>
      <c r="J31" s="873">
        <v>1992</v>
      </c>
      <c r="K31" s="874">
        <v>86.4</v>
      </c>
      <c r="L31" s="863"/>
      <c r="M31" s="863"/>
      <c r="N31" s="863"/>
      <c r="O31" s="863"/>
      <c r="P31" s="863"/>
      <c r="Q31" s="863"/>
      <c r="R31" s="863"/>
      <c r="S31" s="863"/>
      <c r="T31" s="863"/>
      <c r="U31" s="863"/>
      <c r="V31" s="863"/>
      <c r="W31" s="863"/>
      <c r="X31" s="863"/>
      <c r="Y31" s="863"/>
      <c r="Z31" s="863"/>
      <c r="AA31" s="863"/>
      <c r="AB31" s="863"/>
      <c r="AC31" s="863"/>
      <c r="AD31" s="863"/>
      <c r="AE31" s="863"/>
      <c r="AF31" s="863"/>
      <c r="AG31" s="863"/>
      <c r="AH31" s="863"/>
      <c r="AI31" s="863"/>
      <c r="AJ31" s="863"/>
      <c r="AK31" s="863"/>
      <c r="AL31" s="863"/>
      <c r="AM31" s="863"/>
      <c r="AN31" s="863"/>
      <c r="AO31" s="863"/>
      <c r="AP31" s="863"/>
      <c r="AQ31" s="863"/>
      <c r="AR31" s="863"/>
      <c r="AS31" s="863"/>
      <c r="AT31" s="863"/>
      <c r="AU31" s="863"/>
      <c r="AV31" s="863"/>
      <c r="AW31" s="863"/>
      <c r="AX31" s="863"/>
      <c r="AY31" s="863"/>
      <c r="AZ31" s="863"/>
      <c r="BA31" s="863"/>
      <c r="BB31" s="863"/>
      <c r="BC31" s="863"/>
      <c r="BD31" s="863"/>
      <c r="BE31" s="863"/>
      <c r="BF31" s="863"/>
      <c r="BG31" s="863"/>
      <c r="BH31" s="863"/>
      <c r="BI31" s="863"/>
      <c r="BJ31" s="863"/>
      <c r="BK31" s="863"/>
      <c r="BL31" s="863"/>
      <c r="BM31" s="863"/>
      <c r="BN31" s="863"/>
      <c r="BO31" s="863"/>
      <c r="BP31" s="863"/>
      <c r="BQ31" s="863"/>
      <c r="BR31" s="863"/>
      <c r="BS31" s="863"/>
      <c r="BT31" s="863"/>
    </row>
    <row r="32" spans="1:72">
      <c r="A32" s="867" t="s">
        <v>572</v>
      </c>
      <c r="B32" s="868">
        <f t="shared" si="0"/>
        <v>1.03736526166104</v>
      </c>
      <c r="C32" s="868">
        <f t="shared" si="1"/>
        <v>1.0084486821562659</v>
      </c>
      <c r="D32" s="868">
        <f t="shared" si="2"/>
        <v>1.0010687685088917</v>
      </c>
      <c r="E32" s="1531"/>
      <c r="F32" s="1531"/>
      <c r="G32" s="1531"/>
      <c r="H32" s="1531"/>
      <c r="I32" s="1531"/>
      <c r="J32" s="871">
        <v>1993</v>
      </c>
      <c r="K32" s="872">
        <v>88.4</v>
      </c>
      <c r="L32" s="863"/>
      <c r="M32" s="863"/>
      <c r="N32" s="863"/>
      <c r="O32" s="863"/>
      <c r="P32" s="863"/>
      <c r="Q32" s="863"/>
      <c r="R32" s="863"/>
      <c r="S32" s="863"/>
      <c r="T32" s="863"/>
      <c r="U32" s="863"/>
      <c r="V32" s="863"/>
      <c r="W32" s="863"/>
      <c r="X32" s="863"/>
      <c r="Y32" s="863"/>
      <c r="Z32" s="863"/>
      <c r="AA32" s="863"/>
      <c r="AB32" s="863"/>
      <c r="AC32" s="863"/>
      <c r="AD32" s="863"/>
      <c r="AE32" s="863"/>
      <c r="AF32" s="863"/>
      <c r="AG32" s="863"/>
      <c r="AH32" s="863"/>
      <c r="AI32" s="863"/>
      <c r="AJ32" s="863"/>
      <c r="AK32" s="863"/>
      <c r="AL32" s="863"/>
      <c r="AM32" s="863"/>
      <c r="AN32" s="863"/>
      <c r="AO32" s="863"/>
      <c r="AP32" s="863"/>
      <c r="AQ32" s="863"/>
      <c r="AR32" s="863"/>
      <c r="AS32" s="863"/>
      <c r="AT32" s="863"/>
      <c r="AU32" s="863"/>
      <c r="AV32" s="863"/>
      <c r="AW32" s="863"/>
      <c r="AX32" s="863"/>
      <c r="AY32" s="863"/>
      <c r="AZ32" s="863"/>
      <c r="BA32" s="863"/>
      <c r="BB32" s="863"/>
      <c r="BC32" s="863"/>
      <c r="BD32" s="863"/>
      <c r="BE32" s="863"/>
      <c r="BF32" s="863"/>
      <c r="BG32" s="863"/>
      <c r="BH32" s="863"/>
      <c r="BI32" s="863"/>
      <c r="BJ32" s="863"/>
      <c r="BK32" s="863"/>
      <c r="BL32" s="863"/>
      <c r="BM32" s="863"/>
      <c r="BN32" s="863"/>
      <c r="BO32" s="863"/>
      <c r="BP32" s="863"/>
      <c r="BQ32" s="863"/>
      <c r="BR32" s="863"/>
      <c r="BS32" s="863"/>
      <c r="BT32" s="863"/>
    </row>
    <row r="33" spans="1:72">
      <c r="A33" s="869" t="s">
        <v>573</v>
      </c>
      <c r="B33" s="870">
        <f t="shared" si="0"/>
        <v>0.975071533164794</v>
      </c>
      <c r="C33" s="870">
        <f t="shared" si="1"/>
        <v>1.0087393571750138</v>
      </c>
      <c r="D33" s="870">
        <f t="shared" si="2"/>
        <v>0.99663324890666094</v>
      </c>
      <c r="E33" s="1531"/>
      <c r="F33" s="1531"/>
      <c r="G33" s="1531"/>
      <c r="H33" s="1531"/>
      <c r="I33" s="1531"/>
      <c r="J33" s="873">
        <v>1994</v>
      </c>
      <c r="K33" s="874">
        <v>90.3</v>
      </c>
      <c r="L33" s="863"/>
      <c r="M33" s="863"/>
      <c r="N33" s="863"/>
      <c r="O33" s="863"/>
      <c r="P33" s="863"/>
      <c r="Q33" s="863"/>
      <c r="R33" s="863"/>
      <c r="S33" s="863"/>
      <c r="T33" s="863"/>
      <c r="U33" s="863"/>
      <c r="V33" s="863"/>
      <c r="W33" s="863"/>
      <c r="X33" s="863"/>
      <c r="Y33" s="863"/>
      <c r="Z33" s="863"/>
      <c r="AA33" s="863"/>
      <c r="AB33" s="863"/>
      <c r="AC33" s="863"/>
      <c r="AD33" s="863"/>
      <c r="AE33" s="863"/>
      <c r="AF33" s="863"/>
      <c r="AG33" s="863"/>
      <c r="AH33" s="863"/>
      <c r="AI33" s="863"/>
      <c r="AJ33" s="863"/>
      <c r="AK33" s="863"/>
      <c r="AL33" s="863"/>
      <c r="AM33" s="863"/>
      <c r="AN33" s="863"/>
      <c r="AO33" s="863"/>
      <c r="AP33" s="863"/>
      <c r="AQ33" s="863"/>
      <c r="AR33" s="863"/>
      <c r="AS33" s="863"/>
      <c r="AT33" s="863"/>
      <c r="AU33" s="863"/>
      <c r="AV33" s="863"/>
      <c r="AW33" s="863"/>
      <c r="AX33" s="863"/>
      <c r="AY33" s="863"/>
      <c r="AZ33" s="863"/>
      <c r="BA33" s="863"/>
      <c r="BB33" s="863"/>
      <c r="BC33" s="863"/>
      <c r="BD33" s="863"/>
      <c r="BE33" s="863"/>
      <c r="BF33" s="863"/>
      <c r="BG33" s="863"/>
      <c r="BH33" s="863"/>
      <c r="BI33" s="863"/>
      <c r="BJ33" s="863"/>
      <c r="BK33" s="863"/>
      <c r="BL33" s="863"/>
      <c r="BM33" s="863"/>
      <c r="BN33" s="863"/>
      <c r="BO33" s="863"/>
      <c r="BP33" s="863"/>
      <c r="BQ33" s="863"/>
      <c r="BR33" s="863"/>
      <c r="BS33" s="863"/>
      <c r="BT33" s="863"/>
    </row>
    <row r="34" spans="1:72">
      <c r="A34" s="867" t="s">
        <v>574</v>
      </c>
      <c r="B34" s="868">
        <f t="shared" si="0"/>
        <v>1.0938371922267365</v>
      </c>
      <c r="C34" s="868">
        <f t="shared" si="1"/>
        <v>1.0852680569229392</v>
      </c>
      <c r="D34" s="868">
        <f t="shared" si="2"/>
        <v>1.0142672175626977</v>
      </c>
      <c r="E34" s="1531"/>
      <c r="F34" s="1531"/>
      <c r="G34" s="1531"/>
      <c r="H34" s="1531"/>
      <c r="I34" s="1531"/>
      <c r="J34" s="871">
        <v>1995</v>
      </c>
      <c r="K34" s="872">
        <v>92.1</v>
      </c>
      <c r="L34" s="863"/>
      <c r="M34" s="863"/>
      <c r="N34" s="863"/>
      <c r="O34" s="863"/>
      <c r="P34" s="863"/>
      <c r="Q34" s="863"/>
      <c r="R34" s="863"/>
      <c r="S34" s="863"/>
      <c r="T34" s="863"/>
      <c r="U34" s="863"/>
      <c r="V34" s="863"/>
      <c r="W34" s="863"/>
      <c r="X34" s="863"/>
      <c r="Y34" s="863"/>
      <c r="Z34" s="863"/>
      <c r="AA34" s="863"/>
      <c r="AB34" s="863"/>
      <c r="AC34" s="863"/>
      <c r="AD34" s="863"/>
      <c r="AE34" s="863"/>
      <c r="AF34" s="863"/>
      <c r="AG34" s="863"/>
      <c r="AH34" s="863"/>
      <c r="AI34" s="863"/>
      <c r="AJ34" s="863"/>
      <c r="AK34" s="863"/>
      <c r="AL34" s="863"/>
      <c r="AM34" s="863"/>
      <c r="AN34" s="863"/>
      <c r="AO34" s="863"/>
      <c r="AP34" s="863"/>
      <c r="AQ34" s="863"/>
      <c r="AR34" s="863"/>
      <c r="AS34" s="863"/>
      <c r="AT34" s="863"/>
      <c r="AU34" s="863"/>
      <c r="AV34" s="863"/>
      <c r="AW34" s="863"/>
      <c r="AX34" s="863"/>
      <c r="AY34" s="863"/>
      <c r="AZ34" s="863"/>
      <c r="BA34" s="863"/>
      <c r="BB34" s="863"/>
      <c r="BC34" s="863"/>
      <c r="BD34" s="863"/>
      <c r="BE34" s="863"/>
      <c r="BF34" s="863"/>
      <c r="BG34" s="863"/>
      <c r="BH34" s="863"/>
      <c r="BI34" s="863"/>
      <c r="BJ34" s="863"/>
      <c r="BK34" s="863"/>
      <c r="BL34" s="863"/>
      <c r="BM34" s="863"/>
      <c r="BN34" s="863"/>
      <c r="BO34" s="863"/>
      <c r="BP34" s="863"/>
      <c r="BQ34" s="863"/>
      <c r="BR34" s="863"/>
      <c r="BS34" s="863"/>
      <c r="BT34" s="863"/>
    </row>
    <row r="35" spans="1:72">
      <c r="A35" s="869" t="s">
        <v>311</v>
      </c>
      <c r="B35" s="870">
        <f t="shared" si="0"/>
        <v>1.0046194107582356</v>
      </c>
      <c r="C35" s="870">
        <f t="shared" si="1"/>
        <v>1.003094645903579</v>
      </c>
      <c r="D35" s="870">
        <f t="shared" si="2"/>
        <v>0.99710816742279029</v>
      </c>
      <c r="E35" s="1531"/>
      <c r="F35" s="1531"/>
      <c r="G35" s="1531"/>
      <c r="H35" s="1531"/>
      <c r="I35" s="1531"/>
      <c r="J35" s="873">
        <v>1996</v>
      </c>
      <c r="K35" s="874">
        <v>93.9</v>
      </c>
      <c r="L35" s="863"/>
      <c r="M35" s="863"/>
      <c r="N35" s="863"/>
      <c r="O35" s="863"/>
      <c r="P35" s="863"/>
      <c r="Q35" s="863"/>
      <c r="R35" s="863"/>
      <c r="S35" s="863"/>
      <c r="T35" s="863"/>
      <c r="U35" s="863"/>
      <c r="V35" s="863"/>
      <c r="W35" s="863"/>
      <c r="X35" s="863"/>
      <c r="Y35" s="863"/>
      <c r="Z35" s="863"/>
      <c r="AA35" s="863"/>
      <c r="AB35" s="863"/>
      <c r="AC35" s="863"/>
      <c r="AD35" s="863"/>
      <c r="AE35" s="863"/>
      <c r="AF35" s="863"/>
      <c r="AG35" s="863"/>
      <c r="AH35" s="863"/>
      <c r="AI35" s="863"/>
      <c r="AJ35" s="863"/>
      <c r="AK35" s="863"/>
      <c r="AL35" s="863"/>
      <c r="AM35" s="863"/>
      <c r="AN35" s="863"/>
      <c r="AO35" s="863"/>
      <c r="AP35" s="863"/>
      <c r="AQ35" s="863"/>
      <c r="AR35" s="863"/>
      <c r="AS35" s="863"/>
      <c r="AT35" s="863"/>
      <c r="AU35" s="863"/>
      <c r="AV35" s="863"/>
      <c r="AW35" s="863"/>
      <c r="AX35" s="863"/>
      <c r="AY35" s="863"/>
      <c r="AZ35" s="863"/>
      <c r="BA35" s="863"/>
      <c r="BB35" s="863"/>
      <c r="BC35" s="863"/>
      <c r="BD35" s="863"/>
      <c r="BE35" s="863"/>
      <c r="BF35" s="863"/>
      <c r="BG35" s="863"/>
      <c r="BH35" s="863"/>
      <c r="BI35" s="863"/>
      <c r="BJ35" s="863"/>
      <c r="BK35" s="863"/>
      <c r="BL35" s="863"/>
      <c r="BM35" s="863"/>
      <c r="BN35" s="863"/>
      <c r="BO35" s="863"/>
      <c r="BP35" s="863"/>
      <c r="BQ35" s="863"/>
      <c r="BR35" s="863"/>
      <c r="BS35" s="863"/>
      <c r="BT35" s="863"/>
    </row>
    <row r="36" spans="1:72">
      <c r="A36" s="1533"/>
      <c r="B36" s="1534"/>
      <c r="C36" s="1534"/>
      <c r="D36" s="1534"/>
      <c r="E36" s="1531"/>
      <c r="F36" s="1531"/>
      <c r="G36" s="1531"/>
      <c r="H36" s="1531"/>
      <c r="I36" s="1531"/>
      <c r="J36" s="871">
        <v>1997</v>
      </c>
      <c r="K36" s="872">
        <v>95.4</v>
      </c>
      <c r="L36" s="863"/>
      <c r="M36" s="863"/>
      <c r="N36" s="863"/>
      <c r="O36" s="863"/>
      <c r="P36" s="863"/>
      <c r="Q36" s="863"/>
      <c r="R36" s="863"/>
      <c r="S36" s="863"/>
      <c r="T36" s="863"/>
      <c r="U36" s="863"/>
      <c r="V36" s="863"/>
      <c r="W36" s="863"/>
      <c r="X36" s="863"/>
      <c r="Y36" s="863"/>
      <c r="Z36" s="863"/>
      <c r="AA36" s="863"/>
      <c r="AB36" s="863"/>
      <c r="AC36" s="863"/>
      <c r="AD36" s="863"/>
      <c r="AE36" s="863"/>
      <c r="AF36" s="863"/>
      <c r="AG36" s="863"/>
      <c r="AH36" s="863"/>
      <c r="AI36" s="863"/>
      <c r="AJ36" s="863"/>
      <c r="AK36" s="863"/>
      <c r="AL36" s="863"/>
      <c r="AM36" s="863"/>
      <c r="AN36" s="863"/>
      <c r="AO36" s="863"/>
      <c r="AP36" s="863"/>
      <c r="AQ36" s="863"/>
      <c r="AR36" s="863"/>
      <c r="AS36" s="863"/>
      <c r="AT36" s="863"/>
      <c r="AU36" s="863"/>
      <c r="AV36" s="863"/>
      <c r="AW36" s="863"/>
      <c r="AX36" s="863"/>
      <c r="AY36" s="863"/>
      <c r="AZ36" s="863"/>
      <c r="BA36" s="863"/>
      <c r="BB36" s="863"/>
      <c r="BC36" s="863"/>
      <c r="BD36" s="863"/>
      <c r="BE36" s="863"/>
      <c r="BF36" s="863"/>
      <c r="BG36" s="863"/>
      <c r="BH36" s="863"/>
      <c r="BI36" s="863"/>
      <c r="BJ36" s="863"/>
      <c r="BK36" s="863"/>
      <c r="BL36" s="863"/>
      <c r="BM36" s="863"/>
      <c r="BN36" s="863"/>
      <c r="BO36" s="863"/>
      <c r="BP36" s="863"/>
      <c r="BQ36" s="863"/>
      <c r="BR36" s="863"/>
      <c r="BS36" s="863"/>
      <c r="BT36" s="863"/>
    </row>
    <row r="37" spans="1:72">
      <c r="A37" s="1533"/>
      <c r="B37" s="1534"/>
      <c r="C37" s="1534"/>
      <c r="D37" s="1534"/>
      <c r="E37" s="1531"/>
      <c r="F37" s="1531"/>
      <c r="G37" s="1531"/>
      <c r="H37" s="1531"/>
      <c r="I37" s="1531"/>
      <c r="J37" s="873">
        <v>1998</v>
      </c>
      <c r="K37" s="874">
        <v>96.5</v>
      </c>
      <c r="L37" s="863"/>
      <c r="M37" s="863"/>
      <c r="N37" s="863"/>
      <c r="O37" s="863"/>
      <c r="P37" s="863"/>
      <c r="Q37" s="863"/>
      <c r="R37" s="863"/>
      <c r="S37" s="863"/>
      <c r="T37" s="863"/>
      <c r="U37" s="863"/>
      <c r="V37" s="863"/>
      <c r="W37" s="863"/>
      <c r="X37" s="863"/>
      <c r="Y37" s="863"/>
      <c r="Z37" s="863"/>
      <c r="AA37" s="863"/>
      <c r="AB37" s="863"/>
      <c r="AC37" s="863"/>
      <c r="AD37" s="863"/>
      <c r="AE37" s="863"/>
      <c r="AF37" s="863"/>
      <c r="AG37" s="863"/>
      <c r="AH37" s="863"/>
      <c r="AI37" s="863"/>
      <c r="AJ37" s="863"/>
      <c r="AK37" s="863"/>
      <c r="AL37" s="863"/>
      <c r="AM37" s="863"/>
      <c r="AN37" s="863"/>
      <c r="AO37" s="863"/>
      <c r="AP37" s="863"/>
      <c r="AQ37" s="863"/>
      <c r="AR37" s="863"/>
      <c r="AS37" s="863"/>
      <c r="AT37" s="863"/>
      <c r="AU37" s="863"/>
      <c r="AV37" s="863"/>
      <c r="AW37" s="863"/>
      <c r="AX37" s="863"/>
      <c r="AY37" s="863"/>
      <c r="AZ37" s="863"/>
      <c r="BA37" s="863"/>
      <c r="BB37" s="863"/>
      <c r="BC37" s="863"/>
      <c r="BD37" s="863"/>
      <c r="BE37" s="863"/>
      <c r="BF37" s="863"/>
      <c r="BG37" s="863"/>
      <c r="BH37" s="863"/>
      <c r="BI37" s="863"/>
      <c r="BJ37" s="863"/>
      <c r="BK37" s="863"/>
      <c r="BL37" s="863"/>
      <c r="BM37" s="863"/>
      <c r="BN37" s="863"/>
      <c r="BO37" s="863"/>
      <c r="BP37" s="863"/>
      <c r="BQ37" s="863"/>
      <c r="BR37" s="863"/>
      <c r="BS37" s="863"/>
      <c r="BT37" s="863"/>
    </row>
    <row r="38" spans="1:72">
      <c r="A38" s="1538" t="s">
        <v>576</v>
      </c>
      <c r="B38" s="1539"/>
      <c r="C38" s="875" t="s">
        <v>577</v>
      </c>
      <c r="D38" s="875" t="s">
        <v>577</v>
      </c>
      <c r="E38" s="1539" t="s">
        <v>1111</v>
      </c>
      <c r="F38" s="1539"/>
      <c r="G38" s="1539"/>
      <c r="H38" s="1539"/>
      <c r="I38" s="1539"/>
      <c r="J38" s="871">
        <v>1999</v>
      </c>
      <c r="K38" s="872">
        <v>97.9</v>
      </c>
      <c r="L38" s="863"/>
      <c r="M38" s="863"/>
      <c r="N38" s="863"/>
      <c r="O38" s="863"/>
      <c r="P38" s="863"/>
      <c r="Q38" s="863"/>
      <c r="R38" s="863"/>
      <c r="S38" s="863"/>
      <c r="T38" s="863"/>
      <c r="U38" s="863"/>
      <c r="V38" s="863"/>
      <c r="W38" s="863"/>
      <c r="X38" s="863"/>
      <c r="Y38" s="863"/>
      <c r="Z38" s="863"/>
      <c r="AA38" s="863"/>
      <c r="AB38" s="863"/>
      <c r="AC38" s="863"/>
      <c r="AD38" s="863"/>
      <c r="AE38" s="863"/>
      <c r="AF38" s="863"/>
      <c r="AG38" s="863"/>
      <c r="AH38" s="863"/>
      <c r="AI38" s="863"/>
      <c r="AJ38" s="863"/>
      <c r="AK38" s="863"/>
      <c r="AL38" s="863"/>
      <c r="AM38" s="863"/>
      <c r="AN38" s="863"/>
      <c r="AO38" s="863"/>
      <c r="AP38" s="863"/>
      <c r="AQ38" s="863"/>
      <c r="AR38" s="863"/>
      <c r="AS38" s="863"/>
      <c r="AT38" s="863"/>
      <c r="AU38" s="863"/>
      <c r="AV38" s="863"/>
      <c r="AW38" s="863"/>
      <c r="AX38" s="863"/>
      <c r="AY38" s="863"/>
      <c r="AZ38" s="863"/>
      <c r="BA38" s="863"/>
      <c r="BB38" s="863"/>
      <c r="BC38" s="863"/>
      <c r="BD38" s="863"/>
      <c r="BE38" s="863"/>
      <c r="BF38" s="863"/>
      <c r="BG38" s="863"/>
      <c r="BH38" s="863"/>
      <c r="BI38" s="863"/>
      <c r="BJ38" s="863"/>
      <c r="BK38" s="863"/>
      <c r="BL38" s="863"/>
      <c r="BM38" s="863"/>
      <c r="BN38" s="863"/>
      <c r="BO38" s="863"/>
      <c r="BP38" s="863"/>
      <c r="BQ38" s="863"/>
      <c r="BR38" s="863"/>
      <c r="BS38" s="863"/>
      <c r="BT38" s="863"/>
    </row>
    <row r="39" spans="1:72">
      <c r="A39" s="869"/>
      <c r="B39" s="1" t="s">
        <v>1045</v>
      </c>
      <c r="C39" s="873">
        <v>2000</v>
      </c>
      <c r="D39" s="873">
        <v>2005</v>
      </c>
      <c r="E39" s="873">
        <v>2020</v>
      </c>
      <c r="F39" s="873">
        <v>2035</v>
      </c>
      <c r="G39" s="873">
        <v>2050</v>
      </c>
      <c r="H39" s="873">
        <v>2065</v>
      </c>
      <c r="I39" s="873">
        <v>2070</v>
      </c>
      <c r="J39" s="873">
        <v>2000</v>
      </c>
      <c r="K39" s="874">
        <v>100</v>
      </c>
      <c r="L39" s="863"/>
      <c r="M39" s="863"/>
      <c r="N39" s="863"/>
      <c r="O39" s="863"/>
      <c r="P39" s="863"/>
      <c r="Q39" s="863"/>
      <c r="R39" s="863"/>
      <c r="S39" s="863"/>
      <c r="T39" s="863"/>
      <c r="U39" s="863"/>
      <c r="V39" s="863"/>
      <c r="W39" s="863"/>
      <c r="X39" s="863"/>
      <c r="Y39" s="863"/>
      <c r="Z39" s="863"/>
      <c r="AA39" s="863"/>
      <c r="AB39" s="863"/>
      <c r="AC39" s="863"/>
      <c r="AD39" s="863"/>
      <c r="AE39" s="863"/>
      <c r="AF39" s="863"/>
      <c r="AG39" s="863"/>
      <c r="AH39" s="863"/>
      <c r="AI39" s="863"/>
      <c r="AJ39" s="863"/>
      <c r="AK39" s="863"/>
      <c r="AL39" s="863"/>
      <c r="AM39" s="863"/>
      <c r="AN39" s="863"/>
      <c r="AO39" s="863"/>
      <c r="AP39" s="863"/>
      <c r="AQ39" s="863"/>
      <c r="AR39" s="863"/>
      <c r="AS39" s="863"/>
      <c r="AT39" s="863"/>
      <c r="AU39" s="863"/>
      <c r="AV39" s="863"/>
      <c r="AW39" s="863"/>
      <c r="AX39" s="863"/>
      <c r="AY39" s="863"/>
      <c r="AZ39" s="863"/>
      <c r="BA39" s="863"/>
      <c r="BB39" s="863"/>
      <c r="BC39" s="863"/>
      <c r="BD39" s="863"/>
      <c r="BE39" s="863"/>
      <c r="BF39" s="863"/>
      <c r="BG39" s="863"/>
      <c r="BH39" s="863"/>
      <c r="BI39" s="863"/>
      <c r="BJ39" s="863"/>
      <c r="BK39" s="863"/>
      <c r="BL39" s="863"/>
      <c r="BM39" s="863"/>
      <c r="BN39" s="863"/>
      <c r="BO39" s="863"/>
      <c r="BP39" s="863"/>
      <c r="BQ39" s="863"/>
      <c r="BR39" s="863"/>
      <c r="BS39" s="863"/>
      <c r="BT39" s="863"/>
    </row>
    <row r="40" spans="1:72">
      <c r="A40" s="867" t="s">
        <v>568</v>
      </c>
      <c r="B40" s="876" t="s">
        <v>578</v>
      </c>
      <c r="C40" s="871">
        <v>25.276500000000002</v>
      </c>
      <c r="D40" s="871">
        <v>25.071000000000002</v>
      </c>
      <c r="E40" s="871">
        <v>49.911552427759986</v>
      </c>
      <c r="F40" s="871">
        <v>51.73380738099187</v>
      </c>
      <c r="G40" s="871">
        <v>54.228868079187265</v>
      </c>
      <c r="H40" s="871">
        <v>57.083559627090274</v>
      </c>
      <c r="I40" s="871">
        <v>57.998580810871225</v>
      </c>
      <c r="J40" s="871">
        <v>2001</v>
      </c>
      <c r="K40" s="872">
        <v>102.4</v>
      </c>
      <c r="L40" s="863"/>
      <c r="M40" s="863"/>
      <c r="N40" s="863"/>
      <c r="O40" s="863"/>
      <c r="P40" s="863"/>
      <c r="Q40" s="863"/>
      <c r="R40" s="863"/>
      <c r="S40" s="863"/>
      <c r="T40" s="863"/>
      <c r="U40" s="863"/>
      <c r="V40" s="863"/>
      <c r="W40" s="863"/>
      <c r="X40" s="863"/>
      <c r="Y40" s="863"/>
      <c r="Z40" s="863"/>
      <c r="AA40" s="863"/>
      <c r="AB40" s="863"/>
      <c r="AC40" s="863"/>
      <c r="AD40" s="863"/>
      <c r="AE40" s="863"/>
      <c r="AF40" s="863"/>
      <c r="AG40" s="863"/>
      <c r="AH40" s="863"/>
      <c r="AI40" s="863"/>
      <c r="AJ40" s="863"/>
      <c r="AK40" s="863"/>
      <c r="AL40" s="863"/>
      <c r="AM40" s="863"/>
      <c r="AN40" s="863"/>
      <c r="AO40" s="863"/>
      <c r="AP40" s="863"/>
      <c r="AQ40" s="863"/>
      <c r="AR40" s="863"/>
      <c r="AS40" s="863"/>
      <c r="AT40" s="863"/>
      <c r="AU40" s="863"/>
      <c r="AV40" s="863"/>
      <c r="AW40" s="863"/>
      <c r="AX40" s="863"/>
      <c r="AY40" s="863"/>
      <c r="AZ40" s="863"/>
      <c r="BA40" s="863"/>
      <c r="BB40" s="863"/>
      <c r="BC40" s="863"/>
      <c r="BD40" s="863"/>
      <c r="BE40" s="863"/>
      <c r="BF40" s="863"/>
      <c r="BG40" s="863"/>
      <c r="BH40" s="863"/>
      <c r="BI40" s="863"/>
      <c r="BJ40" s="863"/>
      <c r="BK40" s="863"/>
      <c r="BL40" s="863"/>
      <c r="BM40" s="863"/>
      <c r="BN40" s="863"/>
      <c r="BO40" s="863"/>
      <c r="BP40" s="863"/>
      <c r="BQ40" s="863"/>
      <c r="BR40" s="863"/>
      <c r="BS40" s="863"/>
      <c r="BT40" s="863"/>
    </row>
    <row r="41" spans="1:72">
      <c r="A41" s="869" t="s">
        <v>569</v>
      </c>
      <c r="B41" s="864" t="s">
        <v>579</v>
      </c>
      <c r="C41" s="873">
        <v>3.83</v>
      </c>
      <c r="D41" s="873">
        <v>2.88</v>
      </c>
      <c r="E41" s="873">
        <v>3.4820792312666162</v>
      </c>
      <c r="F41" s="873">
        <v>3.718467288972283</v>
      </c>
      <c r="G41" s="873">
        <v>4.254403392012021</v>
      </c>
      <c r="H41" s="873">
        <v>4.8331418485312492</v>
      </c>
      <c r="I41" s="873">
        <v>5.0085938618348607</v>
      </c>
      <c r="J41" s="873">
        <v>2002</v>
      </c>
      <c r="K41" s="874">
        <v>104.1</v>
      </c>
      <c r="L41" s="863"/>
      <c r="M41" s="863"/>
      <c r="N41" s="863"/>
      <c r="O41" s="863"/>
      <c r="P41" s="863"/>
      <c r="Q41" s="863"/>
      <c r="R41" s="863"/>
      <c r="S41" s="863"/>
      <c r="T41" s="863"/>
      <c r="U41" s="863"/>
      <c r="V41" s="863"/>
      <c r="W41" s="863"/>
      <c r="X41" s="863"/>
      <c r="Y41" s="863"/>
      <c r="Z41" s="863"/>
      <c r="AA41" s="863"/>
      <c r="AB41" s="863"/>
      <c r="AC41" s="863"/>
      <c r="AD41" s="863"/>
      <c r="AE41" s="863"/>
      <c r="AF41" s="863"/>
      <c r="AG41" s="863"/>
      <c r="AH41" s="863"/>
      <c r="AI41" s="863"/>
      <c r="AJ41" s="863"/>
      <c r="AK41" s="863"/>
      <c r="AL41" s="863"/>
      <c r="AM41" s="863"/>
      <c r="AN41" s="863"/>
      <c r="AO41" s="863"/>
      <c r="AP41" s="863"/>
      <c r="AQ41" s="863"/>
      <c r="AR41" s="863"/>
      <c r="AS41" s="863"/>
      <c r="AT41" s="863"/>
      <c r="AU41" s="863"/>
      <c r="AV41" s="863"/>
      <c r="AW41" s="863"/>
      <c r="AX41" s="863"/>
      <c r="AY41" s="863"/>
      <c r="AZ41" s="863"/>
      <c r="BA41" s="863"/>
      <c r="BB41" s="863"/>
      <c r="BC41" s="863"/>
      <c r="BD41" s="863"/>
      <c r="BE41" s="863"/>
      <c r="BF41" s="863"/>
      <c r="BG41" s="863"/>
      <c r="BH41" s="863"/>
      <c r="BI41" s="863"/>
      <c r="BJ41" s="863"/>
      <c r="BK41" s="863"/>
      <c r="BL41" s="863"/>
      <c r="BM41" s="863"/>
      <c r="BN41" s="863"/>
      <c r="BO41" s="863"/>
      <c r="BP41" s="863"/>
      <c r="BQ41" s="863"/>
      <c r="BR41" s="863"/>
      <c r="BS41" s="863"/>
      <c r="BT41" s="863"/>
    </row>
    <row r="42" spans="1:72">
      <c r="A42" s="867" t="s">
        <v>570</v>
      </c>
      <c r="B42" s="876" t="s">
        <v>579</v>
      </c>
      <c r="C42" s="871">
        <v>4.333333333333333</v>
      </c>
      <c r="D42" s="871">
        <v>3.2058823529411766</v>
      </c>
      <c r="E42" s="871">
        <v>5.3135477999345282</v>
      </c>
      <c r="F42" s="871">
        <v>5.6703709369749671</v>
      </c>
      <c r="G42" s="871">
        <v>6.3804589018936815</v>
      </c>
      <c r="H42" s="871">
        <v>7.1603102550975084</v>
      </c>
      <c r="I42" s="871">
        <v>7.3649472464330987</v>
      </c>
      <c r="J42" s="871">
        <v>2003</v>
      </c>
      <c r="K42" s="872">
        <v>106</v>
      </c>
      <c r="L42" s="863"/>
      <c r="M42" s="863"/>
      <c r="N42" s="863"/>
      <c r="O42" s="863"/>
      <c r="P42" s="863"/>
      <c r="Q42" s="863"/>
      <c r="R42" s="863"/>
      <c r="S42" s="863"/>
      <c r="T42" s="863"/>
      <c r="U42" s="863"/>
      <c r="V42" s="863"/>
      <c r="W42" s="863"/>
      <c r="X42" s="863"/>
      <c r="Y42" s="863"/>
      <c r="Z42" s="863"/>
      <c r="AA42" s="863"/>
      <c r="AB42" s="863"/>
      <c r="AC42" s="863"/>
      <c r="AD42" s="863"/>
      <c r="AE42" s="863"/>
      <c r="AF42" s="863"/>
      <c r="AG42" s="863"/>
      <c r="AH42" s="863"/>
      <c r="AI42" s="863"/>
      <c r="AJ42" s="863"/>
      <c r="AK42" s="863"/>
      <c r="AL42" s="863"/>
      <c r="AM42" s="863"/>
      <c r="AN42" s="863"/>
      <c r="AO42" s="863"/>
      <c r="AP42" s="863"/>
      <c r="AQ42" s="863"/>
      <c r="AR42" s="863"/>
      <c r="AS42" s="863"/>
      <c r="AT42" s="863"/>
      <c r="AU42" s="863"/>
      <c r="AV42" s="863"/>
      <c r="AW42" s="863"/>
      <c r="AX42" s="863"/>
      <c r="AY42" s="863"/>
      <c r="AZ42" s="863"/>
      <c r="BA42" s="863"/>
      <c r="BB42" s="863"/>
      <c r="BC42" s="863"/>
      <c r="BD42" s="863"/>
      <c r="BE42" s="863"/>
      <c r="BF42" s="863"/>
      <c r="BG42" s="863"/>
      <c r="BH42" s="863"/>
      <c r="BI42" s="863"/>
      <c r="BJ42" s="863"/>
      <c r="BK42" s="863"/>
      <c r="BL42" s="863"/>
      <c r="BM42" s="863"/>
      <c r="BN42" s="863"/>
      <c r="BO42" s="863"/>
      <c r="BP42" s="863"/>
      <c r="BQ42" s="863"/>
      <c r="BR42" s="863"/>
      <c r="BS42" s="863"/>
      <c r="BT42" s="863"/>
    </row>
    <row r="43" spans="1:72">
      <c r="A43" s="869" t="s">
        <v>571</v>
      </c>
      <c r="B43" s="864" t="s">
        <v>580</v>
      </c>
      <c r="C43" s="873">
        <v>28.35</v>
      </c>
      <c r="D43" s="873">
        <v>23.27</v>
      </c>
      <c r="E43" s="873">
        <v>38.166254666132858</v>
      </c>
      <c r="F43" s="873">
        <v>44.018296607182357</v>
      </c>
      <c r="G43" s="873">
        <v>47.046046898954408</v>
      </c>
      <c r="H43" s="873">
        <v>48.050792851691</v>
      </c>
      <c r="I43" s="873">
        <v>48.201553003292787</v>
      </c>
      <c r="J43" s="873">
        <v>2004</v>
      </c>
      <c r="K43" s="877">
        <v>108.3</v>
      </c>
      <c r="L43" s="863"/>
      <c r="M43" s="863"/>
      <c r="N43" s="863"/>
      <c r="O43" s="863"/>
      <c r="P43" s="863"/>
      <c r="Q43" s="863"/>
      <c r="R43" s="863"/>
      <c r="S43" s="863"/>
      <c r="T43" s="863"/>
      <c r="U43" s="863"/>
      <c r="V43" s="863"/>
      <c r="W43" s="863"/>
      <c r="X43" s="863"/>
      <c r="Y43" s="863"/>
      <c r="Z43" s="863"/>
      <c r="AA43" s="863"/>
      <c r="AB43" s="863"/>
      <c r="AC43" s="863"/>
      <c r="AD43" s="863"/>
      <c r="AE43" s="863"/>
      <c r="AF43" s="863"/>
      <c r="AG43" s="863"/>
      <c r="AH43" s="863"/>
      <c r="AI43" s="863"/>
      <c r="AJ43" s="863"/>
      <c r="AK43" s="863"/>
      <c r="AL43" s="863"/>
      <c r="AM43" s="863"/>
      <c r="AN43" s="863"/>
      <c r="AO43" s="863"/>
      <c r="AP43" s="863"/>
      <c r="AQ43" s="863"/>
      <c r="AR43" s="863"/>
      <c r="AS43" s="863"/>
      <c r="AT43" s="863"/>
      <c r="AU43" s="863"/>
      <c r="AV43" s="863"/>
      <c r="AW43" s="863"/>
      <c r="AX43" s="863"/>
      <c r="AY43" s="863"/>
      <c r="AZ43" s="863"/>
      <c r="BA43" s="863"/>
      <c r="BB43" s="863"/>
      <c r="BC43" s="863"/>
      <c r="BD43" s="863"/>
      <c r="BE43" s="863"/>
      <c r="BF43" s="863"/>
      <c r="BG43" s="863"/>
      <c r="BH43" s="863"/>
      <c r="BI43" s="863"/>
      <c r="BJ43" s="863"/>
      <c r="BK43" s="863"/>
      <c r="BL43" s="863"/>
      <c r="BM43" s="863"/>
      <c r="BN43" s="863"/>
      <c r="BO43" s="863"/>
      <c r="BP43" s="863"/>
      <c r="BQ43" s="863"/>
      <c r="BR43" s="863"/>
      <c r="BS43" s="863"/>
      <c r="BT43" s="863"/>
    </row>
    <row r="44" spans="1:72">
      <c r="A44" s="867" t="s">
        <v>572</v>
      </c>
      <c r="B44" s="876" t="s">
        <v>581</v>
      </c>
      <c r="C44" s="871">
        <v>1.5176666666666667</v>
      </c>
      <c r="D44" s="871">
        <v>1.2925714285714285</v>
      </c>
      <c r="E44" s="871">
        <v>1.9428327208531595</v>
      </c>
      <c r="F44" s="871">
        <v>2.1262391061548653</v>
      </c>
      <c r="G44" s="871">
        <v>2.2056865867102777</v>
      </c>
      <c r="H44" s="871">
        <v>2.2243217316177319</v>
      </c>
      <c r="I44" s="871">
        <v>2.2266990166381286</v>
      </c>
      <c r="J44" s="871">
        <v>2005</v>
      </c>
      <c r="K44" s="878">
        <v>110.5</v>
      </c>
      <c r="L44" s="863"/>
      <c r="M44" s="863"/>
      <c r="N44" s="863"/>
      <c r="O44" s="863"/>
      <c r="P44" s="863"/>
      <c r="Q44" s="863"/>
      <c r="R44" s="863"/>
      <c r="S44" s="863"/>
      <c r="T44" s="863"/>
      <c r="U44" s="863"/>
      <c r="V44" s="863"/>
      <c r="W44" s="863"/>
      <c r="X44" s="863"/>
      <c r="Y44" s="863"/>
      <c r="Z44" s="863"/>
      <c r="AA44" s="863"/>
      <c r="AB44" s="863"/>
      <c r="AC44" s="863"/>
      <c r="AD44" s="863"/>
      <c r="AE44" s="863"/>
      <c r="AF44" s="863"/>
      <c r="AG44" s="863"/>
      <c r="AH44" s="863"/>
      <c r="AI44" s="863"/>
      <c r="AJ44" s="863"/>
      <c r="AK44" s="863"/>
      <c r="AL44" s="863"/>
      <c r="AM44" s="863"/>
      <c r="AN44" s="863"/>
      <c r="AO44" s="863"/>
      <c r="AP44" s="863"/>
      <c r="AQ44" s="863"/>
      <c r="AR44" s="863"/>
      <c r="AS44" s="863"/>
      <c r="AT44" s="863"/>
      <c r="AU44" s="863"/>
      <c r="AV44" s="863"/>
      <c r="AW44" s="863"/>
      <c r="AX44" s="863"/>
      <c r="AY44" s="863"/>
      <c r="AZ44" s="863"/>
      <c r="BA44" s="863"/>
      <c r="BB44" s="863"/>
      <c r="BC44" s="863"/>
      <c r="BD44" s="863"/>
      <c r="BE44" s="863"/>
      <c r="BF44" s="863"/>
      <c r="BG44" s="863"/>
      <c r="BH44" s="863"/>
      <c r="BI44" s="863"/>
      <c r="BJ44" s="863"/>
      <c r="BK44" s="863"/>
      <c r="BL44" s="863"/>
      <c r="BM44" s="863"/>
      <c r="BN44" s="863"/>
      <c r="BO44" s="863"/>
      <c r="BP44" s="863"/>
      <c r="BQ44" s="863"/>
      <c r="BR44" s="863"/>
      <c r="BS44" s="863"/>
      <c r="BT44" s="863"/>
    </row>
    <row r="45" spans="1:72">
      <c r="A45" s="869" t="s">
        <v>573</v>
      </c>
      <c r="B45" s="864" t="s">
        <v>582</v>
      </c>
      <c r="C45" s="873">
        <v>6.9</v>
      </c>
      <c r="D45" s="873">
        <v>6.4</v>
      </c>
      <c r="E45" s="873">
        <v>7.2674708046079139</v>
      </c>
      <c r="F45" s="873">
        <v>7.0885496188632935</v>
      </c>
      <c r="G45" s="873">
        <v>6.9118429447797478</v>
      </c>
      <c r="H45" s="873">
        <v>6.9722480090117775</v>
      </c>
      <c r="I45" s="873">
        <v>6.9487741854044058</v>
      </c>
      <c r="J45" s="1540" t="s">
        <v>760</v>
      </c>
      <c r="K45" s="1541"/>
      <c r="L45" s="863"/>
      <c r="M45" s="863"/>
      <c r="N45" s="863"/>
      <c r="O45" s="863"/>
      <c r="P45" s="863"/>
      <c r="Q45" s="863"/>
      <c r="R45" s="863"/>
      <c r="S45" s="863"/>
      <c r="T45" s="863"/>
      <c r="U45" s="863"/>
      <c r="V45" s="863"/>
      <c r="W45" s="863"/>
      <c r="X45" s="863"/>
      <c r="Y45" s="863"/>
      <c r="Z45" s="863"/>
      <c r="AA45" s="863"/>
      <c r="AB45" s="863"/>
      <c r="AC45" s="863"/>
      <c r="AD45" s="863"/>
      <c r="AE45" s="863"/>
      <c r="AF45" s="863"/>
      <c r="AG45" s="863"/>
      <c r="AH45" s="863"/>
      <c r="AI45" s="863"/>
      <c r="AJ45" s="863"/>
      <c r="AK45" s="863"/>
      <c r="AL45" s="863"/>
      <c r="AM45" s="863"/>
      <c r="AN45" s="863"/>
      <c r="AO45" s="863"/>
      <c r="AP45" s="863"/>
      <c r="AQ45" s="863"/>
      <c r="AR45" s="863"/>
      <c r="AS45" s="863"/>
      <c r="AT45" s="863"/>
      <c r="AU45" s="863"/>
      <c r="AV45" s="863"/>
      <c r="AW45" s="863"/>
      <c r="AX45" s="863"/>
      <c r="AY45" s="863"/>
      <c r="AZ45" s="863"/>
      <c r="BA45" s="863"/>
      <c r="BB45" s="863"/>
      <c r="BC45" s="863"/>
      <c r="BD45" s="863"/>
      <c r="BE45" s="863"/>
      <c r="BF45" s="863"/>
      <c r="BG45" s="863"/>
      <c r="BH45" s="863"/>
      <c r="BI45" s="863"/>
      <c r="BJ45" s="863"/>
      <c r="BK45" s="863"/>
      <c r="BL45" s="863"/>
      <c r="BM45" s="863"/>
      <c r="BN45" s="863"/>
      <c r="BO45" s="863"/>
      <c r="BP45" s="863"/>
      <c r="BQ45" s="863"/>
      <c r="BR45" s="863"/>
      <c r="BS45" s="863"/>
      <c r="BT45" s="863"/>
    </row>
    <row r="46" spans="1:72">
      <c r="A46" s="867" t="s">
        <v>574</v>
      </c>
      <c r="B46" s="876" t="s">
        <v>583</v>
      </c>
      <c r="C46" s="871"/>
      <c r="D46" s="871"/>
      <c r="E46" s="871">
        <v>3.9267286033597717</v>
      </c>
      <c r="F46" s="871">
        <v>3.4025762910602637</v>
      </c>
      <c r="G46" s="871">
        <v>3.7218644965506216</v>
      </c>
      <c r="H46" s="871">
        <v>4.0392206503019663</v>
      </c>
      <c r="I46" s="871">
        <v>4.0968490901035652</v>
      </c>
      <c r="J46" s="1540"/>
      <c r="K46" s="1541"/>
      <c r="L46" s="863"/>
      <c r="M46" s="863"/>
      <c r="N46" s="863"/>
      <c r="O46" s="863"/>
      <c r="P46" s="863"/>
      <c r="Q46" s="863"/>
      <c r="R46" s="863"/>
      <c r="S46" s="863"/>
      <c r="T46" s="863"/>
      <c r="U46" s="863"/>
      <c r="V46" s="863"/>
      <c r="W46" s="863"/>
      <c r="X46" s="863"/>
      <c r="Y46" s="863"/>
      <c r="Z46" s="863"/>
      <c r="AA46" s="863"/>
      <c r="AB46" s="863"/>
      <c r="AC46" s="863"/>
      <c r="AD46" s="863"/>
      <c r="AE46" s="863"/>
      <c r="AF46" s="863"/>
      <c r="AG46" s="863"/>
      <c r="AH46" s="863"/>
      <c r="AI46" s="863"/>
      <c r="AJ46" s="863"/>
      <c r="AK46" s="863"/>
      <c r="AL46" s="863"/>
      <c r="AM46" s="863"/>
      <c r="AN46" s="863"/>
      <c r="AO46" s="863"/>
      <c r="AP46" s="863"/>
      <c r="AQ46" s="863"/>
      <c r="AR46" s="863"/>
      <c r="AS46" s="863"/>
      <c r="AT46" s="863"/>
      <c r="AU46" s="863"/>
      <c r="AV46" s="863"/>
      <c r="AW46" s="863"/>
      <c r="AX46" s="863"/>
      <c r="AY46" s="863"/>
      <c r="AZ46" s="863"/>
      <c r="BA46" s="863"/>
      <c r="BB46" s="863"/>
      <c r="BC46" s="863"/>
      <c r="BD46" s="863"/>
      <c r="BE46" s="863"/>
      <c r="BF46" s="863"/>
      <c r="BG46" s="863"/>
      <c r="BH46" s="863"/>
      <c r="BI46" s="863"/>
      <c r="BJ46" s="863"/>
      <c r="BK46" s="863"/>
      <c r="BL46" s="863"/>
      <c r="BM46" s="863"/>
      <c r="BN46" s="863"/>
      <c r="BO46" s="863"/>
      <c r="BP46" s="863"/>
      <c r="BQ46" s="863"/>
      <c r="BR46" s="863"/>
      <c r="BS46" s="863"/>
      <c r="BT46" s="863"/>
    </row>
    <row r="47" spans="1:72">
      <c r="A47" s="869" t="s">
        <v>311</v>
      </c>
      <c r="B47" s="864" t="s">
        <v>583</v>
      </c>
      <c r="C47" s="873"/>
      <c r="D47" s="873"/>
      <c r="E47" s="873">
        <v>24.686324737923844</v>
      </c>
      <c r="F47" s="873">
        <v>23.090083577893328</v>
      </c>
      <c r="G47" s="873">
        <v>23.196746158381607</v>
      </c>
      <c r="H47" s="873">
        <v>23.268531873857007</v>
      </c>
      <c r="I47" s="873">
        <v>23.201243175360347</v>
      </c>
      <c r="J47" s="1540"/>
      <c r="K47" s="1541"/>
      <c r="L47" s="863"/>
      <c r="M47" s="863"/>
      <c r="N47" s="863"/>
      <c r="O47" s="863"/>
      <c r="P47" s="863"/>
      <c r="Q47" s="863"/>
      <c r="R47" s="863"/>
      <c r="S47" s="863"/>
      <c r="T47" s="863"/>
      <c r="U47" s="863"/>
      <c r="V47" s="863"/>
      <c r="W47" s="863"/>
      <c r="X47" s="863"/>
      <c r="Y47" s="863"/>
      <c r="Z47" s="863"/>
      <c r="AA47" s="863"/>
      <c r="AB47" s="863"/>
      <c r="AC47" s="863"/>
      <c r="AD47" s="863"/>
      <c r="AE47" s="863"/>
      <c r="AF47" s="863"/>
      <c r="AG47" s="863"/>
      <c r="AH47" s="863"/>
      <c r="AI47" s="863"/>
      <c r="AJ47" s="863"/>
      <c r="AK47" s="863"/>
      <c r="AL47" s="863"/>
      <c r="AM47" s="863"/>
      <c r="AN47" s="863"/>
      <c r="AO47" s="863"/>
      <c r="AP47" s="863"/>
      <c r="AQ47" s="863"/>
      <c r="AR47" s="863"/>
      <c r="AS47" s="863"/>
      <c r="AT47" s="863"/>
      <c r="AU47" s="863"/>
      <c r="AV47" s="863"/>
      <c r="AW47" s="863"/>
      <c r="AX47" s="863"/>
      <c r="AY47" s="863"/>
      <c r="AZ47" s="863"/>
      <c r="BA47" s="863"/>
      <c r="BB47" s="863"/>
      <c r="BC47" s="863"/>
      <c r="BD47" s="863"/>
      <c r="BE47" s="863"/>
      <c r="BF47" s="863"/>
      <c r="BG47" s="863"/>
      <c r="BH47" s="863"/>
      <c r="BI47" s="863"/>
      <c r="BJ47" s="863"/>
      <c r="BK47" s="863"/>
      <c r="BL47" s="863"/>
      <c r="BM47" s="863"/>
      <c r="BN47" s="863"/>
      <c r="BO47" s="863"/>
      <c r="BP47" s="863"/>
      <c r="BQ47" s="863"/>
      <c r="BR47" s="863"/>
      <c r="BS47" s="863"/>
      <c r="BT47" s="863"/>
    </row>
    <row r="48" spans="1:72" ht="38.25">
      <c r="A48" s="883" t="s">
        <v>769</v>
      </c>
      <c r="B48" s="876" t="s">
        <v>578</v>
      </c>
      <c r="C48" s="871"/>
      <c r="D48" s="871"/>
      <c r="E48" s="871">
        <v>10</v>
      </c>
      <c r="F48" s="871">
        <v>10</v>
      </c>
      <c r="G48" s="871">
        <v>10</v>
      </c>
      <c r="H48" s="871">
        <v>10</v>
      </c>
      <c r="I48" s="871"/>
      <c r="J48" s="1540"/>
      <c r="K48" s="1541"/>
      <c r="L48" s="863"/>
      <c r="M48" s="863"/>
      <c r="N48" s="863"/>
      <c r="O48" s="863"/>
      <c r="P48" s="863"/>
      <c r="Q48" s="863"/>
      <c r="R48" s="863"/>
      <c r="S48" s="863"/>
      <c r="T48" s="863"/>
      <c r="U48" s="863"/>
      <c r="V48" s="863"/>
      <c r="W48" s="863"/>
      <c r="X48" s="863"/>
      <c r="Y48" s="863"/>
      <c r="Z48" s="863"/>
      <c r="AA48" s="863"/>
      <c r="AB48" s="863"/>
      <c r="AC48" s="863"/>
      <c r="AD48" s="863"/>
      <c r="AE48" s="863"/>
      <c r="AF48" s="863"/>
      <c r="AG48" s="863"/>
      <c r="AH48" s="863"/>
      <c r="AI48" s="863"/>
      <c r="AJ48" s="863"/>
      <c r="AK48" s="863"/>
      <c r="AL48" s="863"/>
      <c r="AM48" s="863"/>
      <c r="AN48" s="863"/>
      <c r="AO48" s="863"/>
      <c r="AP48" s="863"/>
      <c r="AQ48" s="863"/>
      <c r="AR48" s="863"/>
      <c r="AS48" s="863"/>
      <c r="AT48" s="863"/>
      <c r="AU48" s="863"/>
      <c r="AV48" s="863"/>
      <c r="AW48" s="863"/>
      <c r="AX48" s="863"/>
      <c r="AY48" s="863"/>
      <c r="AZ48" s="863"/>
      <c r="BA48" s="863"/>
      <c r="BB48" s="863"/>
      <c r="BC48" s="863"/>
      <c r="BD48" s="863"/>
      <c r="BE48" s="863"/>
      <c r="BF48" s="863"/>
      <c r="BG48" s="863"/>
      <c r="BH48" s="863"/>
      <c r="BI48" s="863"/>
      <c r="BJ48" s="863"/>
      <c r="BK48" s="863"/>
      <c r="BL48" s="863"/>
      <c r="BM48" s="863"/>
      <c r="BN48" s="863"/>
      <c r="BO48" s="863"/>
      <c r="BP48" s="863"/>
      <c r="BQ48" s="863"/>
      <c r="BR48" s="863"/>
      <c r="BS48" s="863"/>
      <c r="BT48" s="863"/>
    </row>
    <row r="49" spans="1:72">
      <c r="B49" s="882" t="s">
        <v>768</v>
      </c>
      <c r="C49" s="880"/>
      <c r="D49" s="880"/>
      <c r="E49" s="880">
        <f>E48*$B$61</f>
        <v>0.65713983050847458</v>
      </c>
      <c r="F49" s="880">
        <f>F48*$B$61</f>
        <v>0.65713983050847458</v>
      </c>
      <c r="G49" s="880">
        <f>G48*$B$61</f>
        <v>0.65713983050847458</v>
      </c>
      <c r="H49" s="880">
        <f>H48*$B$61</f>
        <v>0.65713983050847458</v>
      </c>
      <c r="I49" s="880"/>
      <c r="J49" s="880"/>
      <c r="K49" s="881"/>
      <c r="L49" s="863"/>
      <c r="M49" s="863"/>
      <c r="N49" s="863"/>
      <c r="O49" s="863"/>
      <c r="P49" s="863"/>
      <c r="Q49" s="863"/>
      <c r="R49" s="863"/>
      <c r="S49" s="863"/>
      <c r="T49" s="863"/>
      <c r="U49" s="863"/>
      <c r="V49" s="863"/>
      <c r="W49" s="863"/>
      <c r="X49" s="863"/>
      <c r="Y49" s="863"/>
      <c r="Z49" s="863"/>
      <c r="AA49" s="863"/>
      <c r="AB49" s="863"/>
      <c r="AC49" s="863"/>
      <c r="AD49" s="863"/>
      <c r="AE49" s="863"/>
      <c r="AF49" s="863"/>
      <c r="AG49" s="863"/>
      <c r="AH49" s="863"/>
      <c r="AI49" s="863"/>
      <c r="AJ49" s="863"/>
      <c r="AK49" s="863"/>
      <c r="AL49" s="863"/>
      <c r="AM49" s="863"/>
      <c r="AN49" s="863"/>
      <c r="AO49" s="863"/>
      <c r="AP49" s="863"/>
      <c r="AQ49" s="863"/>
      <c r="AR49" s="863"/>
      <c r="AS49" s="863"/>
      <c r="AT49" s="863"/>
      <c r="AU49" s="863"/>
      <c r="AV49" s="863"/>
      <c r="AW49" s="863"/>
      <c r="AX49" s="863"/>
      <c r="AY49" s="863"/>
      <c r="AZ49" s="863"/>
      <c r="BA49" s="863"/>
      <c r="BB49" s="863"/>
      <c r="BC49" s="863"/>
      <c r="BD49" s="863"/>
      <c r="BE49" s="863"/>
      <c r="BF49" s="863"/>
      <c r="BG49" s="863"/>
      <c r="BH49" s="863"/>
      <c r="BI49" s="863"/>
      <c r="BJ49" s="863"/>
      <c r="BK49" s="863"/>
      <c r="BL49" s="863"/>
      <c r="BM49" s="863"/>
      <c r="BN49" s="863"/>
      <c r="BO49" s="863"/>
      <c r="BP49" s="863"/>
      <c r="BQ49" s="863"/>
      <c r="BR49" s="863"/>
      <c r="BS49" s="863"/>
      <c r="BT49" s="863"/>
    </row>
    <row r="50" spans="1:72" ht="25.5">
      <c r="A50" s="883" t="s">
        <v>770</v>
      </c>
      <c r="B50" s="744" t="s">
        <v>583</v>
      </c>
      <c r="C50" s="871"/>
      <c r="D50" s="871"/>
      <c r="E50" s="871">
        <f>E49+E46</f>
        <v>4.5838684338682461</v>
      </c>
      <c r="F50" s="871">
        <f>F49+F46</f>
        <v>4.0597161215687381</v>
      </c>
      <c r="G50" s="871">
        <f>G49+G46</f>
        <v>4.3790043270590964</v>
      </c>
      <c r="H50" s="871">
        <f>H49+H46</f>
        <v>4.6963604808104407</v>
      </c>
      <c r="I50" s="871"/>
      <c r="J50" s="880"/>
      <c r="K50" s="881"/>
      <c r="L50" s="863"/>
      <c r="M50" s="863"/>
      <c r="N50" s="863"/>
      <c r="O50" s="863"/>
      <c r="P50" s="863"/>
      <c r="Q50" s="863"/>
      <c r="R50" s="863"/>
      <c r="S50" s="863"/>
      <c r="T50" s="863"/>
      <c r="U50" s="863"/>
      <c r="V50" s="863"/>
      <c r="W50" s="863"/>
      <c r="X50" s="863"/>
      <c r="Y50" s="863"/>
      <c r="Z50" s="863"/>
      <c r="AA50" s="863"/>
      <c r="AB50" s="863"/>
      <c r="AC50" s="863"/>
      <c r="AD50" s="863"/>
      <c r="AE50" s="863"/>
      <c r="AF50" s="863"/>
      <c r="AG50" s="863"/>
      <c r="AH50" s="863"/>
      <c r="AI50" s="863"/>
      <c r="AJ50" s="863"/>
      <c r="AK50" s="863"/>
      <c r="AL50" s="863"/>
      <c r="AM50" s="863"/>
      <c r="AN50" s="863"/>
      <c r="AO50" s="863"/>
      <c r="AP50" s="863"/>
      <c r="AQ50" s="863"/>
      <c r="AR50" s="863"/>
      <c r="AS50" s="863"/>
      <c r="AT50" s="863"/>
      <c r="AU50" s="863"/>
      <c r="AV50" s="863"/>
      <c r="AW50" s="863"/>
      <c r="AX50" s="863"/>
      <c r="AY50" s="863"/>
      <c r="AZ50" s="863"/>
      <c r="BA50" s="863"/>
      <c r="BB50" s="863"/>
      <c r="BC50" s="863"/>
      <c r="BD50" s="863"/>
      <c r="BE50" s="863"/>
      <c r="BF50" s="863"/>
      <c r="BG50" s="863"/>
      <c r="BH50" s="863"/>
      <c r="BI50" s="863"/>
      <c r="BJ50" s="863"/>
      <c r="BK50" s="863"/>
      <c r="BL50" s="863"/>
      <c r="BM50" s="863"/>
      <c r="BN50" s="863"/>
      <c r="BO50" s="863"/>
      <c r="BP50" s="863"/>
      <c r="BQ50" s="863"/>
      <c r="BR50" s="863"/>
      <c r="BS50" s="863"/>
      <c r="BT50" s="863"/>
    </row>
    <row r="51" spans="1:72">
      <c r="B51" s="882"/>
      <c r="C51" s="880"/>
      <c r="D51" s="880"/>
      <c r="E51" s="880"/>
      <c r="F51" s="880"/>
      <c r="G51" s="880"/>
      <c r="H51" s="880"/>
      <c r="I51" s="880"/>
      <c r="J51" s="880"/>
      <c r="K51" s="881"/>
      <c r="L51" s="863"/>
      <c r="M51" s="863"/>
      <c r="N51" s="863"/>
      <c r="O51" s="863"/>
      <c r="P51" s="863"/>
      <c r="Q51" s="863"/>
      <c r="R51" s="863"/>
      <c r="S51" s="863"/>
      <c r="T51" s="863"/>
      <c r="U51" s="863"/>
      <c r="V51" s="863"/>
      <c r="W51" s="863"/>
      <c r="X51" s="863"/>
      <c r="Y51" s="863"/>
      <c r="Z51" s="863"/>
      <c r="AA51" s="863"/>
      <c r="AB51" s="863"/>
      <c r="AC51" s="863"/>
      <c r="AD51" s="863"/>
      <c r="AE51" s="863"/>
      <c r="AF51" s="863"/>
      <c r="AG51" s="863"/>
      <c r="AH51" s="863"/>
      <c r="AI51" s="863"/>
      <c r="AJ51" s="863"/>
      <c r="AK51" s="863"/>
      <c r="AL51" s="863"/>
      <c r="AM51" s="863"/>
      <c r="AN51" s="863"/>
      <c r="AO51" s="863"/>
      <c r="AP51" s="863"/>
      <c r="AQ51" s="863"/>
      <c r="AR51" s="863"/>
      <c r="AS51" s="863"/>
      <c r="AT51" s="863"/>
      <c r="AU51" s="863"/>
      <c r="AV51" s="863"/>
      <c r="AW51" s="863"/>
      <c r="AX51" s="863"/>
      <c r="AY51" s="863"/>
      <c r="AZ51" s="863"/>
      <c r="BA51" s="863"/>
      <c r="BB51" s="863"/>
      <c r="BC51" s="863"/>
      <c r="BD51" s="863"/>
      <c r="BE51" s="863"/>
      <c r="BF51" s="863"/>
      <c r="BG51" s="863"/>
      <c r="BH51" s="863"/>
      <c r="BI51" s="863"/>
      <c r="BJ51" s="863"/>
      <c r="BK51" s="863"/>
      <c r="BL51" s="863"/>
      <c r="BM51" s="863"/>
      <c r="BN51" s="863"/>
      <c r="BO51" s="863"/>
      <c r="BP51" s="863"/>
      <c r="BQ51" s="863"/>
      <c r="BR51" s="863"/>
      <c r="BS51" s="863"/>
      <c r="BT51" s="863"/>
    </row>
    <row r="52" spans="1:72">
      <c r="A52" s="879" t="s">
        <v>761</v>
      </c>
      <c r="B52" s="880"/>
      <c r="C52" s="880"/>
      <c r="D52" s="880"/>
      <c r="E52" s="880"/>
      <c r="F52" s="880"/>
      <c r="G52" s="880"/>
      <c r="H52" s="880"/>
      <c r="I52" s="880"/>
      <c r="J52" s="880"/>
      <c r="K52" s="881"/>
      <c r="L52" s="863"/>
      <c r="M52" s="863"/>
      <c r="N52" s="863"/>
      <c r="O52" s="863"/>
      <c r="P52" s="863"/>
      <c r="Q52" s="863"/>
      <c r="R52" s="863"/>
      <c r="S52" s="863"/>
      <c r="T52" s="863"/>
      <c r="U52" s="863"/>
      <c r="V52" s="863"/>
      <c r="W52" s="863"/>
      <c r="X52" s="863"/>
      <c r="Y52" s="863"/>
      <c r="Z52" s="863"/>
      <c r="AA52" s="863"/>
      <c r="AB52" s="863"/>
      <c r="AC52" s="863"/>
      <c r="AD52" s="863"/>
      <c r="AE52" s="863"/>
      <c r="AF52" s="863"/>
      <c r="AG52" s="863"/>
      <c r="AH52" s="863"/>
      <c r="AI52" s="863"/>
      <c r="AJ52" s="863"/>
      <c r="AK52" s="863"/>
      <c r="AL52" s="863"/>
      <c r="AM52" s="863"/>
      <c r="AN52" s="863"/>
      <c r="AO52" s="863"/>
      <c r="AP52" s="863"/>
      <c r="AQ52" s="863"/>
      <c r="AR52" s="863"/>
      <c r="AS52" s="863"/>
      <c r="AT52" s="863"/>
      <c r="AU52" s="863"/>
      <c r="AV52" s="863"/>
      <c r="AW52" s="863"/>
      <c r="AX52" s="863"/>
      <c r="AY52" s="863"/>
      <c r="AZ52" s="863"/>
      <c r="BA52" s="863"/>
      <c r="BB52" s="863"/>
      <c r="BC52" s="863"/>
      <c r="BD52" s="863"/>
      <c r="BE52" s="863"/>
      <c r="BF52" s="863"/>
      <c r="BG52" s="863"/>
      <c r="BH52" s="863"/>
      <c r="BI52" s="863"/>
      <c r="BJ52" s="863"/>
      <c r="BK52" s="863"/>
      <c r="BL52" s="863"/>
      <c r="BM52" s="863"/>
      <c r="BN52" s="863"/>
      <c r="BO52" s="863"/>
      <c r="BP52" s="863"/>
      <c r="BQ52" s="863"/>
      <c r="BR52" s="863"/>
      <c r="BS52" s="863"/>
      <c r="BT52" s="863"/>
    </row>
    <row r="53" spans="1:72">
      <c r="A53" s="1542" t="s">
        <v>762</v>
      </c>
      <c r="B53" s="1543"/>
      <c r="C53" s="1543"/>
      <c r="D53" s="1543"/>
      <c r="E53" s="1543"/>
      <c r="F53" s="1543"/>
      <c r="G53" s="1543"/>
      <c r="H53" s="1543"/>
      <c r="I53" s="1543"/>
      <c r="J53" s="1543"/>
      <c r="K53" s="1544"/>
      <c r="L53" s="863"/>
      <c r="M53" s="863"/>
      <c r="N53" s="863"/>
      <c r="O53" s="863"/>
      <c r="P53" s="863"/>
      <c r="Q53" s="863"/>
      <c r="R53" s="863"/>
      <c r="S53" s="863"/>
      <c r="T53" s="863"/>
      <c r="U53" s="863"/>
      <c r="V53" s="863"/>
      <c r="W53" s="863"/>
      <c r="X53" s="863"/>
      <c r="Y53" s="863"/>
      <c r="Z53" s="863"/>
      <c r="AA53" s="863"/>
      <c r="AB53" s="863"/>
      <c r="AC53" s="863"/>
      <c r="AD53" s="863"/>
      <c r="AE53" s="863"/>
      <c r="AF53" s="863"/>
      <c r="AG53" s="863"/>
      <c r="AH53" s="863"/>
      <c r="AI53" s="863"/>
      <c r="AJ53" s="863"/>
      <c r="AK53" s="863"/>
      <c r="AL53" s="863"/>
      <c r="AM53" s="863"/>
      <c r="AN53" s="863"/>
      <c r="AO53" s="863"/>
      <c r="AP53" s="863"/>
      <c r="AQ53" s="863"/>
      <c r="AR53" s="863"/>
      <c r="AS53" s="863"/>
      <c r="AT53" s="863"/>
      <c r="AU53" s="863"/>
      <c r="AV53" s="863"/>
      <c r="AW53" s="863"/>
      <c r="AX53" s="863"/>
      <c r="AY53" s="863"/>
      <c r="AZ53" s="863"/>
      <c r="BA53" s="863"/>
      <c r="BB53" s="863"/>
      <c r="BC53" s="863"/>
      <c r="BD53" s="863"/>
      <c r="BE53" s="863"/>
      <c r="BF53" s="863"/>
      <c r="BG53" s="863"/>
      <c r="BH53" s="863"/>
      <c r="BI53" s="863"/>
      <c r="BJ53" s="863"/>
      <c r="BK53" s="863"/>
      <c r="BL53" s="863"/>
      <c r="BM53" s="863"/>
      <c r="BN53" s="863"/>
      <c r="BO53" s="863"/>
      <c r="BP53" s="863"/>
      <c r="BQ53" s="863"/>
      <c r="BR53" s="863"/>
      <c r="BS53" s="863"/>
      <c r="BT53" s="863"/>
    </row>
    <row r="54" spans="1:72">
      <c r="A54" s="1545" t="s">
        <v>319</v>
      </c>
      <c r="B54" s="1546"/>
      <c r="C54" s="1546"/>
      <c r="D54" s="1546"/>
      <c r="E54" s="1546"/>
      <c r="F54" s="1546"/>
      <c r="G54" s="1546"/>
      <c r="H54" s="1546"/>
      <c r="I54" s="1546"/>
      <c r="J54" s="1546"/>
      <c r="K54" s="1547"/>
      <c r="L54" s="863"/>
      <c r="M54" s="863"/>
      <c r="N54" s="863"/>
      <c r="O54" s="863"/>
      <c r="P54" s="863"/>
      <c r="Q54" s="863"/>
      <c r="R54" s="863"/>
      <c r="S54" s="863"/>
      <c r="T54" s="863"/>
      <c r="U54" s="863"/>
      <c r="V54" s="863"/>
      <c r="W54" s="863"/>
      <c r="X54" s="863"/>
      <c r="Y54" s="863"/>
      <c r="Z54" s="863"/>
      <c r="AA54" s="863"/>
      <c r="AB54" s="863"/>
      <c r="AC54" s="863"/>
      <c r="AD54" s="863"/>
      <c r="AE54" s="863"/>
      <c r="AF54" s="863"/>
      <c r="AG54" s="863"/>
      <c r="AH54" s="863"/>
      <c r="AI54" s="863"/>
      <c r="AJ54" s="863"/>
      <c r="AK54" s="863"/>
      <c r="AL54" s="863"/>
      <c r="AM54" s="863"/>
      <c r="AN54" s="863"/>
      <c r="AO54" s="863"/>
      <c r="AP54" s="863"/>
      <c r="AQ54" s="863"/>
      <c r="AR54" s="863"/>
      <c r="AS54" s="863"/>
      <c r="AT54" s="863"/>
      <c r="AU54" s="863"/>
      <c r="AV54" s="863"/>
      <c r="AW54" s="863"/>
      <c r="AX54" s="863"/>
      <c r="AY54" s="863"/>
      <c r="AZ54" s="863"/>
      <c r="BA54" s="863"/>
      <c r="BB54" s="863"/>
      <c r="BC54" s="863"/>
      <c r="BD54" s="863"/>
      <c r="BE54" s="863"/>
      <c r="BF54" s="863"/>
      <c r="BG54" s="863"/>
      <c r="BH54" s="863"/>
      <c r="BI54" s="863"/>
      <c r="BJ54" s="863"/>
      <c r="BK54" s="863"/>
      <c r="BL54" s="863"/>
      <c r="BM54" s="863"/>
      <c r="BN54" s="863"/>
      <c r="BO54" s="863"/>
      <c r="BP54" s="863"/>
      <c r="BQ54" s="863"/>
      <c r="BR54" s="863"/>
      <c r="BS54" s="863"/>
      <c r="BT54" s="863"/>
    </row>
    <row r="55" spans="1:72">
      <c r="A55" s="1545"/>
      <c r="B55" s="1546"/>
      <c r="C55" s="1546"/>
      <c r="D55" s="1546"/>
      <c r="E55" s="1546"/>
      <c r="F55" s="1546"/>
      <c r="G55" s="1546"/>
      <c r="H55" s="1546"/>
      <c r="I55" s="1546"/>
      <c r="J55" s="1546"/>
      <c r="K55" s="1547"/>
      <c r="L55" s="863"/>
      <c r="M55" s="863"/>
      <c r="N55" s="863"/>
      <c r="O55" s="863"/>
      <c r="P55" s="863"/>
      <c r="Q55" s="863"/>
      <c r="R55" s="863"/>
      <c r="S55" s="863"/>
      <c r="T55" s="863"/>
      <c r="U55" s="863"/>
      <c r="V55" s="863"/>
      <c r="W55" s="863"/>
      <c r="X55" s="863"/>
      <c r="Y55" s="863"/>
      <c r="Z55" s="863"/>
      <c r="AA55" s="863"/>
      <c r="AB55" s="863"/>
      <c r="AC55" s="863"/>
      <c r="AD55" s="863"/>
      <c r="AE55" s="863"/>
      <c r="AF55" s="863"/>
      <c r="AG55" s="863"/>
      <c r="AH55" s="863"/>
      <c r="AI55" s="863"/>
      <c r="AJ55" s="863"/>
      <c r="AK55" s="863"/>
      <c r="AL55" s="863"/>
      <c r="AM55" s="863"/>
      <c r="AN55" s="863"/>
      <c r="AO55" s="863"/>
      <c r="AP55" s="863"/>
      <c r="AQ55" s="863"/>
      <c r="AR55" s="863"/>
      <c r="AS55" s="863"/>
      <c r="AT55" s="863"/>
      <c r="AU55" s="863"/>
      <c r="AV55" s="863"/>
      <c r="AW55" s="863"/>
      <c r="AX55" s="863"/>
      <c r="AY55" s="863"/>
      <c r="AZ55" s="863"/>
      <c r="BA55" s="863"/>
      <c r="BB55" s="863"/>
      <c r="BC55" s="863"/>
      <c r="BD55" s="863"/>
      <c r="BE55" s="863"/>
      <c r="BF55" s="863"/>
      <c r="BG55" s="863"/>
      <c r="BH55" s="863"/>
      <c r="BI55" s="863"/>
      <c r="BJ55" s="863"/>
      <c r="BK55" s="863"/>
      <c r="BL55" s="863"/>
      <c r="BM55" s="863"/>
      <c r="BN55" s="863"/>
      <c r="BO55" s="863"/>
      <c r="BP55" s="863"/>
      <c r="BQ55" s="863"/>
      <c r="BR55" s="863"/>
      <c r="BS55" s="863"/>
      <c r="BT55" s="863"/>
    </row>
    <row r="56" spans="1:72" ht="13.5" thickBot="1">
      <c r="A56" s="1535" t="s">
        <v>763</v>
      </c>
      <c r="B56" s="1536"/>
      <c r="C56" s="1536"/>
      <c r="D56" s="1536"/>
      <c r="E56" s="1536"/>
      <c r="F56" s="1536"/>
      <c r="G56" s="1536"/>
      <c r="H56" s="1536"/>
      <c r="I56" s="1536"/>
      <c r="J56" s="1536"/>
      <c r="K56" s="1537"/>
      <c r="L56" s="863"/>
      <c r="M56" s="863"/>
      <c r="N56" s="863"/>
      <c r="O56" s="863"/>
      <c r="P56" s="863"/>
      <c r="Q56" s="863"/>
      <c r="R56" s="863"/>
      <c r="S56" s="863"/>
      <c r="T56" s="863"/>
      <c r="U56" s="863"/>
      <c r="V56" s="863"/>
      <c r="W56" s="863"/>
      <c r="X56" s="863"/>
      <c r="Y56" s="863"/>
      <c r="Z56" s="863"/>
      <c r="AA56" s="863"/>
      <c r="AB56" s="863"/>
      <c r="AC56" s="863"/>
      <c r="AD56" s="863"/>
      <c r="AE56" s="863"/>
      <c r="AF56" s="863"/>
      <c r="AG56" s="863"/>
      <c r="AH56" s="863"/>
      <c r="AI56" s="863"/>
      <c r="AJ56" s="863"/>
      <c r="AK56" s="863"/>
      <c r="AL56" s="863"/>
      <c r="AM56" s="863"/>
      <c r="AN56" s="863"/>
      <c r="AO56" s="863"/>
      <c r="AP56" s="863"/>
      <c r="AQ56" s="863"/>
      <c r="AR56" s="863"/>
      <c r="AS56" s="863"/>
      <c r="AT56" s="863"/>
      <c r="AU56" s="863"/>
      <c r="AV56" s="863"/>
      <c r="AW56" s="863"/>
      <c r="AX56" s="863"/>
      <c r="AY56" s="863"/>
      <c r="AZ56" s="863"/>
      <c r="BA56" s="863"/>
      <c r="BB56" s="863"/>
      <c r="BC56" s="863"/>
      <c r="BD56" s="863"/>
      <c r="BE56" s="863"/>
      <c r="BF56" s="863"/>
      <c r="BG56" s="863"/>
      <c r="BH56" s="863"/>
      <c r="BI56" s="863"/>
      <c r="BJ56" s="863"/>
      <c r="BK56" s="863"/>
      <c r="BL56" s="863"/>
      <c r="BM56" s="863"/>
      <c r="BN56" s="863"/>
      <c r="BO56" s="863"/>
      <c r="BP56" s="863"/>
      <c r="BQ56" s="863"/>
      <c r="BR56" s="863"/>
      <c r="BS56" s="863"/>
      <c r="BT56" s="863"/>
    </row>
    <row r="57" spans="1:72">
      <c r="A57" s="864"/>
      <c r="B57" s="864"/>
      <c r="C57" s="864"/>
      <c r="D57" s="864"/>
      <c r="E57" s="864"/>
      <c r="F57" s="864"/>
      <c r="G57" s="864"/>
      <c r="H57" s="864"/>
      <c r="I57" s="864"/>
      <c r="J57" s="864"/>
      <c r="K57" s="864"/>
      <c r="L57" s="863"/>
      <c r="M57" s="863"/>
      <c r="N57" s="863"/>
      <c r="O57" s="863"/>
      <c r="P57" s="863"/>
      <c r="Q57" s="863"/>
      <c r="R57" s="863"/>
      <c r="S57" s="863"/>
      <c r="T57" s="863"/>
      <c r="U57" s="863"/>
      <c r="V57" s="863"/>
      <c r="W57" s="863"/>
      <c r="X57" s="863"/>
      <c r="Y57" s="863"/>
      <c r="Z57" s="863"/>
      <c r="AA57" s="863"/>
      <c r="AB57" s="863"/>
      <c r="AC57" s="863"/>
      <c r="AD57" s="863"/>
      <c r="AE57" s="863"/>
      <c r="AF57" s="863"/>
      <c r="AG57" s="863"/>
      <c r="AH57" s="863"/>
      <c r="AI57" s="863"/>
      <c r="AJ57" s="863"/>
      <c r="AK57" s="863"/>
      <c r="AL57" s="863"/>
      <c r="AM57" s="863"/>
      <c r="AN57" s="863"/>
      <c r="AO57" s="863"/>
      <c r="AP57" s="863"/>
      <c r="AQ57" s="863"/>
      <c r="AR57" s="863"/>
      <c r="AS57" s="863"/>
      <c r="AT57" s="863"/>
      <c r="AU57" s="863"/>
      <c r="AV57" s="863"/>
      <c r="AW57" s="863"/>
      <c r="AX57" s="863"/>
      <c r="AY57" s="863"/>
      <c r="AZ57" s="863"/>
      <c r="BA57" s="863"/>
      <c r="BB57" s="863"/>
      <c r="BC57" s="863"/>
      <c r="BD57" s="863"/>
      <c r="BE57" s="863"/>
      <c r="BF57" s="863"/>
      <c r="BG57" s="863"/>
      <c r="BH57" s="863"/>
      <c r="BI57" s="863"/>
      <c r="BJ57" s="863"/>
      <c r="BK57" s="863"/>
      <c r="BL57" s="863"/>
      <c r="BM57" s="863"/>
      <c r="BN57" s="863"/>
      <c r="BO57" s="863"/>
      <c r="BP57" s="863"/>
      <c r="BQ57" s="863"/>
      <c r="BR57" s="863"/>
      <c r="BS57" s="863"/>
      <c r="BT57" s="863"/>
    </row>
    <row r="58" spans="1:72">
      <c r="A58" s="863" t="s">
        <v>766</v>
      </c>
      <c r="B58" s="863"/>
      <c r="C58" s="863"/>
      <c r="D58" s="863"/>
      <c r="E58" s="863"/>
      <c r="F58" s="863"/>
      <c r="G58" s="863"/>
      <c r="H58" s="863"/>
      <c r="I58" s="863"/>
      <c r="J58" s="863"/>
      <c r="K58" s="863"/>
      <c r="L58" s="863"/>
      <c r="M58" s="863"/>
      <c r="N58" s="863"/>
      <c r="O58" s="863"/>
      <c r="P58" s="863"/>
      <c r="Q58" s="863"/>
      <c r="R58" s="863"/>
      <c r="S58" s="863"/>
      <c r="T58" s="863"/>
      <c r="U58" s="863"/>
      <c r="V58" s="863"/>
      <c r="W58" s="863"/>
      <c r="X58" s="863"/>
      <c r="Y58" s="863"/>
      <c r="Z58" s="863"/>
      <c r="AA58" s="863"/>
      <c r="AB58" s="863"/>
      <c r="AC58" s="863"/>
      <c r="AD58" s="863"/>
      <c r="AE58" s="863"/>
      <c r="AF58" s="863"/>
      <c r="AG58" s="863"/>
      <c r="AH58" s="863"/>
      <c r="AI58" s="863"/>
      <c r="AJ58" s="863"/>
      <c r="AK58" s="863"/>
      <c r="AL58" s="863"/>
      <c r="AM58" s="863"/>
      <c r="AN58" s="863"/>
      <c r="AO58" s="863"/>
      <c r="AP58" s="863"/>
      <c r="AQ58" s="863"/>
      <c r="AR58" s="863"/>
      <c r="AS58" s="863"/>
      <c r="AT58" s="863"/>
      <c r="AU58" s="863"/>
      <c r="AV58" s="863"/>
      <c r="AW58" s="863"/>
      <c r="AX58" s="863"/>
      <c r="AY58" s="863"/>
      <c r="AZ58" s="863"/>
      <c r="BA58" s="863"/>
      <c r="BB58" s="863"/>
      <c r="BC58" s="863"/>
      <c r="BD58" s="863"/>
      <c r="BE58" s="863"/>
      <c r="BF58" s="863"/>
      <c r="BG58" s="863"/>
      <c r="BH58" s="863"/>
      <c r="BI58" s="863"/>
      <c r="BJ58" s="863"/>
      <c r="BK58" s="863"/>
      <c r="BL58" s="863"/>
      <c r="BM58" s="863"/>
      <c r="BN58" s="863"/>
      <c r="BO58" s="863"/>
      <c r="BP58" s="863"/>
      <c r="BQ58" s="863"/>
      <c r="BR58" s="863"/>
      <c r="BS58" s="863"/>
      <c r="BT58" s="863"/>
    </row>
    <row r="59" spans="1:72">
      <c r="A59" s="863" t="s">
        <v>765</v>
      </c>
      <c r="B59" s="863">
        <v>19022</v>
      </c>
      <c r="C59" s="863"/>
      <c r="D59" s="863"/>
      <c r="E59" s="863"/>
      <c r="F59" s="863"/>
      <c r="G59" s="863"/>
      <c r="H59" s="863"/>
      <c r="I59" s="863"/>
      <c r="J59" s="863"/>
      <c r="K59" s="863"/>
      <c r="L59" s="863"/>
      <c r="M59" s="863"/>
      <c r="N59" s="863"/>
      <c r="O59" s="863"/>
      <c r="P59" s="863"/>
      <c r="Q59" s="863"/>
      <c r="R59" s="863"/>
      <c r="S59" s="863"/>
      <c r="T59" s="863"/>
      <c r="U59" s="863"/>
      <c r="V59" s="863"/>
      <c r="W59" s="863"/>
      <c r="X59" s="863"/>
      <c r="Y59" s="863"/>
      <c r="Z59" s="863"/>
      <c r="AA59" s="863"/>
      <c r="AB59" s="863"/>
      <c r="AC59" s="863"/>
      <c r="AD59" s="863"/>
      <c r="AE59" s="863"/>
      <c r="AF59" s="863"/>
      <c r="AG59" s="863"/>
      <c r="AH59" s="863"/>
      <c r="AI59" s="863"/>
      <c r="AJ59" s="863"/>
      <c r="AK59" s="863"/>
      <c r="AL59" s="863"/>
      <c r="AM59" s="863"/>
      <c r="AN59" s="863"/>
      <c r="AO59" s="863"/>
      <c r="AP59" s="863"/>
      <c r="AQ59" s="863"/>
      <c r="AR59" s="863"/>
      <c r="AS59" s="863"/>
      <c r="AT59" s="863"/>
      <c r="AU59" s="863"/>
      <c r="AV59" s="863"/>
      <c r="AW59" s="863"/>
      <c r="AX59" s="863"/>
      <c r="AY59" s="863"/>
      <c r="AZ59" s="863"/>
      <c r="BA59" s="863"/>
      <c r="BB59" s="863"/>
      <c r="BC59" s="863"/>
      <c r="BD59" s="863"/>
      <c r="BE59" s="863"/>
      <c r="BF59" s="863"/>
      <c r="BG59" s="863"/>
      <c r="BH59" s="863"/>
      <c r="BI59" s="863"/>
      <c r="BJ59" s="863"/>
      <c r="BK59" s="863"/>
      <c r="BL59" s="863"/>
      <c r="BM59" s="863"/>
      <c r="BN59" s="863"/>
      <c r="BO59" s="863"/>
      <c r="BP59" s="863"/>
      <c r="BQ59" s="863"/>
      <c r="BR59" s="863"/>
      <c r="BS59" s="863"/>
      <c r="BT59" s="863"/>
    </row>
    <row r="60" spans="1:72">
      <c r="A60" s="863" t="s">
        <v>764</v>
      </c>
      <c r="B60" s="863">
        <v>17700</v>
      </c>
      <c r="C60" s="863"/>
      <c r="D60" s="863"/>
      <c r="E60" s="863"/>
      <c r="F60" s="863"/>
      <c r="G60" s="863"/>
      <c r="H60" s="863"/>
      <c r="I60" s="863"/>
      <c r="J60" s="863"/>
      <c r="K60" s="863"/>
      <c r="L60" s="863"/>
      <c r="M60" s="863"/>
      <c r="N60" s="863"/>
      <c r="O60" s="863"/>
      <c r="P60" s="863"/>
      <c r="Q60" s="863"/>
      <c r="R60" s="863"/>
      <c r="S60" s="863"/>
      <c r="T60" s="863"/>
      <c r="U60" s="863"/>
      <c r="V60" s="863"/>
      <c r="W60" s="863"/>
      <c r="X60" s="863"/>
      <c r="Y60" s="863"/>
      <c r="Z60" s="863"/>
      <c r="AA60" s="863"/>
      <c r="AB60" s="863"/>
      <c r="AC60" s="863"/>
      <c r="AD60" s="863"/>
      <c r="AE60" s="863"/>
      <c r="AF60" s="863"/>
      <c r="AG60" s="863"/>
      <c r="AH60" s="863"/>
      <c r="AI60" s="863"/>
      <c r="AJ60" s="863"/>
      <c r="AK60" s="863"/>
      <c r="AL60" s="863"/>
      <c r="AM60" s="863"/>
      <c r="AN60" s="863"/>
      <c r="AO60" s="863"/>
      <c r="AP60" s="863"/>
      <c r="AQ60" s="863"/>
      <c r="AR60" s="863"/>
      <c r="AS60" s="863"/>
      <c r="AT60" s="863"/>
      <c r="AU60" s="863"/>
      <c r="AV60" s="863"/>
      <c r="AW60" s="863"/>
      <c r="AX60" s="863"/>
      <c r="AY60" s="863"/>
      <c r="AZ60" s="863"/>
      <c r="BA60" s="863"/>
      <c r="BB60" s="863"/>
      <c r="BC60" s="863"/>
      <c r="BD60" s="863"/>
      <c r="BE60" s="863"/>
      <c r="BF60" s="863"/>
      <c r="BG60" s="863"/>
      <c r="BH60" s="863"/>
      <c r="BI60" s="863"/>
      <c r="BJ60" s="863"/>
      <c r="BK60" s="863"/>
      <c r="BL60" s="863"/>
      <c r="BM60" s="863"/>
      <c r="BN60" s="863"/>
      <c r="BO60" s="863"/>
      <c r="BP60" s="863"/>
      <c r="BQ60" s="863"/>
      <c r="BR60" s="863"/>
      <c r="BS60" s="863"/>
      <c r="BT60" s="863"/>
    </row>
    <row r="61" spans="1:72">
      <c r="A61" s="863" t="s">
        <v>767</v>
      </c>
      <c r="B61" s="863">
        <f>2.205/2000/B60*mmBTU_to_GJ*1000000</f>
        <v>6.5713983050847455E-2</v>
      </c>
      <c r="C61" s="863"/>
      <c r="D61" s="863"/>
      <c r="E61" s="863"/>
      <c r="F61" s="863"/>
      <c r="G61" s="863"/>
      <c r="H61" s="863"/>
      <c r="I61" s="863"/>
      <c r="J61" s="863"/>
      <c r="K61" s="863"/>
      <c r="L61" s="863"/>
      <c r="M61" s="863"/>
      <c r="N61" s="863"/>
      <c r="O61" s="863"/>
      <c r="P61" s="863"/>
      <c r="Q61" s="863"/>
      <c r="R61" s="863"/>
      <c r="S61" s="863"/>
      <c r="T61" s="863"/>
      <c r="U61" s="863"/>
      <c r="V61" s="863"/>
      <c r="W61" s="863"/>
      <c r="X61" s="863"/>
      <c r="Y61" s="863"/>
      <c r="Z61" s="863"/>
      <c r="AA61" s="863"/>
      <c r="AB61" s="863"/>
      <c r="AC61" s="863"/>
      <c r="AD61" s="863"/>
      <c r="AE61" s="863"/>
      <c r="AF61" s="863"/>
      <c r="AG61" s="863"/>
      <c r="AH61" s="863"/>
      <c r="AI61" s="863"/>
      <c r="AJ61" s="863"/>
      <c r="AK61" s="863"/>
      <c r="AL61" s="863"/>
      <c r="AM61" s="863"/>
      <c r="AN61" s="863"/>
      <c r="AO61" s="863"/>
      <c r="AP61" s="863"/>
      <c r="AQ61" s="863"/>
      <c r="AR61" s="863"/>
      <c r="AS61" s="863"/>
      <c r="AT61" s="863"/>
      <c r="AU61" s="863"/>
      <c r="AV61" s="863"/>
      <c r="AW61" s="863"/>
      <c r="AX61" s="863"/>
      <c r="AY61" s="863"/>
      <c r="AZ61" s="863"/>
      <c r="BA61" s="863"/>
      <c r="BB61" s="863"/>
      <c r="BC61" s="863"/>
      <c r="BD61" s="863"/>
      <c r="BE61" s="863"/>
      <c r="BF61" s="863"/>
      <c r="BG61" s="863"/>
      <c r="BH61" s="863"/>
      <c r="BI61" s="863"/>
      <c r="BJ61" s="863"/>
      <c r="BK61" s="863"/>
      <c r="BL61" s="863"/>
      <c r="BM61" s="863"/>
      <c r="BN61" s="863"/>
      <c r="BO61" s="863"/>
      <c r="BP61" s="863"/>
      <c r="BQ61" s="863"/>
      <c r="BR61" s="863"/>
      <c r="BS61" s="863"/>
      <c r="BT61" s="863"/>
    </row>
    <row r="62" spans="1:72">
      <c r="A62" s="863"/>
      <c r="B62" s="863"/>
      <c r="C62" s="863"/>
      <c r="D62" s="863"/>
      <c r="E62" s="863"/>
      <c r="F62" s="863"/>
      <c r="G62" s="863"/>
      <c r="H62" s="863"/>
      <c r="I62" s="863"/>
      <c r="J62" s="863"/>
      <c r="K62" s="863"/>
      <c r="L62" s="863"/>
      <c r="M62" s="863"/>
      <c r="N62" s="863"/>
      <c r="O62" s="863"/>
      <c r="P62" s="863"/>
      <c r="Q62" s="863"/>
      <c r="R62" s="863"/>
      <c r="S62" s="863"/>
      <c r="T62" s="863"/>
      <c r="U62" s="863"/>
      <c r="V62" s="863"/>
      <c r="W62" s="863"/>
      <c r="X62" s="863"/>
      <c r="Y62" s="863"/>
      <c r="Z62" s="863"/>
      <c r="AA62" s="863"/>
      <c r="AB62" s="863"/>
      <c r="AC62" s="863"/>
      <c r="AD62" s="863"/>
      <c r="AE62" s="863"/>
      <c r="AF62" s="863"/>
      <c r="AG62" s="863"/>
      <c r="AH62" s="863"/>
      <c r="AI62" s="863"/>
      <c r="AJ62" s="863"/>
      <c r="AK62" s="863"/>
      <c r="AL62" s="863"/>
      <c r="AM62" s="863"/>
      <c r="AN62" s="863"/>
      <c r="AO62" s="863"/>
      <c r="AP62" s="863"/>
      <c r="AQ62" s="863"/>
      <c r="AR62" s="863"/>
      <c r="AS62" s="863"/>
      <c r="AT62" s="863"/>
      <c r="AU62" s="863"/>
      <c r="AV62" s="863"/>
      <c r="AW62" s="863"/>
      <c r="AX62" s="863"/>
      <c r="AY62" s="863"/>
      <c r="AZ62" s="863"/>
      <c r="BA62" s="863"/>
      <c r="BB62" s="863"/>
      <c r="BC62" s="863"/>
      <c r="BD62" s="863"/>
      <c r="BE62" s="863"/>
      <c r="BF62" s="863"/>
      <c r="BG62" s="863"/>
      <c r="BH62" s="863"/>
      <c r="BI62" s="863"/>
      <c r="BJ62" s="863"/>
      <c r="BK62" s="863"/>
      <c r="BL62" s="863"/>
      <c r="BM62" s="863"/>
      <c r="BN62" s="863"/>
      <c r="BO62" s="863"/>
      <c r="BP62" s="863"/>
      <c r="BQ62" s="863"/>
      <c r="BR62" s="863"/>
      <c r="BS62" s="863"/>
      <c r="BT62" s="863"/>
    </row>
    <row r="63" spans="1:72">
      <c r="A63" s="863"/>
      <c r="B63" s="863"/>
      <c r="C63" s="863"/>
      <c r="D63" s="863"/>
      <c r="E63" s="863"/>
      <c r="F63" s="863"/>
      <c r="G63" s="863"/>
      <c r="H63" s="863"/>
      <c r="I63" s="863"/>
      <c r="J63" s="863"/>
      <c r="K63" s="863"/>
      <c r="L63" s="863"/>
      <c r="M63" s="863"/>
      <c r="N63" s="863"/>
      <c r="O63" s="863"/>
      <c r="P63" s="863"/>
      <c r="Q63" s="863"/>
      <c r="R63" s="863"/>
      <c r="S63" s="863"/>
      <c r="T63" s="863"/>
      <c r="U63" s="863"/>
      <c r="V63" s="863"/>
      <c r="W63" s="863"/>
      <c r="X63" s="863"/>
      <c r="Y63" s="863"/>
      <c r="Z63" s="863"/>
      <c r="AA63" s="863"/>
      <c r="AB63" s="863"/>
      <c r="AC63" s="863"/>
      <c r="AD63" s="863"/>
      <c r="AE63" s="863"/>
      <c r="AF63" s="863"/>
      <c r="AG63" s="863"/>
      <c r="AH63" s="863"/>
      <c r="AI63" s="863"/>
      <c r="AJ63" s="863"/>
      <c r="AK63" s="863"/>
      <c r="AL63" s="863"/>
      <c r="AM63" s="863"/>
      <c r="AN63" s="863"/>
      <c r="AO63" s="863"/>
      <c r="AP63" s="863"/>
      <c r="AQ63" s="863"/>
      <c r="AR63" s="863"/>
      <c r="AS63" s="863"/>
      <c r="AT63" s="863"/>
      <c r="AU63" s="863"/>
      <c r="AV63" s="863"/>
      <c r="AW63" s="863"/>
      <c r="AX63" s="863"/>
      <c r="AY63" s="863"/>
      <c r="AZ63" s="863"/>
      <c r="BA63" s="863"/>
      <c r="BB63" s="863"/>
      <c r="BC63" s="863"/>
      <c r="BD63" s="863"/>
      <c r="BE63" s="863"/>
      <c r="BF63" s="863"/>
      <c r="BG63" s="863"/>
      <c r="BH63" s="863"/>
      <c r="BI63" s="863"/>
      <c r="BJ63" s="863"/>
      <c r="BK63" s="863"/>
      <c r="BL63" s="863"/>
      <c r="BM63" s="863"/>
      <c r="BN63" s="863"/>
      <c r="BO63" s="863"/>
      <c r="BP63" s="863"/>
      <c r="BQ63" s="863"/>
      <c r="BR63" s="863"/>
      <c r="BS63" s="863"/>
      <c r="BT63" s="863"/>
    </row>
    <row r="64" spans="1:72">
      <c r="A64" s="863"/>
      <c r="B64" s="863" t="s">
        <v>773</v>
      </c>
      <c r="C64" s="863" t="s">
        <v>774</v>
      </c>
      <c r="D64" s="863"/>
      <c r="E64" s="863"/>
      <c r="F64" s="863"/>
      <c r="G64" s="863"/>
      <c r="H64" s="863"/>
      <c r="I64" s="863"/>
      <c r="J64" s="863"/>
      <c r="K64" s="863"/>
      <c r="L64" s="863"/>
      <c r="M64" s="863"/>
      <c r="N64" s="863"/>
      <c r="O64" s="863"/>
      <c r="P64" s="863"/>
      <c r="Q64" s="863"/>
      <c r="R64" s="863"/>
      <c r="S64" s="863"/>
      <c r="T64" s="863"/>
      <c r="U64" s="863"/>
      <c r="V64" s="863"/>
      <c r="W64" s="863"/>
      <c r="X64" s="863"/>
      <c r="Y64" s="863"/>
      <c r="Z64" s="863"/>
      <c r="AA64" s="863"/>
      <c r="AB64" s="863"/>
      <c r="AC64" s="863"/>
      <c r="AD64" s="863"/>
      <c r="AE64" s="863"/>
      <c r="AF64" s="863"/>
      <c r="AG64" s="863"/>
      <c r="AH64" s="863"/>
      <c r="AI64" s="863"/>
      <c r="AJ64" s="863"/>
      <c r="AK64" s="863"/>
      <c r="AL64" s="863"/>
      <c r="AM64" s="863"/>
      <c r="AN64" s="863"/>
      <c r="AO64" s="863"/>
      <c r="AP64" s="863"/>
      <c r="AQ64" s="863"/>
      <c r="AR64" s="863"/>
      <c r="AS64" s="863"/>
      <c r="AT64" s="863"/>
      <c r="AU64" s="863"/>
      <c r="AV64" s="863"/>
      <c r="AW64" s="863"/>
      <c r="AX64" s="863"/>
      <c r="AY64" s="863"/>
      <c r="AZ64" s="863"/>
      <c r="BA64" s="863"/>
      <c r="BB64" s="863"/>
      <c r="BC64" s="863"/>
      <c r="BD64" s="863"/>
      <c r="BE64" s="863"/>
      <c r="BF64" s="863"/>
      <c r="BG64" s="863"/>
      <c r="BH64" s="863"/>
      <c r="BI64" s="863"/>
      <c r="BJ64" s="863"/>
      <c r="BK64" s="863"/>
      <c r="BL64" s="863"/>
      <c r="BM64" s="863"/>
      <c r="BN64" s="863"/>
      <c r="BO64" s="863"/>
      <c r="BP64" s="863"/>
      <c r="BQ64" s="863"/>
      <c r="BR64" s="863"/>
      <c r="BS64" s="863"/>
      <c r="BT64" s="863"/>
    </row>
    <row r="65" spans="1:72">
      <c r="A65" s="863"/>
      <c r="B65" s="863" t="s">
        <v>775</v>
      </c>
      <c r="C65" s="863" t="s">
        <v>776</v>
      </c>
      <c r="D65" s="863"/>
      <c r="E65" s="863"/>
      <c r="F65" s="863" t="s">
        <v>777</v>
      </c>
      <c r="G65" s="863"/>
      <c r="H65" s="863"/>
      <c r="I65" s="863"/>
      <c r="J65" s="863"/>
      <c r="K65" s="863"/>
      <c r="L65" s="863"/>
      <c r="M65" s="863"/>
      <c r="N65" s="863"/>
      <c r="O65" s="863"/>
      <c r="P65" s="863"/>
      <c r="Q65" s="863"/>
      <c r="R65" s="863"/>
      <c r="S65" s="863"/>
      <c r="T65" s="863"/>
      <c r="U65" s="863"/>
      <c r="V65" s="863"/>
      <c r="W65" s="863"/>
      <c r="X65" s="863"/>
      <c r="Y65" s="863"/>
      <c r="Z65" s="863"/>
      <c r="AA65" s="863"/>
      <c r="AB65" s="863"/>
      <c r="AC65" s="863"/>
      <c r="AD65" s="863"/>
      <c r="AE65" s="863"/>
      <c r="AF65" s="863"/>
      <c r="AG65" s="863"/>
      <c r="AH65" s="863"/>
      <c r="AI65" s="863"/>
      <c r="AJ65" s="863"/>
      <c r="AK65" s="863"/>
      <c r="AL65" s="863"/>
      <c r="AM65" s="863"/>
      <c r="AN65" s="863"/>
      <c r="AO65" s="863"/>
      <c r="AP65" s="863"/>
      <c r="AQ65" s="863"/>
      <c r="AR65" s="863"/>
      <c r="AS65" s="863"/>
      <c r="AT65" s="863"/>
      <c r="AU65" s="863"/>
      <c r="AV65" s="863"/>
      <c r="AW65" s="863"/>
      <c r="AX65" s="863"/>
      <c r="AY65" s="863"/>
      <c r="AZ65" s="863"/>
      <c r="BA65" s="863"/>
      <c r="BB65" s="863"/>
      <c r="BC65" s="863"/>
      <c r="BD65" s="863"/>
      <c r="BE65" s="863"/>
      <c r="BF65" s="863"/>
      <c r="BG65" s="863"/>
      <c r="BH65" s="863"/>
      <c r="BI65" s="863"/>
      <c r="BJ65" s="863"/>
      <c r="BK65" s="863"/>
      <c r="BL65" s="863"/>
      <c r="BM65" s="863"/>
      <c r="BN65" s="863"/>
      <c r="BO65" s="863"/>
      <c r="BP65" s="863"/>
      <c r="BQ65" s="863"/>
      <c r="BR65" s="863"/>
      <c r="BS65" s="863"/>
      <c r="BT65" s="863"/>
    </row>
    <row r="66" spans="1:72">
      <c r="A66" s="863"/>
      <c r="B66" s="863" t="s">
        <v>778</v>
      </c>
      <c r="C66" s="863" t="s">
        <v>779</v>
      </c>
      <c r="D66" s="863"/>
      <c r="E66" s="863"/>
      <c r="F66" s="863"/>
      <c r="G66" s="863"/>
      <c r="H66" s="863"/>
      <c r="I66" s="863"/>
      <c r="J66" s="863"/>
      <c r="K66" s="863"/>
      <c r="L66" s="863"/>
      <c r="M66" s="863"/>
      <c r="N66" s="863"/>
      <c r="O66" s="863"/>
      <c r="P66" s="863"/>
      <c r="Q66" s="863"/>
      <c r="R66" s="863"/>
      <c r="S66" s="863"/>
      <c r="T66" s="863"/>
      <c r="U66" s="863"/>
      <c r="V66" s="863"/>
      <c r="W66" s="863"/>
      <c r="X66" s="863"/>
      <c r="Y66" s="863"/>
      <c r="Z66" s="863"/>
      <c r="AA66" s="863"/>
      <c r="AB66" s="863"/>
      <c r="AC66" s="863"/>
      <c r="AD66" s="863"/>
      <c r="AE66" s="863"/>
      <c r="AF66" s="863"/>
      <c r="AG66" s="863"/>
      <c r="AH66" s="863"/>
      <c r="AI66" s="863"/>
      <c r="AJ66" s="863"/>
      <c r="AK66" s="863"/>
      <c r="AL66" s="863"/>
      <c r="AM66" s="863"/>
      <c r="AN66" s="863"/>
      <c r="AO66" s="863"/>
      <c r="AP66" s="863"/>
      <c r="AQ66" s="863"/>
      <c r="AR66" s="863"/>
      <c r="AS66" s="863"/>
      <c r="AT66" s="863"/>
      <c r="AU66" s="863"/>
      <c r="AV66" s="863"/>
      <c r="AW66" s="863"/>
      <c r="AX66" s="863"/>
      <c r="AY66" s="863"/>
      <c r="AZ66" s="863"/>
      <c r="BA66" s="863"/>
      <c r="BB66" s="863"/>
      <c r="BC66" s="863"/>
      <c r="BD66" s="863"/>
      <c r="BE66" s="863"/>
      <c r="BF66" s="863"/>
      <c r="BG66" s="863"/>
      <c r="BH66" s="863"/>
      <c r="BI66" s="863"/>
      <c r="BJ66" s="863"/>
      <c r="BK66" s="863"/>
      <c r="BL66" s="863"/>
      <c r="BM66" s="863"/>
      <c r="BN66" s="863"/>
      <c r="BO66" s="863"/>
      <c r="BP66" s="863"/>
      <c r="BQ66" s="863"/>
      <c r="BR66" s="863"/>
      <c r="BS66" s="863"/>
      <c r="BT66" s="863"/>
    </row>
    <row r="67" spans="1:72">
      <c r="A67" s="863"/>
      <c r="B67" s="863" t="s">
        <v>780</v>
      </c>
      <c r="C67" s="863"/>
      <c r="D67" s="863" t="s">
        <v>781</v>
      </c>
      <c r="E67" s="863"/>
      <c r="F67" s="863"/>
      <c r="G67" s="863"/>
      <c r="H67" s="863"/>
      <c r="I67" s="863"/>
      <c r="J67" s="863"/>
      <c r="K67" s="863"/>
      <c r="L67" s="863"/>
      <c r="M67" s="863"/>
      <c r="N67" s="863"/>
      <c r="O67" s="863"/>
      <c r="P67" s="863"/>
      <c r="Q67" s="863"/>
      <c r="R67" s="863"/>
      <c r="S67" s="863"/>
      <c r="T67" s="863"/>
      <c r="U67" s="863"/>
      <c r="V67" s="863"/>
      <c r="W67" s="863"/>
      <c r="X67" s="863"/>
      <c r="Y67" s="863"/>
      <c r="Z67" s="863"/>
      <c r="AA67" s="863"/>
      <c r="AB67" s="863"/>
      <c r="AC67" s="863"/>
      <c r="AD67" s="863"/>
      <c r="AE67" s="863"/>
      <c r="AF67" s="863"/>
      <c r="AG67" s="863"/>
      <c r="AH67" s="863"/>
      <c r="AI67" s="863"/>
      <c r="AJ67" s="863"/>
      <c r="AK67" s="863"/>
      <c r="AL67" s="863"/>
      <c r="AM67" s="863"/>
      <c r="AN67" s="863"/>
      <c r="AO67" s="863"/>
      <c r="AP67" s="863"/>
      <c r="AQ67" s="863"/>
      <c r="AR67" s="863"/>
      <c r="AS67" s="863"/>
      <c r="AT67" s="863"/>
      <c r="AU67" s="863"/>
      <c r="AV67" s="863"/>
      <c r="AW67" s="863"/>
      <c r="AX67" s="863"/>
      <c r="AY67" s="863"/>
      <c r="AZ67" s="863"/>
      <c r="BA67" s="863"/>
      <c r="BB67" s="863"/>
      <c r="BC67" s="863"/>
      <c r="BD67" s="863"/>
      <c r="BE67" s="863"/>
      <c r="BF67" s="863"/>
      <c r="BG67" s="863"/>
      <c r="BH67" s="863"/>
      <c r="BI67" s="863"/>
      <c r="BJ67" s="863"/>
      <c r="BK67" s="863"/>
      <c r="BL67" s="863"/>
      <c r="BM67" s="863"/>
      <c r="BN67" s="863"/>
      <c r="BO67" s="863"/>
      <c r="BP67" s="863"/>
      <c r="BQ67" s="863"/>
      <c r="BR67" s="863"/>
      <c r="BS67" s="863"/>
      <c r="BT67" s="863"/>
    </row>
    <row r="68" spans="1:72">
      <c r="A68" s="863"/>
      <c r="B68" s="863"/>
      <c r="C68" s="863"/>
      <c r="D68" s="863"/>
      <c r="E68" s="863"/>
      <c r="F68" s="863"/>
      <c r="G68" s="863"/>
      <c r="H68" s="863"/>
      <c r="I68" s="863"/>
      <c r="J68" s="863"/>
      <c r="K68" s="863"/>
      <c r="L68" s="863"/>
      <c r="M68" s="863"/>
      <c r="N68" s="863"/>
      <c r="O68" s="863"/>
      <c r="P68" s="863"/>
      <c r="Q68" s="863"/>
      <c r="R68" s="863"/>
      <c r="S68" s="863"/>
      <c r="T68" s="863"/>
      <c r="U68" s="863"/>
      <c r="V68" s="863"/>
      <c r="W68" s="863"/>
      <c r="X68" s="863"/>
      <c r="Y68" s="863"/>
      <c r="Z68" s="863"/>
      <c r="AA68" s="863"/>
      <c r="AB68" s="863"/>
      <c r="AC68" s="863"/>
      <c r="AD68" s="863"/>
      <c r="AE68" s="863"/>
      <c r="AF68" s="863"/>
      <c r="AG68" s="863"/>
      <c r="AH68" s="863"/>
      <c r="AI68" s="863"/>
      <c r="AJ68" s="863"/>
      <c r="AK68" s="863"/>
      <c r="AL68" s="863"/>
      <c r="AM68" s="863"/>
      <c r="AN68" s="863"/>
      <c r="AO68" s="863"/>
      <c r="AP68" s="863"/>
      <c r="AQ68" s="863"/>
      <c r="AR68" s="863"/>
      <c r="AS68" s="863"/>
      <c r="AT68" s="863"/>
      <c r="AU68" s="863"/>
      <c r="AV68" s="863"/>
      <c r="AW68" s="863"/>
      <c r="AX68" s="863"/>
      <c r="AY68" s="863"/>
      <c r="AZ68" s="863"/>
      <c r="BA68" s="863"/>
      <c r="BB68" s="863"/>
      <c r="BC68" s="863"/>
      <c r="BD68" s="863"/>
      <c r="BE68" s="863"/>
      <c r="BF68" s="863"/>
      <c r="BG68" s="863"/>
      <c r="BH68" s="863"/>
      <c r="BI68" s="863"/>
      <c r="BJ68" s="863"/>
      <c r="BK68" s="863"/>
      <c r="BL68" s="863"/>
      <c r="BM68" s="863"/>
      <c r="BN68" s="863"/>
      <c r="BO68" s="863"/>
      <c r="BP68" s="863"/>
      <c r="BQ68" s="863"/>
      <c r="BR68" s="863"/>
      <c r="BS68" s="863"/>
      <c r="BT68" s="863"/>
    </row>
    <row r="69" spans="1:72">
      <c r="A69" s="863"/>
      <c r="B69" s="863"/>
      <c r="C69" s="863"/>
      <c r="D69" s="863"/>
      <c r="E69" s="863"/>
      <c r="F69" s="863"/>
      <c r="G69" s="863"/>
      <c r="H69" s="863"/>
      <c r="I69" s="863"/>
      <c r="J69" s="863"/>
      <c r="K69" s="863"/>
      <c r="L69" s="863"/>
      <c r="M69" s="863"/>
      <c r="N69" s="863"/>
      <c r="O69" s="863"/>
      <c r="P69" s="863"/>
      <c r="Q69" s="863"/>
      <c r="R69" s="863"/>
      <c r="S69" s="863"/>
      <c r="T69" s="863"/>
      <c r="U69" s="863"/>
      <c r="V69" s="863"/>
      <c r="W69" s="863"/>
      <c r="X69" s="863"/>
      <c r="Y69" s="863"/>
      <c r="Z69" s="863"/>
      <c r="AA69" s="863"/>
      <c r="AB69" s="863"/>
      <c r="AC69" s="863"/>
      <c r="AD69" s="863"/>
      <c r="AE69" s="863"/>
      <c r="AF69" s="863"/>
      <c r="AG69" s="863"/>
      <c r="AH69" s="863"/>
      <c r="AI69" s="863"/>
      <c r="AJ69" s="863"/>
      <c r="AK69" s="863"/>
      <c r="AL69" s="863"/>
      <c r="AM69" s="863"/>
      <c r="AN69" s="863"/>
      <c r="AO69" s="863"/>
      <c r="AP69" s="863"/>
      <c r="AQ69" s="863"/>
      <c r="AR69" s="863"/>
      <c r="AS69" s="863"/>
      <c r="AT69" s="863"/>
      <c r="AU69" s="863"/>
      <c r="AV69" s="863"/>
      <c r="AW69" s="863"/>
      <c r="AX69" s="863"/>
      <c r="AY69" s="863"/>
      <c r="AZ69" s="863"/>
      <c r="BA69" s="863"/>
      <c r="BB69" s="863"/>
      <c r="BC69" s="863"/>
      <c r="BD69" s="863"/>
      <c r="BE69" s="863"/>
      <c r="BF69" s="863"/>
      <c r="BG69" s="863"/>
      <c r="BH69" s="863"/>
      <c r="BI69" s="863"/>
      <c r="BJ69" s="863"/>
      <c r="BK69" s="863"/>
      <c r="BL69" s="863"/>
      <c r="BM69" s="863"/>
      <c r="BN69" s="863"/>
      <c r="BO69" s="863"/>
      <c r="BP69" s="863"/>
      <c r="BQ69" s="863"/>
      <c r="BR69" s="863"/>
      <c r="BS69" s="863"/>
      <c r="BT69" s="863"/>
    </row>
    <row r="70" spans="1:72">
      <c r="A70" s="863"/>
      <c r="B70" s="863"/>
      <c r="C70" s="863"/>
      <c r="D70" s="863"/>
      <c r="E70" s="863"/>
      <c r="F70" s="863"/>
      <c r="G70" s="863"/>
      <c r="H70" s="863"/>
      <c r="I70" s="863"/>
      <c r="J70" s="863"/>
      <c r="K70" s="863"/>
      <c r="L70" s="863"/>
      <c r="M70" s="863"/>
      <c r="N70" s="863"/>
      <c r="O70" s="863"/>
      <c r="P70" s="863"/>
      <c r="Q70" s="863"/>
      <c r="R70" s="863"/>
      <c r="S70" s="863"/>
      <c r="T70" s="863"/>
      <c r="U70" s="863"/>
      <c r="V70" s="863"/>
      <c r="W70" s="863"/>
      <c r="X70" s="863"/>
      <c r="Y70" s="863"/>
      <c r="Z70" s="863"/>
      <c r="AA70" s="863"/>
      <c r="AB70" s="863"/>
      <c r="AC70" s="863"/>
      <c r="AD70" s="863"/>
      <c r="AE70" s="863"/>
      <c r="AF70" s="863"/>
      <c r="AG70" s="863"/>
      <c r="AH70" s="863"/>
      <c r="AI70" s="863"/>
      <c r="AJ70" s="863"/>
      <c r="AK70" s="863"/>
      <c r="AL70" s="863"/>
      <c r="AM70" s="863"/>
      <c r="AN70" s="863"/>
      <c r="AO70" s="863"/>
      <c r="AP70" s="863"/>
      <c r="AQ70" s="863"/>
      <c r="AR70" s="863"/>
      <c r="AS70" s="863"/>
      <c r="AT70" s="863"/>
      <c r="AU70" s="863"/>
      <c r="AV70" s="863"/>
      <c r="AW70" s="863"/>
      <c r="AX70" s="863"/>
      <c r="AY70" s="863"/>
      <c r="AZ70" s="863"/>
      <c r="BA70" s="863"/>
      <c r="BB70" s="863"/>
      <c r="BC70" s="863"/>
      <c r="BD70" s="863"/>
      <c r="BE70" s="863"/>
      <c r="BF70" s="863"/>
      <c r="BG70" s="863"/>
      <c r="BH70" s="863"/>
      <c r="BI70" s="863"/>
      <c r="BJ70" s="863"/>
      <c r="BK70" s="863"/>
      <c r="BL70" s="863"/>
      <c r="BM70" s="863"/>
      <c r="BN70" s="863"/>
      <c r="BO70" s="863"/>
      <c r="BP70" s="863"/>
      <c r="BQ70" s="863"/>
      <c r="BR70" s="863"/>
      <c r="BS70" s="863"/>
      <c r="BT70" s="863"/>
    </row>
    <row r="71" spans="1:72">
      <c r="A71" s="863"/>
      <c r="B71" s="863"/>
      <c r="C71" s="863"/>
      <c r="D71" s="863"/>
      <c r="E71" s="863"/>
      <c r="F71" s="863"/>
      <c r="G71" s="863"/>
      <c r="H71" s="863"/>
      <c r="I71" s="863"/>
      <c r="J71" s="863"/>
      <c r="K71" s="863"/>
      <c r="L71" s="863"/>
      <c r="M71" s="863"/>
      <c r="N71" s="863"/>
      <c r="O71" s="863"/>
      <c r="P71" s="863"/>
      <c r="Q71" s="863"/>
      <c r="R71" s="863"/>
      <c r="S71" s="863"/>
      <c r="T71" s="863"/>
      <c r="U71" s="863"/>
      <c r="V71" s="863"/>
      <c r="W71" s="863"/>
      <c r="X71" s="863"/>
      <c r="Y71" s="863"/>
      <c r="Z71" s="863"/>
      <c r="AA71" s="863"/>
      <c r="AB71" s="863"/>
      <c r="AC71" s="863"/>
      <c r="AD71" s="863"/>
      <c r="AE71" s="863"/>
      <c r="AF71" s="863"/>
      <c r="AG71" s="863"/>
      <c r="AH71" s="863"/>
      <c r="AI71" s="863"/>
      <c r="AJ71" s="863"/>
      <c r="AK71" s="863"/>
      <c r="AL71" s="863"/>
      <c r="AM71" s="863"/>
      <c r="AN71" s="863"/>
      <c r="AO71" s="863"/>
      <c r="AP71" s="863"/>
      <c r="AQ71" s="863"/>
      <c r="AR71" s="863"/>
      <c r="AS71" s="863"/>
      <c r="AT71" s="863"/>
      <c r="AU71" s="863"/>
      <c r="AV71" s="863"/>
      <c r="AW71" s="863"/>
      <c r="AX71" s="863"/>
      <c r="AY71" s="863"/>
      <c r="AZ71" s="863"/>
      <c r="BA71" s="863"/>
      <c r="BB71" s="863"/>
      <c r="BC71" s="863"/>
      <c r="BD71" s="863"/>
      <c r="BE71" s="863"/>
      <c r="BF71" s="863"/>
      <c r="BG71" s="863"/>
      <c r="BH71" s="863"/>
      <c r="BI71" s="863"/>
      <c r="BJ71" s="863"/>
      <c r="BK71" s="863"/>
      <c r="BL71" s="863"/>
      <c r="BM71" s="863"/>
      <c r="BN71" s="863"/>
      <c r="BO71" s="863"/>
      <c r="BP71" s="863"/>
      <c r="BQ71" s="863"/>
      <c r="BR71" s="863"/>
      <c r="BS71" s="863"/>
      <c r="BT71" s="863"/>
    </row>
    <row r="72" spans="1:72">
      <c r="A72" s="863" t="s">
        <v>782</v>
      </c>
      <c r="B72" s="863"/>
      <c r="C72" s="863"/>
      <c r="D72" s="863"/>
      <c r="E72" s="863"/>
      <c r="F72" s="863"/>
      <c r="G72" s="863"/>
      <c r="H72" s="863"/>
      <c r="I72" s="863"/>
      <c r="J72" s="863"/>
      <c r="K72" s="863"/>
      <c r="L72" s="863"/>
      <c r="M72" s="863"/>
      <c r="N72" s="863"/>
      <c r="O72" s="863"/>
      <c r="P72" s="863"/>
      <c r="Q72" s="863"/>
      <c r="R72" s="863"/>
      <c r="S72" s="863"/>
      <c r="T72" s="863"/>
      <c r="U72" s="863"/>
      <c r="V72" s="863"/>
      <c r="W72" s="863"/>
      <c r="X72" s="863"/>
      <c r="Y72" s="863"/>
      <c r="Z72" s="863"/>
      <c r="AA72" s="863"/>
      <c r="AB72" s="863"/>
      <c r="AC72" s="863"/>
      <c r="AD72" s="863"/>
      <c r="AE72" s="863"/>
      <c r="AF72" s="863"/>
      <c r="AG72" s="863"/>
      <c r="AH72" s="863"/>
      <c r="AI72" s="863"/>
      <c r="AJ72" s="863"/>
      <c r="AK72" s="863"/>
      <c r="AL72" s="863"/>
      <c r="AM72" s="863"/>
      <c r="AN72" s="863"/>
      <c r="AO72" s="863"/>
      <c r="AP72" s="863"/>
      <c r="AQ72" s="863"/>
      <c r="AR72" s="863"/>
      <c r="AS72" s="863"/>
      <c r="AT72" s="863"/>
      <c r="AU72" s="863"/>
      <c r="AV72" s="863"/>
      <c r="AW72" s="863"/>
      <c r="AX72" s="863"/>
      <c r="AY72" s="863"/>
      <c r="AZ72" s="863"/>
      <c r="BA72" s="863"/>
      <c r="BB72" s="863"/>
      <c r="BC72" s="863"/>
      <c r="BD72" s="863"/>
      <c r="BE72" s="863"/>
      <c r="BF72" s="863"/>
      <c r="BG72" s="863"/>
      <c r="BH72" s="863"/>
      <c r="BI72" s="863"/>
      <c r="BJ72" s="863"/>
      <c r="BK72" s="863"/>
      <c r="BL72" s="863"/>
      <c r="BM72" s="863"/>
      <c r="BN72" s="863"/>
      <c r="BO72" s="863"/>
      <c r="BP72" s="863"/>
      <c r="BQ72" s="863"/>
      <c r="BR72" s="863"/>
      <c r="BS72" s="863"/>
      <c r="BT72" s="863"/>
    </row>
    <row r="73" spans="1:72">
      <c r="A73" s="863"/>
      <c r="B73" s="863"/>
      <c r="C73" s="863"/>
      <c r="D73" s="863"/>
      <c r="E73" s="863"/>
      <c r="F73" s="863"/>
      <c r="G73" s="863"/>
      <c r="H73" s="863"/>
      <c r="I73" s="863"/>
      <c r="J73" s="863"/>
      <c r="K73" s="863"/>
      <c r="L73" s="863"/>
      <c r="M73" s="863"/>
      <c r="N73" s="863"/>
      <c r="O73" s="863"/>
      <c r="P73" s="863"/>
      <c r="Q73" s="863"/>
      <c r="R73" s="863"/>
      <c r="S73" s="863"/>
      <c r="T73" s="863"/>
      <c r="U73" s="863"/>
      <c r="V73" s="863"/>
      <c r="W73" s="863"/>
      <c r="X73" s="863"/>
      <c r="Y73" s="863"/>
      <c r="Z73" s="863"/>
      <c r="AA73" s="863"/>
      <c r="AB73" s="863"/>
      <c r="AC73" s="863"/>
      <c r="AD73" s="863"/>
      <c r="AE73" s="863"/>
      <c r="AF73" s="863"/>
      <c r="AG73" s="863"/>
      <c r="AH73" s="863"/>
      <c r="AI73" s="863"/>
      <c r="AJ73" s="863"/>
      <c r="AK73" s="863"/>
      <c r="AL73" s="863"/>
      <c r="AM73" s="863"/>
      <c r="AN73" s="863"/>
      <c r="AO73" s="863"/>
      <c r="AP73" s="863"/>
      <c r="AQ73" s="863"/>
      <c r="AR73" s="863"/>
      <c r="AS73" s="863"/>
      <c r="AT73" s="863"/>
      <c r="AU73" s="863"/>
      <c r="AV73" s="863"/>
      <c r="AW73" s="863"/>
      <c r="AX73" s="863"/>
      <c r="AY73" s="863"/>
      <c r="AZ73" s="863"/>
      <c r="BA73" s="863"/>
      <c r="BB73" s="863"/>
      <c r="BC73" s="863"/>
      <c r="BD73" s="863"/>
      <c r="BE73" s="863"/>
      <c r="BF73" s="863"/>
      <c r="BG73" s="863"/>
      <c r="BH73" s="863"/>
      <c r="BI73" s="863"/>
      <c r="BJ73" s="863"/>
      <c r="BK73" s="863"/>
      <c r="BL73" s="863"/>
      <c r="BM73" s="863"/>
      <c r="BN73" s="863"/>
      <c r="BO73" s="863"/>
      <c r="BP73" s="863"/>
      <c r="BQ73" s="863"/>
      <c r="BR73" s="863"/>
      <c r="BS73" s="863"/>
      <c r="BT73" s="863"/>
    </row>
    <row r="74" spans="1:72">
      <c r="A74" s="863" t="s">
        <v>783</v>
      </c>
      <c r="B74" s="863"/>
      <c r="C74" s="863"/>
      <c r="D74" s="863"/>
      <c r="E74" s="863"/>
      <c r="F74" s="863"/>
      <c r="G74" s="863"/>
      <c r="H74" s="863"/>
      <c r="I74" s="863"/>
      <c r="J74" s="863"/>
      <c r="K74" s="863"/>
      <c r="L74" s="863"/>
      <c r="M74" s="863"/>
      <c r="N74" s="863"/>
      <c r="O74" s="863"/>
      <c r="P74" s="863"/>
      <c r="Q74" s="863"/>
      <c r="R74" s="863"/>
      <c r="S74" s="863"/>
      <c r="T74" s="863"/>
      <c r="U74" s="863"/>
      <c r="V74" s="863"/>
      <c r="W74" s="863"/>
      <c r="X74" s="863"/>
      <c r="Y74" s="863"/>
      <c r="Z74" s="863"/>
      <c r="AA74" s="863"/>
      <c r="AB74" s="863"/>
      <c r="AC74" s="863"/>
      <c r="AD74" s="863"/>
      <c r="AE74" s="863"/>
      <c r="AF74" s="863"/>
      <c r="AG74" s="863"/>
      <c r="AH74" s="863"/>
      <c r="AI74" s="863"/>
      <c r="AJ74" s="863"/>
      <c r="AK74" s="863"/>
      <c r="AL74" s="863"/>
      <c r="AM74" s="863"/>
      <c r="AN74" s="863"/>
      <c r="AO74" s="863"/>
      <c r="AP74" s="863"/>
      <c r="AQ74" s="863"/>
      <c r="AR74" s="863"/>
      <c r="AS74" s="863"/>
      <c r="AT74" s="863"/>
      <c r="AU74" s="863"/>
      <c r="AV74" s="863"/>
      <c r="AW74" s="863"/>
      <c r="AX74" s="863"/>
      <c r="AY74" s="863"/>
      <c r="AZ74" s="863"/>
      <c r="BA74" s="863"/>
      <c r="BB74" s="863"/>
      <c r="BC74" s="863"/>
      <c r="BD74" s="863"/>
      <c r="BE74" s="863"/>
      <c r="BF74" s="863"/>
      <c r="BG74" s="863"/>
      <c r="BH74" s="863"/>
      <c r="BI74" s="863"/>
      <c r="BJ74" s="863"/>
      <c r="BK74" s="863"/>
      <c r="BL74" s="863"/>
      <c r="BM74" s="863"/>
      <c r="BN74" s="863"/>
      <c r="BO74" s="863"/>
      <c r="BP74" s="863"/>
      <c r="BQ74" s="863"/>
      <c r="BR74" s="863"/>
      <c r="BS74" s="863"/>
      <c r="BT74" s="863"/>
    </row>
    <row r="75" spans="1:72">
      <c r="A75" s="863" t="s">
        <v>784</v>
      </c>
      <c r="B75" s="863"/>
      <c r="C75" s="863"/>
      <c r="D75" s="863"/>
      <c r="E75" s="863"/>
      <c r="F75" s="863"/>
      <c r="G75" s="863"/>
      <c r="H75" s="863"/>
      <c r="I75" s="863"/>
      <c r="J75" s="863"/>
      <c r="K75" s="863"/>
      <c r="L75" s="863"/>
      <c r="M75" s="863"/>
      <c r="N75" s="863"/>
      <c r="O75" s="863"/>
      <c r="P75" s="863"/>
      <c r="Q75" s="863"/>
      <c r="R75" s="863"/>
      <c r="S75" s="863"/>
      <c r="T75" s="863"/>
      <c r="U75" s="863"/>
      <c r="V75" s="863"/>
      <c r="W75" s="863"/>
      <c r="X75" s="863"/>
      <c r="Y75" s="863"/>
      <c r="Z75" s="863"/>
      <c r="AA75" s="863"/>
      <c r="AB75" s="863"/>
      <c r="AC75" s="863"/>
      <c r="AD75" s="863"/>
      <c r="AE75" s="863"/>
      <c r="AF75" s="863"/>
      <c r="AG75" s="863"/>
      <c r="AH75" s="863"/>
      <c r="AI75" s="863"/>
      <c r="AJ75" s="863"/>
      <c r="AK75" s="863"/>
      <c r="AL75" s="863"/>
      <c r="AM75" s="863"/>
      <c r="AN75" s="863"/>
      <c r="AO75" s="863"/>
      <c r="AP75" s="863"/>
      <c r="AQ75" s="863"/>
      <c r="AR75" s="863"/>
      <c r="AS75" s="863"/>
      <c r="AT75" s="863"/>
      <c r="AU75" s="863"/>
      <c r="AV75" s="863"/>
      <c r="AW75" s="863"/>
      <c r="AX75" s="863"/>
      <c r="AY75" s="863"/>
      <c r="AZ75" s="863"/>
      <c r="BA75" s="863"/>
      <c r="BB75" s="863"/>
      <c r="BC75" s="863"/>
      <c r="BD75" s="863"/>
      <c r="BE75" s="863"/>
      <c r="BF75" s="863"/>
      <c r="BG75" s="863"/>
      <c r="BH75" s="863"/>
      <c r="BI75" s="863"/>
      <c r="BJ75" s="863"/>
      <c r="BK75" s="863"/>
      <c r="BL75" s="863"/>
      <c r="BM75" s="863"/>
      <c r="BN75" s="863"/>
      <c r="BO75" s="863"/>
      <c r="BP75" s="863"/>
      <c r="BQ75" s="863"/>
      <c r="BR75" s="863"/>
      <c r="BS75" s="863"/>
      <c r="BT75" s="863"/>
    </row>
    <row r="76" spans="1:72">
      <c r="A76" s="863"/>
      <c r="B76" s="863"/>
      <c r="C76" s="863"/>
      <c r="D76" s="863"/>
      <c r="E76" s="863"/>
      <c r="F76" s="863"/>
      <c r="G76" s="863"/>
      <c r="H76" s="863"/>
      <c r="I76" s="863"/>
      <c r="J76" s="863"/>
      <c r="K76" s="863"/>
      <c r="L76" s="863"/>
      <c r="M76" s="863"/>
      <c r="N76" s="863"/>
      <c r="O76" s="863"/>
      <c r="P76" s="863"/>
      <c r="Q76" s="863"/>
      <c r="R76" s="863"/>
      <c r="S76" s="863"/>
      <c r="T76" s="863"/>
      <c r="U76" s="863"/>
      <c r="V76" s="863"/>
      <c r="W76" s="863"/>
      <c r="X76" s="863"/>
      <c r="Y76" s="863"/>
      <c r="Z76" s="863"/>
      <c r="AA76" s="863"/>
      <c r="AB76" s="863"/>
      <c r="AC76" s="863"/>
      <c r="AD76" s="863"/>
      <c r="AE76" s="863" t="s">
        <v>785</v>
      </c>
      <c r="AF76" s="863"/>
      <c r="AG76" s="863"/>
      <c r="AH76" s="863"/>
      <c r="AI76" s="863"/>
      <c r="AJ76" s="863"/>
      <c r="AK76" s="863"/>
      <c r="AL76" s="863"/>
      <c r="AM76" s="863"/>
      <c r="AN76" s="863"/>
      <c r="AO76" s="863"/>
      <c r="AP76" s="863"/>
      <c r="AQ76" s="863"/>
      <c r="AR76" s="863"/>
      <c r="AS76" s="863"/>
      <c r="AT76" s="863"/>
      <c r="AU76" s="863"/>
      <c r="AV76" s="863"/>
      <c r="AW76" s="863"/>
      <c r="AX76" s="863"/>
      <c r="AY76" s="863"/>
      <c r="AZ76" s="863"/>
      <c r="BA76" s="863"/>
      <c r="BB76" s="863"/>
      <c r="BC76" s="863"/>
      <c r="BD76" s="863"/>
      <c r="BE76" s="863"/>
      <c r="BF76" s="863"/>
      <c r="BG76" s="863"/>
      <c r="BH76" s="863"/>
      <c r="BI76" s="863"/>
      <c r="BJ76" s="863"/>
      <c r="BK76" s="863"/>
      <c r="BL76" s="863"/>
      <c r="BM76" s="863"/>
      <c r="BN76" s="863"/>
      <c r="BO76" s="863"/>
      <c r="BP76" s="863"/>
      <c r="BQ76" s="863"/>
      <c r="BR76" s="863"/>
      <c r="BS76" s="863"/>
      <c r="BT76" s="863"/>
    </row>
    <row r="77" spans="1:72">
      <c r="A77" s="863" t="s">
        <v>786</v>
      </c>
      <c r="B77" s="863">
        <v>2007</v>
      </c>
      <c r="C77" s="863">
        <v>2008</v>
      </c>
      <c r="D77" s="863">
        <v>2009</v>
      </c>
      <c r="E77" s="863">
        <v>2010</v>
      </c>
      <c r="F77" s="863">
        <v>2011</v>
      </c>
      <c r="G77" s="863">
        <v>2012</v>
      </c>
      <c r="H77" s="863">
        <v>2013</v>
      </c>
      <c r="I77" s="863">
        <v>2014</v>
      </c>
      <c r="J77" s="863">
        <v>2015</v>
      </c>
      <c r="K77" s="863">
        <v>2016</v>
      </c>
      <c r="L77" s="863">
        <v>2017</v>
      </c>
      <c r="M77" s="863">
        <v>2018</v>
      </c>
      <c r="N77" s="863">
        <v>2019</v>
      </c>
      <c r="O77" s="863">
        <v>2020</v>
      </c>
      <c r="P77" s="863">
        <v>2021</v>
      </c>
      <c r="Q77" s="863">
        <v>2022</v>
      </c>
      <c r="R77" s="863">
        <v>2023</v>
      </c>
      <c r="S77" s="863">
        <v>2024</v>
      </c>
      <c r="T77" s="863">
        <v>2025</v>
      </c>
      <c r="U77" s="863">
        <v>2026</v>
      </c>
      <c r="V77" s="863">
        <v>2027</v>
      </c>
      <c r="W77" s="863">
        <v>2028</v>
      </c>
      <c r="X77" s="863">
        <v>2029</v>
      </c>
      <c r="Y77" s="863">
        <v>2030</v>
      </c>
      <c r="Z77" s="863">
        <v>2031</v>
      </c>
      <c r="AA77" s="863">
        <v>2032</v>
      </c>
      <c r="AB77" s="863">
        <v>2033</v>
      </c>
      <c r="AC77" s="863">
        <v>2034</v>
      </c>
      <c r="AD77" s="863">
        <v>2035</v>
      </c>
      <c r="AE77" s="863">
        <v>2035</v>
      </c>
      <c r="AF77" s="863"/>
      <c r="AG77" s="863"/>
      <c r="AH77" s="863"/>
      <c r="AI77" s="863"/>
      <c r="AJ77" s="863"/>
      <c r="AK77" s="863"/>
      <c r="AL77" s="863"/>
      <c r="AM77" s="863"/>
      <c r="AN77" s="863"/>
      <c r="AO77" s="863"/>
      <c r="AP77" s="863"/>
      <c r="AQ77" s="863"/>
      <c r="AR77" s="863"/>
      <c r="AS77" s="863"/>
      <c r="AT77" s="863"/>
      <c r="AU77" s="863"/>
      <c r="AV77" s="863"/>
      <c r="AW77" s="863"/>
      <c r="AX77" s="863"/>
      <c r="AY77" s="863"/>
      <c r="AZ77" s="863"/>
      <c r="BA77" s="863"/>
      <c r="BB77" s="863"/>
      <c r="BC77" s="863"/>
      <c r="BD77" s="863"/>
      <c r="BE77" s="863"/>
      <c r="BF77" s="863"/>
      <c r="BG77" s="863"/>
      <c r="BH77" s="863"/>
      <c r="BI77" s="863"/>
      <c r="BJ77" s="863"/>
      <c r="BK77" s="863"/>
      <c r="BL77" s="863"/>
      <c r="BM77" s="863"/>
      <c r="BN77" s="863"/>
      <c r="BO77" s="863"/>
      <c r="BP77" s="863"/>
      <c r="BQ77" s="863"/>
      <c r="BR77" s="863"/>
      <c r="BS77" s="863"/>
      <c r="BT77" s="863"/>
    </row>
    <row r="78" spans="1:72">
      <c r="A78" s="863"/>
      <c r="B78" s="863"/>
      <c r="C78" s="863"/>
      <c r="D78" s="863"/>
      <c r="E78" s="863"/>
      <c r="F78" s="863"/>
      <c r="G78" s="863"/>
      <c r="H78" s="863"/>
      <c r="I78" s="863"/>
      <c r="J78" s="863"/>
      <c r="K78" s="863"/>
      <c r="L78" s="863"/>
      <c r="M78" s="863"/>
      <c r="N78" s="863"/>
      <c r="O78" s="863"/>
      <c r="P78" s="863"/>
      <c r="Q78" s="863"/>
      <c r="R78" s="863"/>
      <c r="S78" s="863"/>
      <c r="T78" s="863"/>
      <c r="U78" s="863"/>
      <c r="V78" s="863"/>
      <c r="W78" s="863"/>
      <c r="X78" s="863"/>
      <c r="Y78" s="863"/>
      <c r="Z78" s="863"/>
      <c r="AA78" s="863"/>
      <c r="AB78" s="863"/>
      <c r="AC78" s="863"/>
      <c r="AD78" s="863"/>
      <c r="AE78" s="863"/>
      <c r="AF78" s="863"/>
      <c r="AG78" s="863"/>
      <c r="AH78" s="863"/>
      <c r="AI78" s="863"/>
      <c r="AJ78" s="863"/>
      <c r="AK78" s="863"/>
      <c r="AL78" s="863"/>
      <c r="AM78" s="863"/>
      <c r="AN78" s="863"/>
      <c r="AO78" s="863"/>
      <c r="AP78" s="863"/>
      <c r="AQ78" s="863"/>
      <c r="AR78" s="863"/>
      <c r="AS78" s="863"/>
      <c r="AT78" s="863"/>
      <c r="AU78" s="863"/>
      <c r="AV78" s="863"/>
      <c r="AW78" s="863"/>
      <c r="AX78" s="863"/>
      <c r="AY78" s="863"/>
      <c r="AZ78" s="863"/>
      <c r="BA78" s="863"/>
      <c r="BB78" s="863"/>
      <c r="BC78" s="863"/>
      <c r="BD78" s="863"/>
      <c r="BE78" s="863"/>
      <c r="BF78" s="863"/>
      <c r="BG78" s="863"/>
      <c r="BH78" s="863"/>
      <c r="BI78" s="863"/>
      <c r="BJ78" s="863"/>
      <c r="BK78" s="863"/>
      <c r="BL78" s="863"/>
      <c r="BM78" s="863"/>
      <c r="BN78" s="863"/>
      <c r="BO78" s="863"/>
      <c r="BP78" s="863"/>
      <c r="BQ78" s="863"/>
      <c r="BR78" s="863"/>
      <c r="BS78" s="863"/>
      <c r="BT78" s="863"/>
    </row>
    <row r="79" spans="1:72">
      <c r="A79" s="863" t="s">
        <v>472</v>
      </c>
      <c r="B79" s="863"/>
      <c r="C79" s="863"/>
      <c r="D79" s="863"/>
      <c r="E79" s="863"/>
      <c r="F79" s="863"/>
      <c r="G79" s="863"/>
      <c r="H79" s="863"/>
      <c r="I79" s="863"/>
      <c r="J79" s="863"/>
      <c r="K79" s="863"/>
      <c r="L79" s="863"/>
      <c r="M79" s="863"/>
      <c r="N79" s="863"/>
      <c r="O79" s="863"/>
      <c r="P79" s="863"/>
      <c r="Q79" s="863"/>
      <c r="R79" s="863"/>
      <c r="S79" s="863"/>
      <c r="T79" s="863"/>
      <c r="U79" s="863"/>
      <c r="V79" s="863"/>
      <c r="W79" s="863"/>
      <c r="X79" s="863"/>
      <c r="Y79" s="863"/>
      <c r="Z79" s="863"/>
      <c r="AA79" s="863"/>
      <c r="AB79" s="863"/>
      <c r="AC79" s="863"/>
      <c r="AD79" s="863"/>
      <c r="AE79" s="863"/>
      <c r="AF79" s="863"/>
      <c r="AG79" s="863"/>
      <c r="AH79" s="863"/>
      <c r="AI79" s="863"/>
      <c r="AJ79" s="863"/>
      <c r="AK79" s="863"/>
      <c r="AL79" s="863"/>
      <c r="AM79" s="863"/>
      <c r="AN79" s="863"/>
      <c r="AO79" s="863"/>
      <c r="AP79" s="863"/>
      <c r="AQ79" s="863"/>
      <c r="AR79" s="863"/>
      <c r="AS79" s="863"/>
      <c r="AT79" s="863"/>
      <c r="AU79" s="863"/>
      <c r="AV79" s="863"/>
      <c r="AW79" s="863"/>
      <c r="AX79" s="863"/>
      <c r="AY79" s="863"/>
      <c r="AZ79" s="863"/>
      <c r="BA79" s="863"/>
      <c r="BB79" s="863"/>
      <c r="BC79" s="863"/>
      <c r="BD79" s="863"/>
      <c r="BE79" s="863"/>
      <c r="BF79" s="863"/>
      <c r="BG79" s="863"/>
      <c r="BH79" s="863"/>
      <c r="BI79" s="863"/>
      <c r="BJ79" s="863"/>
      <c r="BK79" s="863"/>
      <c r="BL79" s="863"/>
      <c r="BM79" s="863"/>
      <c r="BN79" s="863"/>
      <c r="BO79" s="863"/>
      <c r="BP79" s="863"/>
      <c r="BQ79" s="863"/>
      <c r="BR79" s="863"/>
      <c r="BS79" s="863"/>
      <c r="BT79" s="863"/>
    </row>
    <row r="80" spans="1:72">
      <c r="A80" s="863" t="s">
        <v>608</v>
      </c>
      <c r="B80" s="863">
        <v>26.25</v>
      </c>
      <c r="C80" s="863">
        <v>29.35</v>
      </c>
      <c r="D80" s="863">
        <v>24.9</v>
      </c>
      <c r="E80" s="863">
        <v>24.01</v>
      </c>
      <c r="F80" s="863">
        <v>24.09</v>
      </c>
      <c r="G80" s="863">
        <v>25.25</v>
      </c>
      <c r="H80" s="863">
        <v>26.47</v>
      </c>
      <c r="I80" s="863">
        <v>27.44</v>
      </c>
      <c r="J80" s="863">
        <v>28.03</v>
      </c>
      <c r="K80" s="863">
        <v>28.67</v>
      </c>
      <c r="L80" s="863">
        <v>29.21</v>
      </c>
      <c r="M80" s="863">
        <v>29.8</v>
      </c>
      <c r="N80" s="863">
        <v>30.06</v>
      </c>
      <c r="O80" s="863">
        <v>30.29</v>
      </c>
      <c r="P80" s="863">
        <v>30.53</v>
      </c>
      <c r="Q80" s="863">
        <v>30.73</v>
      </c>
      <c r="R80" s="863">
        <v>31.01</v>
      </c>
      <c r="S80" s="863">
        <v>31.28</v>
      </c>
      <c r="T80" s="863">
        <v>31.55</v>
      </c>
      <c r="U80" s="863">
        <v>31.7</v>
      </c>
      <c r="V80" s="863">
        <v>31.98</v>
      </c>
      <c r="W80" s="863">
        <v>32.229999999999997</v>
      </c>
      <c r="X80" s="863">
        <v>32.590000000000003</v>
      </c>
      <c r="Y80" s="863">
        <v>32.81</v>
      </c>
      <c r="Z80" s="863">
        <v>33.17</v>
      </c>
      <c r="AA80" s="863">
        <v>33.51</v>
      </c>
      <c r="AB80" s="863">
        <v>33.9</v>
      </c>
      <c r="AC80" s="863">
        <v>34.26</v>
      </c>
      <c r="AD80" s="863">
        <v>34.65</v>
      </c>
      <c r="AE80" s="900">
        <v>6.0000000000000001E-3</v>
      </c>
      <c r="AF80" s="863"/>
      <c r="AG80" s="863"/>
      <c r="AH80" s="863"/>
      <c r="AI80" s="863"/>
      <c r="AJ80" s="863"/>
      <c r="AK80" s="863"/>
      <c r="AL80" s="863"/>
      <c r="AM80" s="863"/>
      <c r="AN80" s="863"/>
      <c r="AO80" s="863"/>
      <c r="AP80" s="863"/>
      <c r="AQ80" s="863"/>
      <c r="AR80" s="863"/>
      <c r="AS80" s="863"/>
      <c r="AT80" s="863"/>
      <c r="AU80" s="863"/>
      <c r="AV80" s="863"/>
      <c r="AW80" s="863"/>
      <c r="AX80" s="863"/>
      <c r="AY80" s="863"/>
      <c r="AZ80" s="863"/>
      <c r="BA80" s="863"/>
      <c r="BB80" s="863"/>
      <c r="BC80" s="863"/>
      <c r="BD80" s="863"/>
      <c r="BE80" s="863"/>
      <c r="BF80" s="863"/>
      <c r="BG80" s="863"/>
      <c r="BH80" s="863"/>
      <c r="BI80" s="863"/>
      <c r="BJ80" s="863"/>
      <c r="BK80" s="863"/>
      <c r="BL80" s="863"/>
      <c r="BM80" s="863"/>
      <c r="BN80" s="863"/>
      <c r="BO80" s="863"/>
      <c r="BP80" s="863"/>
      <c r="BQ80" s="863"/>
      <c r="BR80" s="863"/>
      <c r="BS80" s="863"/>
      <c r="BT80" s="863"/>
    </row>
    <row r="81" spans="1:72">
      <c r="A81" s="863" t="s">
        <v>609</v>
      </c>
      <c r="B81" s="863">
        <v>20.3</v>
      </c>
      <c r="C81" s="863">
        <v>24.47</v>
      </c>
      <c r="D81" s="863">
        <v>17.98</v>
      </c>
      <c r="E81" s="863">
        <v>17.57</v>
      </c>
      <c r="F81" s="863">
        <v>17.72</v>
      </c>
      <c r="G81" s="863">
        <v>18.84</v>
      </c>
      <c r="H81" s="863">
        <v>19.86</v>
      </c>
      <c r="I81" s="863">
        <v>20.58</v>
      </c>
      <c r="J81" s="863">
        <v>21.08</v>
      </c>
      <c r="K81" s="863">
        <v>22</v>
      </c>
      <c r="L81" s="863">
        <v>22.66</v>
      </c>
      <c r="M81" s="863">
        <v>23.32</v>
      </c>
      <c r="N81" s="863">
        <v>23.74</v>
      </c>
      <c r="O81" s="863">
        <v>24.1</v>
      </c>
      <c r="P81" s="863">
        <v>24.24</v>
      </c>
      <c r="Q81" s="863">
        <v>24.44</v>
      </c>
      <c r="R81" s="863">
        <v>24.76</v>
      </c>
      <c r="S81" s="863">
        <v>24.94</v>
      </c>
      <c r="T81" s="863">
        <v>25.23</v>
      </c>
      <c r="U81" s="863">
        <v>25.5</v>
      </c>
      <c r="V81" s="863">
        <v>25.72</v>
      </c>
      <c r="W81" s="863">
        <v>26.04</v>
      </c>
      <c r="X81" s="863">
        <v>26.44</v>
      </c>
      <c r="Y81" s="863">
        <v>26.61</v>
      </c>
      <c r="Z81" s="863">
        <v>27.05</v>
      </c>
      <c r="AA81" s="863">
        <v>27.45</v>
      </c>
      <c r="AB81" s="863">
        <v>27.82</v>
      </c>
      <c r="AC81" s="863">
        <v>28.24</v>
      </c>
      <c r="AD81" s="863">
        <v>28.66</v>
      </c>
      <c r="AE81" s="900">
        <v>6.0000000000000001E-3</v>
      </c>
      <c r="AF81" s="863"/>
      <c r="AG81" s="863"/>
      <c r="AH81" s="863"/>
      <c r="AI81" s="863"/>
      <c r="AJ81" s="863"/>
      <c r="AK81" s="863"/>
      <c r="AL81" s="863"/>
      <c r="AM81" s="863"/>
      <c r="AN81" s="863"/>
      <c r="AO81" s="863"/>
      <c r="AP81" s="863"/>
      <c r="AQ81" s="863"/>
      <c r="AR81" s="863"/>
      <c r="AS81" s="863"/>
      <c r="AT81" s="863"/>
      <c r="AU81" s="863"/>
      <c r="AV81" s="863"/>
      <c r="AW81" s="863"/>
      <c r="AX81" s="863"/>
      <c r="AY81" s="863"/>
      <c r="AZ81" s="863"/>
      <c r="BA81" s="863"/>
      <c r="BB81" s="863"/>
      <c r="BC81" s="863"/>
      <c r="BD81" s="863"/>
      <c r="BE81" s="863"/>
      <c r="BF81" s="863"/>
      <c r="BG81" s="863"/>
      <c r="BH81" s="863"/>
      <c r="BI81" s="863"/>
      <c r="BJ81" s="863"/>
      <c r="BK81" s="863"/>
      <c r="BL81" s="863"/>
      <c r="BM81" s="863"/>
      <c r="BN81" s="863"/>
      <c r="BO81" s="863"/>
      <c r="BP81" s="863"/>
      <c r="BQ81" s="863"/>
      <c r="BR81" s="863"/>
      <c r="BS81" s="863"/>
      <c r="BT81" s="863"/>
    </row>
    <row r="82" spans="1:72">
      <c r="A82" s="863" t="s">
        <v>509</v>
      </c>
      <c r="B82" s="863">
        <v>12.94</v>
      </c>
      <c r="C82" s="863">
        <v>13.48</v>
      </c>
      <c r="D82" s="863">
        <v>11.39</v>
      </c>
      <c r="E82" s="863">
        <v>10.89</v>
      </c>
      <c r="F82" s="863">
        <v>11.78</v>
      </c>
      <c r="G82" s="863">
        <v>11.87</v>
      </c>
      <c r="H82" s="863">
        <v>11.48</v>
      </c>
      <c r="I82" s="863">
        <v>11.41</v>
      </c>
      <c r="J82" s="863">
        <v>11.56</v>
      </c>
      <c r="K82" s="863">
        <v>11.65</v>
      </c>
      <c r="L82" s="863">
        <v>11.69</v>
      </c>
      <c r="M82" s="863">
        <v>11.76</v>
      </c>
      <c r="N82" s="863">
        <v>11.83</v>
      </c>
      <c r="O82" s="863">
        <v>11.95</v>
      </c>
      <c r="P82" s="863">
        <v>12.07</v>
      </c>
      <c r="Q82" s="863">
        <v>12.26</v>
      </c>
      <c r="R82" s="863">
        <v>12.29</v>
      </c>
      <c r="S82" s="863">
        <v>12.2</v>
      </c>
      <c r="T82" s="863">
        <v>12.29</v>
      </c>
      <c r="U82" s="863">
        <v>12.46</v>
      </c>
      <c r="V82" s="863">
        <v>12.66</v>
      </c>
      <c r="W82" s="863">
        <v>12.9</v>
      </c>
      <c r="X82" s="863">
        <v>13.16</v>
      </c>
      <c r="Y82" s="863">
        <v>13.44</v>
      </c>
      <c r="Z82" s="863">
        <v>13.78</v>
      </c>
      <c r="AA82" s="863">
        <v>13.93</v>
      </c>
      <c r="AB82" s="863">
        <v>14.03</v>
      </c>
      <c r="AC82" s="863">
        <v>14.25</v>
      </c>
      <c r="AD82" s="863">
        <v>14.4</v>
      </c>
      <c r="AE82" s="900">
        <v>2E-3</v>
      </c>
      <c r="AF82" s="863"/>
      <c r="AG82" s="863"/>
      <c r="AH82" s="863"/>
      <c r="AI82" s="863"/>
      <c r="AJ82" s="863"/>
      <c r="AK82" s="863"/>
      <c r="AL82" s="863"/>
      <c r="AM82" s="863"/>
      <c r="AN82" s="863"/>
      <c r="AO82" s="863"/>
      <c r="AP82" s="863"/>
      <c r="AQ82" s="863"/>
      <c r="AR82" s="863"/>
      <c r="AS82" s="863"/>
      <c r="AT82" s="863"/>
      <c r="AU82" s="863"/>
      <c r="AV82" s="863"/>
      <c r="AW82" s="863"/>
      <c r="AX82" s="863"/>
      <c r="AY82" s="863"/>
      <c r="AZ82" s="863"/>
      <c r="BA82" s="863"/>
      <c r="BB82" s="863"/>
      <c r="BC82" s="863"/>
      <c r="BD82" s="863"/>
      <c r="BE82" s="863"/>
      <c r="BF82" s="863"/>
      <c r="BG82" s="863"/>
      <c r="BH82" s="863"/>
      <c r="BI82" s="863"/>
      <c r="BJ82" s="863"/>
      <c r="BK82" s="863"/>
      <c r="BL82" s="863"/>
      <c r="BM82" s="863"/>
      <c r="BN82" s="863"/>
      <c r="BO82" s="863"/>
      <c r="BP82" s="863"/>
      <c r="BQ82" s="863"/>
      <c r="BR82" s="863"/>
      <c r="BS82" s="863"/>
      <c r="BT82" s="863"/>
    </row>
    <row r="83" spans="1:72">
      <c r="A83" s="863" t="s">
        <v>478</v>
      </c>
      <c r="B83" s="863">
        <v>31.82</v>
      </c>
      <c r="C83" s="863">
        <v>33.29</v>
      </c>
      <c r="D83" s="863">
        <v>32.33</v>
      </c>
      <c r="E83" s="863">
        <v>30.94</v>
      </c>
      <c r="F83" s="863">
        <v>29.9</v>
      </c>
      <c r="G83" s="863">
        <v>31.08</v>
      </c>
      <c r="H83" s="863">
        <v>31.47</v>
      </c>
      <c r="I83" s="863">
        <v>31.49</v>
      </c>
      <c r="J83" s="863">
        <v>31.43</v>
      </c>
      <c r="K83" s="863">
        <v>31.64</v>
      </c>
      <c r="L83" s="863">
        <v>31.8</v>
      </c>
      <c r="M83" s="863">
        <v>31.78</v>
      </c>
      <c r="N83" s="863">
        <v>31.68</v>
      </c>
      <c r="O83" s="863">
        <v>31.84</v>
      </c>
      <c r="P83" s="863">
        <v>32.01</v>
      </c>
      <c r="Q83" s="863">
        <v>32.08</v>
      </c>
      <c r="R83" s="863">
        <v>32.200000000000003</v>
      </c>
      <c r="S83" s="863">
        <v>32.28</v>
      </c>
      <c r="T83" s="863">
        <v>32.26</v>
      </c>
      <c r="U83" s="863">
        <v>32.4</v>
      </c>
      <c r="V83" s="863">
        <v>32.57</v>
      </c>
      <c r="W83" s="863">
        <v>32.729999999999997</v>
      </c>
      <c r="X83" s="863">
        <v>33.130000000000003</v>
      </c>
      <c r="Y83" s="863">
        <v>33.46</v>
      </c>
      <c r="Z83" s="863">
        <v>33.81</v>
      </c>
      <c r="AA83" s="863">
        <v>34.11</v>
      </c>
      <c r="AB83" s="863">
        <v>34.26</v>
      </c>
      <c r="AC83" s="863">
        <v>34.49</v>
      </c>
      <c r="AD83" s="863">
        <v>34.71</v>
      </c>
      <c r="AE83" s="900">
        <v>2E-3</v>
      </c>
      <c r="AF83" s="863"/>
      <c r="AG83" s="863"/>
      <c r="AH83" s="863"/>
      <c r="AI83" s="863"/>
      <c r="AJ83" s="863"/>
      <c r="AK83" s="863"/>
      <c r="AL83" s="863"/>
      <c r="AM83" s="863"/>
      <c r="AN83" s="863"/>
      <c r="AO83" s="863"/>
      <c r="AP83" s="863"/>
      <c r="AQ83" s="863"/>
      <c r="AR83" s="863"/>
      <c r="AS83" s="863"/>
      <c r="AT83" s="863"/>
      <c r="AU83" s="863"/>
      <c r="AV83" s="863"/>
      <c r="AW83" s="863"/>
      <c r="AX83" s="863"/>
      <c r="AY83" s="863"/>
      <c r="AZ83" s="863"/>
      <c r="BA83" s="863"/>
      <c r="BB83" s="863"/>
      <c r="BC83" s="863"/>
      <c r="BD83" s="863"/>
      <c r="BE83" s="863"/>
      <c r="BF83" s="863"/>
      <c r="BG83" s="863"/>
      <c r="BH83" s="863"/>
      <c r="BI83" s="863"/>
      <c r="BJ83" s="863"/>
      <c r="BK83" s="863"/>
      <c r="BL83" s="863"/>
      <c r="BM83" s="863"/>
      <c r="BN83" s="863"/>
      <c r="BO83" s="863"/>
      <c r="BP83" s="863"/>
      <c r="BQ83" s="863"/>
      <c r="BR83" s="863"/>
      <c r="BS83" s="863"/>
      <c r="BT83" s="863"/>
    </row>
    <row r="84" spans="1:72">
      <c r="A84" s="863"/>
      <c r="B84" s="863"/>
      <c r="C84" s="863"/>
      <c r="D84" s="863"/>
      <c r="E84" s="863"/>
      <c r="F84" s="863"/>
      <c r="G84" s="863"/>
      <c r="H84" s="863"/>
      <c r="I84" s="863"/>
      <c r="J84" s="863"/>
      <c r="K84" s="863"/>
      <c r="L84" s="863"/>
      <c r="M84" s="863"/>
      <c r="N84" s="863"/>
      <c r="O84" s="863"/>
      <c r="P84" s="863"/>
      <c r="Q84" s="863"/>
      <c r="R84" s="863"/>
      <c r="S84" s="863"/>
      <c r="T84" s="863"/>
      <c r="U84" s="863"/>
      <c r="V84" s="863"/>
      <c r="W84" s="863"/>
      <c r="X84" s="863"/>
      <c r="Y84" s="863"/>
      <c r="Z84" s="863"/>
      <c r="AA84" s="863"/>
      <c r="AB84" s="863"/>
      <c r="AC84" s="863"/>
      <c r="AD84" s="863"/>
      <c r="AE84" s="863"/>
      <c r="AF84" s="863"/>
      <c r="AG84" s="863"/>
      <c r="AH84" s="863"/>
      <c r="AI84" s="863"/>
      <c r="AJ84" s="863"/>
      <c r="AK84" s="863"/>
      <c r="AL84" s="863"/>
      <c r="AM84" s="863"/>
      <c r="AN84" s="863"/>
      <c r="AO84" s="863"/>
      <c r="AP84" s="863"/>
      <c r="AQ84" s="863"/>
      <c r="AR84" s="863"/>
      <c r="AS84" s="863"/>
      <c r="AT84" s="863"/>
      <c r="AU84" s="863"/>
      <c r="AV84" s="863"/>
      <c r="AW84" s="863"/>
      <c r="AX84" s="863"/>
      <c r="AY84" s="863"/>
      <c r="AZ84" s="863"/>
      <c r="BA84" s="863"/>
      <c r="BB84" s="863"/>
      <c r="BC84" s="863"/>
      <c r="BD84" s="863"/>
      <c r="BE84" s="863"/>
      <c r="BF84" s="863"/>
      <c r="BG84" s="863"/>
      <c r="BH84" s="863"/>
      <c r="BI84" s="863"/>
      <c r="BJ84" s="863"/>
      <c r="BK84" s="863"/>
      <c r="BL84" s="863"/>
      <c r="BM84" s="863"/>
      <c r="BN84" s="863"/>
      <c r="BO84" s="863"/>
      <c r="BP84" s="863"/>
      <c r="BQ84" s="863"/>
      <c r="BR84" s="863"/>
      <c r="BS84" s="863"/>
      <c r="BT84" s="863"/>
    </row>
    <row r="85" spans="1:72">
      <c r="A85" s="863" t="s">
        <v>479</v>
      </c>
      <c r="B85" s="863"/>
      <c r="C85" s="863"/>
      <c r="D85" s="863"/>
      <c r="E85" s="863"/>
      <c r="F85" s="863"/>
      <c r="G85" s="863"/>
      <c r="H85" s="863"/>
      <c r="I85" s="863"/>
      <c r="J85" s="863"/>
      <c r="K85" s="863"/>
      <c r="L85" s="863"/>
      <c r="M85" s="863"/>
      <c r="N85" s="863"/>
      <c r="O85" s="863"/>
      <c r="P85" s="863"/>
      <c r="Q85" s="863"/>
      <c r="R85" s="863"/>
      <c r="S85" s="863"/>
      <c r="T85" s="863"/>
      <c r="U85" s="863"/>
      <c r="V85" s="863"/>
      <c r="W85" s="863"/>
      <c r="X85" s="863"/>
      <c r="Y85" s="863"/>
      <c r="Z85" s="863"/>
      <c r="AA85" s="863"/>
      <c r="AB85" s="863"/>
      <c r="AC85" s="863"/>
      <c r="AD85" s="863"/>
      <c r="AE85" s="863"/>
      <c r="AF85" s="863"/>
      <c r="AG85" s="863"/>
      <c r="AH85" s="863"/>
      <c r="AI85" s="863"/>
      <c r="AJ85" s="863"/>
      <c r="AK85" s="863"/>
      <c r="AL85" s="863"/>
      <c r="AM85" s="863"/>
      <c r="AN85" s="863"/>
      <c r="AO85" s="863"/>
      <c r="AP85" s="863"/>
      <c r="AQ85" s="863"/>
      <c r="AR85" s="863"/>
      <c r="AS85" s="863"/>
      <c r="AT85" s="863"/>
      <c r="AU85" s="863"/>
      <c r="AV85" s="863"/>
      <c r="AW85" s="863"/>
      <c r="AX85" s="863"/>
      <c r="AY85" s="863"/>
      <c r="AZ85" s="863"/>
      <c r="BA85" s="863"/>
      <c r="BB85" s="863"/>
      <c r="BC85" s="863"/>
      <c r="BD85" s="863"/>
      <c r="BE85" s="863"/>
      <c r="BF85" s="863"/>
      <c r="BG85" s="863"/>
      <c r="BH85" s="863"/>
      <c r="BI85" s="863"/>
      <c r="BJ85" s="863"/>
      <c r="BK85" s="863"/>
      <c r="BL85" s="863"/>
      <c r="BM85" s="863"/>
      <c r="BN85" s="863"/>
      <c r="BO85" s="863"/>
      <c r="BP85" s="863"/>
      <c r="BQ85" s="863"/>
      <c r="BR85" s="863"/>
      <c r="BS85" s="863"/>
      <c r="BT85" s="863"/>
    </row>
    <row r="86" spans="1:72">
      <c r="A86" s="863" t="s">
        <v>608</v>
      </c>
      <c r="B86" s="863">
        <v>20.65</v>
      </c>
      <c r="C86" s="863">
        <v>26.15</v>
      </c>
      <c r="D86" s="863">
        <v>19.82</v>
      </c>
      <c r="E86" s="863">
        <v>20.78</v>
      </c>
      <c r="F86" s="863">
        <v>20.86</v>
      </c>
      <c r="G86" s="863">
        <v>22.02</v>
      </c>
      <c r="H86" s="863">
        <v>23.23</v>
      </c>
      <c r="I86" s="863">
        <v>24.19</v>
      </c>
      <c r="J86" s="863">
        <v>24.77</v>
      </c>
      <c r="K86" s="863">
        <v>25.41</v>
      </c>
      <c r="L86" s="863">
        <v>25.95</v>
      </c>
      <c r="M86" s="863">
        <v>26.53</v>
      </c>
      <c r="N86" s="863">
        <v>26.79</v>
      </c>
      <c r="O86" s="863">
        <v>27.02</v>
      </c>
      <c r="P86" s="863">
        <v>27.25</v>
      </c>
      <c r="Q86" s="863">
        <v>27.46</v>
      </c>
      <c r="R86" s="863">
        <v>27.73</v>
      </c>
      <c r="S86" s="863">
        <v>28</v>
      </c>
      <c r="T86" s="863">
        <v>28.26</v>
      </c>
      <c r="U86" s="863">
        <v>28.41</v>
      </c>
      <c r="V86" s="863">
        <v>28.68</v>
      </c>
      <c r="W86" s="863">
        <v>28.93</v>
      </c>
      <c r="X86" s="863">
        <v>29.28</v>
      </c>
      <c r="Y86" s="863">
        <v>29.5</v>
      </c>
      <c r="Z86" s="863">
        <v>29.86</v>
      </c>
      <c r="AA86" s="863">
        <v>30.19</v>
      </c>
      <c r="AB86" s="863">
        <v>30.58</v>
      </c>
      <c r="AC86" s="863">
        <v>30.94</v>
      </c>
      <c r="AD86" s="863">
        <v>31.32</v>
      </c>
      <c r="AE86" s="900">
        <v>7.0000000000000001E-3</v>
      </c>
      <c r="AF86" s="863"/>
      <c r="AG86" s="863"/>
      <c r="AH86" s="863"/>
      <c r="AI86" s="863"/>
      <c r="AJ86" s="863"/>
      <c r="AK86" s="863"/>
      <c r="AL86" s="863"/>
      <c r="AM86" s="863"/>
      <c r="AN86" s="863"/>
      <c r="AO86" s="863"/>
      <c r="AP86" s="863"/>
      <c r="AQ86" s="863"/>
      <c r="AR86" s="863"/>
      <c r="AS86" s="863"/>
      <c r="AT86" s="863"/>
      <c r="AU86" s="863"/>
      <c r="AV86" s="863"/>
      <c r="AW86" s="863"/>
      <c r="AX86" s="863"/>
      <c r="AY86" s="863"/>
      <c r="AZ86" s="863"/>
      <c r="BA86" s="863"/>
      <c r="BB86" s="863"/>
      <c r="BC86" s="863"/>
      <c r="BD86" s="863"/>
      <c r="BE86" s="863"/>
      <c r="BF86" s="863"/>
      <c r="BG86" s="863"/>
      <c r="BH86" s="863"/>
      <c r="BI86" s="863"/>
      <c r="BJ86" s="863"/>
      <c r="BK86" s="863"/>
      <c r="BL86" s="863"/>
      <c r="BM86" s="863"/>
      <c r="BN86" s="863"/>
      <c r="BO86" s="863"/>
      <c r="BP86" s="863"/>
      <c r="BQ86" s="863"/>
      <c r="BR86" s="863"/>
      <c r="BS86" s="863"/>
      <c r="BT86" s="863"/>
    </row>
    <row r="87" spans="1:72">
      <c r="A87" s="863" t="s">
        <v>609</v>
      </c>
      <c r="B87" s="863">
        <v>17.48</v>
      </c>
      <c r="C87" s="863">
        <v>21.5</v>
      </c>
      <c r="D87" s="863">
        <v>15.8</v>
      </c>
      <c r="E87" s="863">
        <v>14.82</v>
      </c>
      <c r="F87" s="863">
        <v>15.24</v>
      </c>
      <c r="G87" s="863">
        <v>16.38</v>
      </c>
      <c r="H87" s="863">
        <v>17.399999999999999</v>
      </c>
      <c r="I87" s="863">
        <v>18.11</v>
      </c>
      <c r="J87" s="863">
        <v>18.72</v>
      </c>
      <c r="K87" s="863">
        <v>19.559999999999999</v>
      </c>
      <c r="L87" s="863">
        <v>20.2</v>
      </c>
      <c r="M87" s="863">
        <v>20.84</v>
      </c>
      <c r="N87" s="863">
        <v>21.26</v>
      </c>
      <c r="O87" s="863">
        <v>21.6</v>
      </c>
      <c r="P87" s="863">
        <v>21.78</v>
      </c>
      <c r="Q87" s="863">
        <v>22.04</v>
      </c>
      <c r="R87" s="863">
        <v>22.29</v>
      </c>
      <c r="S87" s="863">
        <v>22.43</v>
      </c>
      <c r="T87" s="863">
        <v>22.72</v>
      </c>
      <c r="U87" s="863">
        <v>22.97</v>
      </c>
      <c r="V87" s="863">
        <v>23.21</v>
      </c>
      <c r="W87" s="863">
        <v>23.53</v>
      </c>
      <c r="X87" s="863">
        <v>23.93</v>
      </c>
      <c r="Y87" s="863">
        <v>24.11</v>
      </c>
      <c r="Z87" s="863">
        <v>24.54</v>
      </c>
      <c r="AA87" s="863">
        <v>24.94</v>
      </c>
      <c r="AB87" s="863">
        <v>25.28</v>
      </c>
      <c r="AC87" s="863">
        <v>25.69</v>
      </c>
      <c r="AD87" s="863">
        <v>26.13</v>
      </c>
      <c r="AE87" s="900">
        <v>7.0000000000000001E-3</v>
      </c>
      <c r="AF87" s="863"/>
      <c r="AG87" s="863"/>
      <c r="AH87" s="863"/>
      <c r="AI87" s="863"/>
      <c r="AJ87" s="863"/>
      <c r="AK87" s="863"/>
      <c r="AL87" s="863"/>
      <c r="AM87" s="863"/>
      <c r="AN87" s="863"/>
      <c r="AO87" s="863"/>
      <c r="AP87" s="863"/>
      <c r="AQ87" s="863"/>
      <c r="AR87" s="863"/>
      <c r="AS87" s="863"/>
      <c r="AT87" s="863"/>
      <c r="AU87" s="863"/>
      <c r="AV87" s="863"/>
      <c r="AW87" s="863"/>
      <c r="AX87" s="863"/>
      <c r="AY87" s="863"/>
      <c r="AZ87" s="863"/>
      <c r="BA87" s="863"/>
      <c r="BB87" s="863"/>
      <c r="BC87" s="863"/>
      <c r="BD87" s="863"/>
      <c r="BE87" s="863"/>
      <c r="BF87" s="863"/>
      <c r="BG87" s="863"/>
      <c r="BH87" s="863"/>
      <c r="BI87" s="863"/>
      <c r="BJ87" s="863"/>
      <c r="BK87" s="863"/>
      <c r="BL87" s="863"/>
      <c r="BM87" s="863"/>
      <c r="BN87" s="863"/>
      <c r="BO87" s="863"/>
      <c r="BP87" s="863"/>
      <c r="BQ87" s="863"/>
      <c r="BR87" s="863"/>
      <c r="BS87" s="863"/>
      <c r="BT87" s="863"/>
    </row>
    <row r="88" spans="1:72">
      <c r="A88" s="863" t="s">
        <v>722</v>
      </c>
      <c r="B88" s="863">
        <v>8.39</v>
      </c>
      <c r="C88" s="863">
        <v>15.52</v>
      </c>
      <c r="D88" s="863">
        <v>9.27</v>
      </c>
      <c r="E88" s="863">
        <v>9.4499999999999993</v>
      </c>
      <c r="F88" s="863">
        <v>9.6300000000000008</v>
      </c>
      <c r="G88" s="863">
        <v>10.85</v>
      </c>
      <c r="H88" s="863">
        <v>11.98</v>
      </c>
      <c r="I88" s="863">
        <v>12.76</v>
      </c>
      <c r="J88" s="863">
        <v>13.13</v>
      </c>
      <c r="K88" s="863">
        <v>13.68</v>
      </c>
      <c r="L88" s="863">
        <v>14.17</v>
      </c>
      <c r="M88" s="863">
        <v>14.69</v>
      </c>
      <c r="N88" s="863">
        <v>15.26</v>
      </c>
      <c r="O88" s="863">
        <v>15.46</v>
      </c>
      <c r="P88" s="863">
        <v>15.68</v>
      </c>
      <c r="Q88" s="863">
        <v>15.89</v>
      </c>
      <c r="R88" s="863">
        <v>16.12</v>
      </c>
      <c r="S88" s="863">
        <v>16.34</v>
      </c>
      <c r="T88" s="863">
        <v>16.54</v>
      </c>
      <c r="U88" s="863">
        <v>16.63</v>
      </c>
      <c r="V88" s="863">
        <v>16.82</v>
      </c>
      <c r="W88" s="863">
        <v>17.059999999999999</v>
      </c>
      <c r="X88" s="863">
        <v>17.28</v>
      </c>
      <c r="Y88" s="863">
        <v>17.54</v>
      </c>
      <c r="Z88" s="863">
        <v>17.89</v>
      </c>
      <c r="AA88" s="863">
        <v>18.12</v>
      </c>
      <c r="AB88" s="863">
        <v>18.25</v>
      </c>
      <c r="AC88" s="863">
        <v>18.68</v>
      </c>
      <c r="AD88" s="863">
        <v>18.84</v>
      </c>
      <c r="AE88" s="900">
        <v>7.0000000000000001E-3</v>
      </c>
      <c r="AF88" s="863"/>
      <c r="AG88" s="863"/>
      <c r="AH88" s="863"/>
      <c r="AI88" s="863"/>
      <c r="AJ88" s="863"/>
      <c r="AK88" s="863"/>
      <c r="AL88" s="863"/>
      <c r="AM88" s="863"/>
      <c r="AN88" s="863"/>
      <c r="AO88" s="863"/>
      <c r="AP88" s="863"/>
      <c r="AQ88" s="863"/>
      <c r="AR88" s="863"/>
      <c r="AS88" s="863"/>
      <c r="AT88" s="863"/>
      <c r="AU88" s="863"/>
      <c r="AV88" s="863"/>
      <c r="AW88" s="863"/>
      <c r="AX88" s="863"/>
      <c r="AY88" s="863"/>
      <c r="AZ88" s="863"/>
      <c r="BA88" s="863"/>
      <c r="BB88" s="863"/>
      <c r="BC88" s="863"/>
      <c r="BD88" s="863"/>
      <c r="BE88" s="863"/>
      <c r="BF88" s="863"/>
      <c r="BG88" s="863"/>
      <c r="BH88" s="863"/>
      <c r="BI88" s="863"/>
      <c r="BJ88" s="863"/>
      <c r="BK88" s="863"/>
      <c r="BL88" s="863"/>
      <c r="BM88" s="863"/>
      <c r="BN88" s="863"/>
      <c r="BO88" s="863"/>
      <c r="BP88" s="863"/>
      <c r="BQ88" s="863"/>
      <c r="BR88" s="863"/>
      <c r="BS88" s="863"/>
      <c r="BT88" s="863"/>
    </row>
    <row r="89" spans="1:72">
      <c r="A89" s="863" t="s">
        <v>509</v>
      </c>
      <c r="B89" s="863">
        <v>11.2</v>
      </c>
      <c r="C89" s="863">
        <v>11.94</v>
      </c>
      <c r="D89" s="863">
        <v>9.0500000000000007</v>
      </c>
      <c r="E89" s="863">
        <v>8.67</v>
      </c>
      <c r="F89" s="863">
        <v>9.7200000000000006</v>
      </c>
      <c r="G89" s="863">
        <v>10.07</v>
      </c>
      <c r="H89" s="863">
        <v>9.92</v>
      </c>
      <c r="I89" s="863">
        <v>9.85</v>
      </c>
      <c r="J89" s="863">
        <v>9.99</v>
      </c>
      <c r="K89" s="863">
        <v>10.08</v>
      </c>
      <c r="L89" s="863">
        <v>10.11</v>
      </c>
      <c r="M89" s="863">
        <v>10.16</v>
      </c>
      <c r="N89" s="863">
        <v>10.23</v>
      </c>
      <c r="O89" s="863">
        <v>10.35</v>
      </c>
      <c r="P89" s="863">
        <v>10.46</v>
      </c>
      <c r="Q89" s="863">
        <v>10.65</v>
      </c>
      <c r="R89" s="863">
        <v>10.69</v>
      </c>
      <c r="S89" s="863">
        <v>10.62</v>
      </c>
      <c r="T89" s="863">
        <v>10.7</v>
      </c>
      <c r="U89" s="863">
        <v>10.86</v>
      </c>
      <c r="V89" s="863">
        <v>11.04</v>
      </c>
      <c r="W89" s="863">
        <v>11.28</v>
      </c>
      <c r="X89" s="863">
        <v>11.52</v>
      </c>
      <c r="Y89" s="863">
        <v>11.78</v>
      </c>
      <c r="Z89" s="863">
        <v>12.11</v>
      </c>
      <c r="AA89" s="863">
        <v>12.26</v>
      </c>
      <c r="AB89" s="863">
        <v>12.32</v>
      </c>
      <c r="AC89" s="863">
        <v>12.52</v>
      </c>
      <c r="AD89" s="863">
        <v>12.66</v>
      </c>
      <c r="AE89" s="900">
        <v>2E-3</v>
      </c>
      <c r="AF89" s="863"/>
      <c r="AG89" s="863"/>
      <c r="AH89" s="863"/>
      <c r="AI89" s="863"/>
      <c r="AJ89" s="863"/>
      <c r="AK89" s="863"/>
      <c r="AL89" s="863"/>
      <c r="AM89" s="863"/>
      <c r="AN89" s="863"/>
      <c r="AO89" s="863"/>
      <c r="AP89" s="863"/>
      <c r="AQ89" s="863"/>
      <c r="AR89" s="863"/>
      <c r="AS89" s="863"/>
      <c r="AT89" s="863"/>
      <c r="AU89" s="863"/>
      <c r="AV89" s="863"/>
      <c r="AW89" s="863"/>
      <c r="AX89" s="863"/>
      <c r="AY89" s="863"/>
      <c r="AZ89" s="863"/>
      <c r="BA89" s="863"/>
      <c r="BB89" s="863"/>
      <c r="BC89" s="863"/>
      <c r="BD89" s="863"/>
      <c r="BE89" s="863"/>
      <c r="BF89" s="863"/>
      <c r="BG89" s="863"/>
      <c r="BH89" s="863"/>
      <c r="BI89" s="863"/>
      <c r="BJ89" s="863"/>
      <c r="BK89" s="863"/>
      <c r="BL89" s="863"/>
      <c r="BM89" s="863"/>
      <c r="BN89" s="863"/>
      <c r="BO89" s="863"/>
      <c r="BP89" s="863"/>
      <c r="BQ89" s="863"/>
      <c r="BR89" s="863"/>
      <c r="BS89" s="863"/>
      <c r="BT89" s="863"/>
    </row>
    <row r="90" spans="1:72">
      <c r="A90" s="863" t="s">
        <v>478</v>
      </c>
      <c r="B90" s="863">
        <v>28.81</v>
      </c>
      <c r="C90" s="863">
        <v>30.47</v>
      </c>
      <c r="D90" s="863">
        <v>28.94</v>
      </c>
      <c r="E90" s="863">
        <v>27.37</v>
      </c>
      <c r="F90" s="863">
        <v>25.72</v>
      </c>
      <c r="G90" s="863">
        <v>26.72</v>
      </c>
      <c r="H90" s="863">
        <v>26.81</v>
      </c>
      <c r="I90" s="863">
        <v>26.55</v>
      </c>
      <c r="J90" s="863">
        <v>26.55</v>
      </c>
      <c r="K90" s="863">
        <v>26.81</v>
      </c>
      <c r="L90" s="863">
        <v>26.97</v>
      </c>
      <c r="M90" s="863">
        <v>26.98</v>
      </c>
      <c r="N90" s="863">
        <v>26.93</v>
      </c>
      <c r="O90" s="863">
        <v>27.12</v>
      </c>
      <c r="P90" s="863">
        <v>27.31</v>
      </c>
      <c r="Q90" s="863">
        <v>27.42</v>
      </c>
      <c r="R90" s="863">
        <v>27.62</v>
      </c>
      <c r="S90" s="863">
        <v>27.77</v>
      </c>
      <c r="T90" s="863">
        <v>27.72</v>
      </c>
      <c r="U90" s="863">
        <v>27.87</v>
      </c>
      <c r="V90" s="863">
        <v>28.05</v>
      </c>
      <c r="W90" s="863">
        <v>28.25</v>
      </c>
      <c r="X90" s="863">
        <v>28.67</v>
      </c>
      <c r="Y90" s="863">
        <v>28.99</v>
      </c>
      <c r="Z90" s="863">
        <v>29.37</v>
      </c>
      <c r="AA90" s="863">
        <v>29.73</v>
      </c>
      <c r="AB90" s="863">
        <v>29.9</v>
      </c>
      <c r="AC90" s="863">
        <v>30.15</v>
      </c>
      <c r="AD90" s="863">
        <v>30.37</v>
      </c>
      <c r="AE90" s="900">
        <v>0</v>
      </c>
      <c r="AF90" s="863"/>
      <c r="AG90" s="863"/>
      <c r="AH90" s="863"/>
      <c r="AI90" s="863"/>
      <c r="AJ90" s="863"/>
      <c r="AK90" s="863"/>
      <c r="AL90" s="863"/>
      <c r="AM90" s="863"/>
      <c r="AN90" s="863"/>
      <c r="AO90" s="863"/>
      <c r="AP90" s="863"/>
      <c r="AQ90" s="863"/>
      <c r="AR90" s="863"/>
      <c r="AS90" s="863"/>
      <c r="AT90" s="863"/>
      <c r="AU90" s="863"/>
      <c r="AV90" s="863"/>
      <c r="AW90" s="863"/>
      <c r="AX90" s="863"/>
      <c r="AY90" s="863"/>
      <c r="AZ90" s="863"/>
      <c r="BA90" s="863"/>
      <c r="BB90" s="863"/>
      <c r="BC90" s="863"/>
      <c r="BD90" s="863"/>
      <c r="BE90" s="863"/>
      <c r="BF90" s="863"/>
      <c r="BG90" s="863"/>
      <c r="BH90" s="863"/>
      <c r="BI90" s="863"/>
      <c r="BJ90" s="863"/>
      <c r="BK90" s="863"/>
      <c r="BL90" s="863"/>
      <c r="BM90" s="863"/>
      <c r="BN90" s="863"/>
      <c r="BO90" s="863"/>
      <c r="BP90" s="863"/>
      <c r="BQ90" s="863"/>
      <c r="BR90" s="863"/>
      <c r="BS90" s="863"/>
      <c r="BT90" s="863"/>
    </row>
    <row r="91" spans="1:72">
      <c r="A91" s="863"/>
      <c r="B91" s="863"/>
      <c r="C91" s="863"/>
      <c r="D91" s="863"/>
      <c r="E91" s="863"/>
      <c r="F91" s="863"/>
      <c r="G91" s="863"/>
      <c r="H91" s="863"/>
      <c r="I91" s="863"/>
      <c r="J91" s="863"/>
      <c r="K91" s="863"/>
      <c r="L91" s="863"/>
      <c r="M91" s="863"/>
      <c r="N91" s="863"/>
      <c r="O91" s="863"/>
      <c r="P91" s="863"/>
      <c r="Q91" s="863"/>
      <c r="R91" s="863"/>
      <c r="S91" s="863"/>
      <c r="T91" s="863"/>
      <c r="U91" s="863"/>
      <c r="V91" s="863"/>
      <c r="W91" s="863"/>
      <c r="X91" s="863"/>
      <c r="Y91" s="863"/>
      <c r="Z91" s="863"/>
      <c r="AA91" s="863"/>
      <c r="AB91" s="863"/>
      <c r="AC91" s="863"/>
      <c r="AD91" s="863"/>
      <c r="AE91" s="863"/>
      <c r="AF91" s="863"/>
      <c r="AG91" s="863"/>
      <c r="AH91" s="863"/>
      <c r="AI91" s="863"/>
      <c r="AJ91" s="863"/>
      <c r="AK91" s="863"/>
      <c r="AL91" s="863"/>
      <c r="AM91" s="863"/>
      <c r="AN91" s="863"/>
      <c r="AO91" s="863"/>
      <c r="AP91" s="863"/>
      <c r="AQ91" s="863"/>
      <c r="AR91" s="863"/>
      <c r="AS91" s="863"/>
      <c r="AT91" s="863"/>
      <c r="AU91" s="863"/>
      <c r="AV91" s="863"/>
      <c r="AW91" s="863"/>
      <c r="AX91" s="863"/>
      <c r="AY91" s="863"/>
      <c r="AZ91" s="863"/>
      <c r="BA91" s="863"/>
      <c r="BB91" s="863"/>
      <c r="BC91" s="863"/>
      <c r="BD91" s="863"/>
      <c r="BE91" s="863"/>
      <c r="BF91" s="863"/>
      <c r="BG91" s="863"/>
      <c r="BH91" s="863"/>
      <c r="BI91" s="863"/>
      <c r="BJ91" s="863"/>
      <c r="BK91" s="863"/>
      <c r="BL91" s="863"/>
      <c r="BM91" s="863"/>
      <c r="BN91" s="863"/>
      <c r="BO91" s="863"/>
      <c r="BP91" s="863"/>
      <c r="BQ91" s="863"/>
      <c r="BR91" s="863"/>
      <c r="BS91" s="863"/>
      <c r="BT91" s="863"/>
    </row>
    <row r="92" spans="1:72">
      <c r="A92" s="863" t="s">
        <v>611</v>
      </c>
      <c r="B92" s="863"/>
      <c r="C92" s="863"/>
      <c r="D92" s="863"/>
      <c r="E92" s="863"/>
      <c r="F92" s="863"/>
      <c r="G92" s="863"/>
      <c r="H92" s="863"/>
      <c r="I92" s="863"/>
      <c r="J92" s="863"/>
      <c r="K92" s="863"/>
      <c r="L92" s="863"/>
      <c r="M92" s="863"/>
      <c r="N92" s="863"/>
      <c r="O92" s="863"/>
      <c r="P92" s="863"/>
      <c r="Q92" s="863"/>
      <c r="R92" s="863"/>
      <c r="S92" s="863"/>
      <c r="T92" s="863"/>
      <c r="U92" s="863"/>
      <c r="V92" s="863"/>
      <c r="W92" s="863"/>
      <c r="X92" s="863"/>
      <c r="Y92" s="863"/>
      <c r="Z92" s="863"/>
      <c r="AA92" s="863"/>
      <c r="AB92" s="863"/>
      <c r="AC92" s="863"/>
      <c r="AD92" s="863"/>
      <c r="AE92" s="863"/>
      <c r="AF92" s="863"/>
      <c r="AG92" s="863"/>
      <c r="AH92" s="863"/>
      <c r="AI92" s="863"/>
      <c r="AJ92" s="863"/>
      <c r="AK92" s="863"/>
      <c r="AL92" s="863"/>
      <c r="AM92" s="863"/>
      <c r="AN92" s="863"/>
      <c r="AO92" s="863"/>
      <c r="AP92" s="863"/>
      <c r="AQ92" s="863"/>
      <c r="AR92" s="863"/>
      <c r="AS92" s="863"/>
      <c r="AT92" s="863"/>
      <c r="AU92" s="863"/>
      <c r="AV92" s="863"/>
      <c r="AW92" s="863"/>
      <c r="AX92" s="863"/>
      <c r="AY92" s="863"/>
      <c r="AZ92" s="863"/>
      <c r="BA92" s="863"/>
      <c r="BB92" s="863"/>
      <c r="BC92" s="863"/>
      <c r="BD92" s="863"/>
      <c r="BE92" s="863"/>
      <c r="BF92" s="863"/>
      <c r="BG92" s="863"/>
      <c r="BH92" s="863"/>
      <c r="BI92" s="863"/>
      <c r="BJ92" s="863"/>
      <c r="BK92" s="863"/>
      <c r="BL92" s="863"/>
      <c r="BM92" s="863"/>
      <c r="BN92" s="863"/>
      <c r="BO92" s="863"/>
      <c r="BP92" s="863"/>
      <c r="BQ92" s="863"/>
      <c r="BR92" s="863"/>
      <c r="BS92" s="863"/>
      <c r="BT92" s="863"/>
    </row>
    <row r="93" spans="1:72">
      <c r="A93" s="863" t="s">
        <v>608</v>
      </c>
      <c r="B93" s="863">
        <v>22.01</v>
      </c>
      <c r="C93" s="863">
        <v>24.2</v>
      </c>
      <c r="D93" s="863">
        <v>18.64</v>
      </c>
      <c r="E93" s="863">
        <v>18.36</v>
      </c>
      <c r="F93" s="863">
        <v>18.46</v>
      </c>
      <c r="G93" s="863">
        <v>19.61</v>
      </c>
      <c r="H93" s="863">
        <v>20.9</v>
      </c>
      <c r="I93" s="863">
        <v>21.9</v>
      </c>
      <c r="J93" s="863">
        <v>22.49</v>
      </c>
      <c r="K93" s="863">
        <v>23.25</v>
      </c>
      <c r="L93" s="863">
        <v>23.76</v>
      </c>
      <c r="M93" s="863">
        <v>24.31</v>
      </c>
      <c r="N93" s="863">
        <v>24.62</v>
      </c>
      <c r="O93" s="863">
        <v>24.86</v>
      </c>
      <c r="P93" s="863">
        <v>25.09</v>
      </c>
      <c r="Q93" s="863">
        <v>25.3</v>
      </c>
      <c r="R93" s="863">
        <v>25.59</v>
      </c>
      <c r="S93" s="863">
        <v>25.86</v>
      </c>
      <c r="T93" s="863">
        <v>26.12</v>
      </c>
      <c r="U93" s="863">
        <v>26.27</v>
      </c>
      <c r="V93" s="863">
        <v>26.55</v>
      </c>
      <c r="W93" s="863">
        <v>26.8</v>
      </c>
      <c r="X93" s="863">
        <v>27.15</v>
      </c>
      <c r="Y93" s="863">
        <v>27.38</v>
      </c>
      <c r="Z93" s="863">
        <v>27.74</v>
      </c>
      <c r="AA93" s="863">
        <v>28.08</v>
      </c>
      <c r="AB93" s="863">
        <v>28.48</v>
      </c>
      <c r="AC93" s="863">
        <v>28.86</v>
      </c>
      <c r="AD93" s="863">
        <v>29.25</v>
      </c>
      <c r="AE93" s="900">
        <v>7.0000000000000001E-3</v>
      </c>
      <c r="AF93" s="863"/>
      <c r="AG93" s="863"/>
      <c r="AH93" s="863"/>
      <c r="AI93" s="863"/>
      <c r="AJ93" s="863"/>
      <c r="AK93" s="863"/>
      <c r="AL93" s="863"/>
      <c r="AM93" s="863"/>
      <c r="AN93" s="863"/>
      <c r="AO93" s="863"/>
      <c r="AP93" s="863"/>
      <c r="AQ93" s="863"/>
      <c r="AR93" s="863"/>
      <c r="AS93" s="863"/>
      <c r="AT93" s="863"/>
      <c r="AU93" s="863"/>
      <c r="AV93" s="863"/>
      <c r="AW93" s="863"/>
      <c r="AX93" s="863"/>
      <c r="AY93" s="863"/>
      <c r="AZ93" s="863"/>
      <c r="BA93" s="863"/>
      <c r="BB93" s="863"/>
      <c r="BC93" s="863"/>
      <c r="BD93" s="863"/>
      <c r="BE93" s="863"/>
      <c r="BF93" s="863"/>
      <c r="BG93" s="863"/>
      <c r="BH93" s="863"/>
      <c r="BI93" s="863"/>
      <c r="BJ93" s="863"/>
      <c r="BK93" s="863"/>
      <c r="BL93" s="863"/>
      <c r="BM93" s="863"/>
      <c r="BN93" s="863"/>
      <c r="BO93" s="863"/>
      <c r="BP93" s="863"/>
      <c r="BQ93" s="863"/>
      <c r="BR93" s="863"/>
      <c r="BS93" s="863"/>
      <c r="BT93" s="863"/>
    </row>
    <row r="94" spans="1:72">
      <c r="A94" s="863" t="s">
        <v>609</v>
      </c>
      <c r="B94" s="863">
        <v>18.07</v>
      </c>
      <c r="C94" s="863">
        <v>22.31</v>
      </c>
      <c r="D94" s="863">
        <v>16.399999999999999</v>
      </c>
      <c r="E94" s="863">
        <v>14.38</v>
      </c>
      <c r="F94" s="863">
        <v>15.38</v>
      </c>
      <c r="G94" s="863">
        <v>16.55</v>
      </c>
      <c r="H94" s="863">
        <v>17.59</v>
      </c>
      <c r="I94" s="863">
        <v>18.32</v>
      </c>
      <c r="J94" s="863">
        <v>19</v>
      </c>
      <c r="K94" s="863">
        <v>19.8</v>
      </c>
      <c r="L94" s="863">
        <v>20.440000000000001</v>
      </c>
      <c r="M94" s="863">
        <v>21.08</v>
      </c>
      <c r="N94" s="863">
        <v>21.49</v>
      </c>
      <c r="O94" s="863">
        <v>21.83</v>
      </c>
      <c r="P94" s="863">
        <v>22.03</v>
      </c>
      <c r="Q94" s="863">
        <v>22.36</v>
      </c>
      <c r="R94" s="863">
        <v>22.56</v>
      </c>
      <c r="S94" s="863">
        <v>22.67</v>
      </c>
      <c r="T94" s="863">
        <v>22.97</v>
      </c>
      <c r="U94" s="863">
        <v>23.22</v>
      </c>
      <c r="V94" s="863">
        <v>23.48</v>
      </c>
      <c r="W94" s="863">
        <v>23.81</v>
      </c>
      <c r="X94" s="863">
        <v>24.22</v>
      </c>
      <c r="Y94" s="863">
        <v>24.4</v>
      </c>
      <c r="Z94" s="863">
        <v>24.84</v>
      </c>
      <c r="AA94" s="863">
        <v>25.25</v>
      </c>
      <c r="AB94" s="863">
        <v>25.6</v>
      </c>
      <c r="AC94" s="863">
        <v>26.02</v>
      </c>
      <c r="AD94" s="863">
        <v>26.48</v>
      </c>
      <c r="AE94" s="900">
        <v>6.0000000000000001E-3</v>
      </c>
      <c r="AF94" s="863"/>
      <c r="AG94" s="863"/>
      <c r="AH94" s="863"/>
      <c r="AI94" s="863"/>
      <c r="AJ94" s="863"/>
      <c r="AK94" s="863"/>
      <c r="AL94" s="863"/>
      <c r="AM94" s="863"/>
      <c r="AN94" s="863"/>
      <c r="AO94" s="863"/>
      <c r="AP94" s="863"/>
      <c r="AQ94" s="863"/>
      <c r="AR94" s="863"/>
      <c r="AS94" s="863"/>
      <c r="AT94" s="863"/>
      <c r="AU94" s="863"/>
      <c r="AV94" s="863"/>
      <c r="AW94" s="863"/>
      <c r="AX94" s="863"/>
      <c r="AY94" s="863"/>
      <c r="AZ94" s="863"/>
      <c r="BA94" s="863"/>
      <c r="BB94" s="863"/>
      <c r="BC94" s="863"/>
      <c r="BD94" s="863"/>
      <c r="BE94" s="863"/>
      <c r="BF94" s="863"/>
      <c r="BG94" s="863"/>
      <c r="BH94" s="863"/>
      <c r="BI94" s="863"/>
      <c r="BJ94" s="863"/>
      <c r="BK94" s="863"/>
      <c r="BL94" s="863"/>
      <c r="BM94" s="863"/>
      <c r="BN94" s="863"/>
      <c r="BO94" s="863"/>
      <c r="BP94" s="863"/>
      <c r="BQ94" s="863"/>
      <c r="BR94" s="863"/>
      <c r="BS94" s="863"/>
      <c r="BT94" s="863"/>
    </row>
    <row r="95" spans="1:72">
      <c r="A95" s="863" t="s">
        <v>610</v>
      </c>
      <c r="B95" s="863">
        <v>8.84</v>
      </c>
      <c r="C95" s="863">
        <v>16.309999999999999</v>
      </c>
      <c r="D95" s="863">
        <v>9.75</v>
      </c>
      <c r="E95" s="863">
        <v>13.12</v>
      </c>
      <c r="F95" s="863">
        <v>13.24</v>
      </c>
      <c r="G95" s="863">
        <v>14.32</v>
      </c>
      <c r="H95" s="863">
        <v>15.31</v>
      </c>
      <c r="I95" s="863">
        <v>16.079999999999998</v>
      </c>
      <c r="J95" s="863">
        <v>16.47</v>
      </c>
      <c r="K95" s="863">
        <v>16.96</v>
      </c>
      <c r="L95" s="863">
        <v>17.37</v>
      </c>
      <c r="M95" s="863">
        <v>17.82</v>
      </c>
      <c r="N95" s="863">
        <v>18.09</v>
      </c>
      <c r="O95" s="863">
        <v>18.2</v>
      </c>
      <c r="P95" s="863">
        <v>18.43</v>
      </c>
      <c r="Q95" s="863">
        <v>18.61</v>
      </c>
      <c r="R95" s="863">
        <v>18.82</v>
      </c>
      <c r="S95" s="863">
        <v>19.03</v>
      </c>
      <c r="T95" s="863">
        <v>19.23</v>
      </c>
      <c r="U95" s="863">
        <v>19.3</v>
      </c>
      <c r="V95" s="863">
        <v>19.489999999999998</v>
      </c>
      <c r="W95" s="863">
        <v>19.73</v>
      </c>
      <c r="X95" s="863">
        <v>19.98</v>
      </c>
      <c r="Y95" s="863">
        <v>20.27</v>
      </c>
      <c r="Z95" s="863">
        <v>20.61</v>
      </c>
      <c r="AA95" s="863">
        <v>20.87</v>
      </c>
      <c r="AB95" s="863">
        <v>21.12</v>
      </c>
      <c r="AC95" s="863">
        <v>21.44</v>
      </c>
      <c r="AD95" s="863">
        <v>21.72</v>
      </c>
      <c r="AE95" s="900">
        <v>1.0999999999999999E-2</v>
      </c>
      <c r="AF95" s="863"/>
      <c r="AG95" s="863"/>
      <c r="AH95" s="863"/>
      <c r="AI95" s="863"/>
      <c r="AJ95" s="863"/>
      <c r="AK95" s="863"/>
      <c r="AL95" s="863"/>
      <c r="AM95" s="863"/>
      <c r="AN95" s="863"/>
      <c r="AO95" s="863"/>
      <c r="AP95" s="863"/>
      <c r="AQ95" s="863"/>
      <c r="AR95" s="863"/>
      <c r="AS95" s="863"/>
      <c r="AT95" s="863"/>
      <c r="AU95" s="863"/>
      <c r="AV95" s="863"/>
      <c r="AW95" s="863"/>
      <c r="AX95" s="863"/>
      <c r="AY95" s="863"/>
      <c r="AZ95" s="863"/>
      <c r="BA95" s="863"/>
      <c r="BB95" s="863"/>
      <c r="BC95" s="863"/>
      <c r="BD95" s="863"/>
      <c r="BE95" s="863"/>
      <c r="BF95" s="863"/>
      <c r="BG95" s="863"/>
      <c r="BH95" s="863"/>
      <c r="BI95" s="863"/>
      <c r="BJ95" s="863"/>
      <c r="BK95" s="863"/>
      <c r="BL95" s="863"/>
      <c r="BM95" s="863"/>
      <c r="BN95" s="863"/>
      <c r="BO95" s="863"/>
      <c r="BP95" s="863"/>
      <c r="BQ95" s="863"/>
      <c r="BR95" s="863"/>
      <c r="BS95" s="863"/>
      <c r="BT95" s="863"/>
    </row>
    <row r="96" spans="1:72">
      <c r="A96" s="863" t="s">
        <v>612</v>
      </c>
      <c r="B96" s="863">
        <v>7.58</v>
      </c>
      <c r="C96" s="863">
        <v>9.11</v>
      </c>
      <c r="D96" s="863">
        <v>4.2</v>
      </c>
      <c r="E96" s="863">
        <v>4.87</v>
      </c>
      <c r="F96" s="863">
        <v>5.97</v>
      </c>
      <c r="G96" s="863">
        <v>6.39</v>
      </c>
      <c r="H96" s="863">
        <v>6.33</v>
      </c>
      <c r="I96" s="863">
        <v>6.28</v>
      </c>
      <c r="J96" s="863">
        <v>6.45</v>
      </c>
      <c r="K96" s="863">
        <v>6.52</v>
      </c>
      <c r="L96" s="863">
        <v>6.51</v>
      </c>
      <c r="M96" s="863">
        <v>6.55</v>
      </c>
      <c r="N96" s="863">
        <v>6.6</v>
      </c>
      <c r="O96" s="863">
        <v>6.7</v>
      </c>
      <c r="P96" s="863">
        <v>6.78</v>
      </c>
      <c r="Q96" s="863">
        <v>6.96</v>
      </c>
      <c r="R96" s="863">
        <v>7.01</v>
      </c>
      <c r="S96" s="863">
        <v>6.96</v>
      </c>
      <c r="T96" s="863">
        <v>7.02</v>
      </c>
      <c r="U96" s="863">
        <v>7.15</v>
      </c>
      <c r="V96" s="863">
        <v>7.29</v>
      </c>
      <c r="W96" s="863">
        <v>7.51</v>
      </c>
      <c r="X96" s="863">
        <v>7.73</v>
      </c>
      <c r="Y96" s="863">
        <v>7.98</v>
      </c>
      <c r="Z96" s="863">
        <v>8.2899999999999991</v>
      </c>
      <c r="AA96" s="863">
        <v>8.4</v>
      </c>
      <c r="AB96" s="863">
        <v>8.42</v>
      </c>
      <c r="AC96" s="863">
        <v>8.61</v>
      </c>
      <c r="AD96" s="863">
        <v>8.73</v>
      </c>
      <c r="AE96" s="900">
        <v>-2E-3</v>
      </c>
      <c r="AF96" s="863"/>
      <c r="AG96" s="863"/>
      <c r="AH96" s="863"/>
      <c r="AI96" s="863"/>
      <c r="AJ96" s="863"/>
      <c r="AK96" s="863"/>
      <c r="AL96" s="863"/>
      <c r="AM96" s="863"/>
      <c r="AN96" s="863"/>
      <c r="AO96" s="863"/>
      <c r="AP96" s="863"/>
      <c r="AQ96" s="863"/>
      <c r="AR96" s="863"/>
      <c r="AS96" s="863"/>
      <c r="AT96" s="863"/>
      <c r="AU96" s="863"/>
      <c r="AV96" s="863"/>
      <c r="AW96" s="863"/>
      <c r="AX96" s="863"/>
      <c r="AY96" s="863"/>
      <c r="AZ96" s="863"/>
      <c r="BA96" s="863"/>
      <c r="BB96" s="863"/>
      <c r="BC96" s="863"/>
      <c r="BD96" s="863"/>
      <c r="BE96" s="863"/>
      <c r="BF96" s="863"/>
      <c r="BG96" s="863"/>
      <c r="BH96" s="863"/>
      <c r="BI96" s="863"/>
      <c r="BJ96" s="863"/>
      <c r="BK96" s="863"/>
      <c r="BL96" s="863"/>
      <c r="BM96" s="863"/>
      <c r="BN96" s="863"/>
      <c r="BO96" s="863"/>
      <c r="BP96" s="863"/>
      <c r="BQ96" s="863"/>
      <c r="BR96" s="863"/>
      <c r="BS96" s="863"/>
      <c r="BT96" s="863"/>
    </row>
    <row r="97" spans="1:72">
      <c r="A97" s="863" t="s">
        <v>613</v>
      </c>
      <c r="B97" s="863">
        <v>3.69</v>
      </c>
      <c r="C97" s="863">
        <v>4.49</v>
      </c>
      <c r="D97" s="863">
        <v>4.72</v>
      </c>
      <c r="E97" s="863">
        <v>4.8</v>
      </c>
      <c r="F97" s="863">
        <v>4.8600000000000003</v>
      </c>
      <c r="G97" s="863">
        <v>5.0199999999999996</v>
      </c>
      <c r="H97" s="863">
        <v>5.05</v>
      </c>
      <c r="I97" s="863">
        <v>5.08</v>
      </c>
      <c r="J97" s="863">
        <v>5.08</v>
      </c>
      <c r="K97" s="863">
        <v>5.09</v>
      </c>
      <c r="L97" s="863">
        <v>5.16</v>
      </c>
      <c r="M97" s="863">
        <v>5.22</v>
      </c>
      <c r="N97" s="863">
        <v>5.29</v>
      </c>
      <c r="O97" s="863">
        <v>5.32</v>
      </c>
      <c r="P97" s="863">
        <v>5.35</v>
      </c>
      <c r="Q97" s="863">
        <v>5.36</v>
      </c>
      <c r="R97" s="863">
        <v>5.35</v>
      </c>
      <c r="S97" s="863">
        <v>5.32</v>
      </c>
      <c r="T97" s="863">
        <v>5.24</v>
      </c>
      <c r="U97" s="863">
        <v>5.16</v>
      </c>
      <c r="V97" s="863">
        <v>5.14</v>
      </c>
      <c r="W97" s="863">
        <v>5.14</v>
      </c>
      <c r="X97" s="863">
        <v>5.1100000000000003</v>
      </c>
      <c r="Y97" s="863">
        <v>5.1100000000000003</v>
      </c>
      <c r="Z97" s="863">
        <v>5.09</v>
      </c>
      <c r="AA97" s="863">
        <v>5.08</v>
      </c>
      <c r="AB97" s="863">
        <v>5.08</v>
      </c>
      <c r="AC97" s="863">
        <v>5.0599999999999996</v>
      </c>
      <c r="AD97" s="863">
        <v>5.0599999999999996</v>
      </c>
      <c r="AE97" s="900">
        <v>4.0000000000000001E-3</v>
      </c>
      <c r="AF97" s="863"/>
      <c r="AG97" s="863"/>
      <c r="AH97" s="863"/>
      <c r="AI97" s="863"/>
      <c r="AJ97" s="863"/>
      <c r="AK97" s="863"/>
      <c r="AL97" s="863"/>
      <c r="AM97" s="863"/>
      <c r="AN97" s="863"/>
      <c r="AO97" s="863"/>
      <c r="AP97" s="863"/>
      <c r="AQ97" s="863"/>
      <c r="AR97" s="863"/>
      <c r="AS97" s="863"/>
      <c r="AT97" s="863"/>
      <c r="AU97" s="863"/>
      <c r="AV97" s="863"/>
      <c r="AW97" s="863"/>
      <c r="AX97" s="863"/>
      <c r="AY97" s="863"/>
      <c r="AZ97" s="863"/>
      <c r="BA97" s="863"/>
      <c r="BB97" s="863"/>
      <c r="BC97" s="863"/>
      <c r="BD97" s="863"/>
      <c r="BE97" s="863"/>
      <c r="BF97" s="863"/>
      <c r="BG97" s="863"/>
      <c r="BH97" s="863"/>
      <c r="BI97" s="863"/>
      <c r="BJ97" s="863"/>
      <c r="BK97" s="863"/>
      <c r="BL97" s="863"/>
      <c r="BM97" s="863"/>
      <c r="BN97" s="863"/>
      <c r="BO97" s="863"/>
      <c r="BP97" s="863"/>
      <c r="BQ97" s="863"/>
      <c r="BR97" s="863"/>
      <c r="BS97" s="863"/>
      <c r="BT97" s="863"/>
    </row>
    <row r="98" spans="1:72">
      <c r="A98" s="863" t="s">
        <v>614</v>
      </c>
      <c r="B98" s="863">
        <v>2.48</v>
      </c>
      <c r="C98" s="863">
        <v>2.84</v>
      </c>
      <c r="D98" s="863">
        <v>2.79</v>
      </c>
      <c r="E98" s="863">
        <v>2.69</v>
      </c>
      <c r="F98" s="863">
        <v>2.69</v>
      </c>
      <c r="G98" s="863">
        <v>2.69</v>
      </c>
      <c r="H98" s="863">
        <v>2.66</v>
      </c>
      <c r="I98" s="863">
        <v>2.68</v>
      </c>
      <c r="J98" s="863">
        <v>2.69</v>
      </c>
      <c r="K98" s="863">
        <v>2.68</v>
      </c>
      <c r="L98" s="863">
        <v>2.69</v>
      </c>
      <c r="M98" s="863">
        <v>2.68</v>
      </c>
      <c r="N98" s="863">
        <v>2.67</v>
      </c>
      <c r="O98" s="863">
        <v>2.66</v>
      </c>
      <c r="P98" s="863">
        <v>2.65</v>
      </c>
      <c r="Q98" s="863">
        <v>2.65</v>
      </c>
      <c r="R98" s="863">
        <v>2.63</v>
      </c>
      <c r="S98" s="863">
        <v>2.63</v>
      </c>
      <c r="T98" s="863">
        <v>2.63</v>
      </c>
      <c r="U98" s="863">
        <v>2.64</v>
      </c>
      <c r="V98" s="863">
        <v>2.63</v>
      </c>
      <c r="W98" s="863">
        <v>2.64</v>
      </c>
      <c r="X98" s="863">
        <v>2.65</v>
      </c>
      <c r="Y98" s="863">
        <v>2.66</v>
      </c>
      <c r="Z98" s="863">
        <v>2.67</v>
      </c>
      <c r="AA98" s="863">
        <v>2.67</v>
      </c>
      <c r="AB98" s="863">
        <v>2.69</v>
      </c>
      <c r="AC98" s="863">
        <v>2.7</v>
      </c>
      <c r="AD98" s="863">
        <v>2.71</v>
      </c>
      <c r="AE98" s="900">
        <v>-2E-3</v>
      </c>
      <c r="AF98" s="863"/>
      <c r="AG98" s="863"/>
      <c r="AH98" s="863"/>
      <c r="AI98" s="863"/>
      <c r="AJ98" s="863"/>
      <c r="AK98" s="863"/>
      <c r="AL98" s="863"/>
      <c r="AM98" s="863"/>
      <c r="AN98" s="863"/>
      <c r="AO98" s="863"/>
      <c r="AP98" s="863"/>
      <c r="AQ98" s="863"/>
      <c r="AR98" s="863"/>
      <c r="AS98" s="863"/>
      <c r="AT98" s="863"/>
      <c r="AU98" s="863"/>
      <c r="AV98" s="863"/>
      <c r="AW98" s="863"/>
      <c r="AX98" s="863"/>
      <c r="AY98" s="863"/>
      <c r="AZ98" s="863"/>
      <c r="BA98" s="863"/>
      <c r="BB98" s="863"/>
      <c r="BC98" s="863"/>
      <c r="BD98" s="863"/>
      <c r="BE98" s="863"/>
      <c r="BF98" s="863"/>
      <c r="BG98" s="863"/>
      <c r="BH98" s="863"/>
      <c r="BI98" s="863"/>
      <c r="BJ98" s="863"/>
      <c r="BK98" s="863"/>
      <c r="BL98" s="863"/>
      <c r="BM98" s="863"/>
      <c r="BN98" s="863"/>
      <c r="BO98" s="863"/>
      <c r="BP98" s="863"/>
      <c r="BQ98" s="863"/>
      <c r="BR98" s="863"/>
      <c r="BS98" s="863"/>
      <c r="BT98" s="863"/>
    </row>
    <row r="99" spans="1:72">
      <c r="A99" s="863" t="s">
        <v>615</v>
      </c>
      <c r="B99" s="863" t="s">
        <v>787</v>
      </c>
      <c r="C99" s="863" t="s">
        <v>787</v>
      </c>
      <c r="D99" s="863" t="s">
        <v>787</v>
      </c>
      <c r="E99" s="863" t="s">
        <v>787</v>
      </c>
      <c r="F99" s="863">
        <v>1.26</v>
      </c>
      <c r="G99" s="863">
        <v>1.04</v>
      </c>
      <c r="H99" s="863">
        <v>1.04</v>
      </c>
      <c r="I99" s="863">
        <v>1.41</v>
      </c>
      <c r="J99" s="863">
        <v>1.42</v>
      </c>
      <c r="K99" s="863">
        <v>1.46</v>
      </c>
      <c r="L99" s="863">
        <v>1.48</v>
      </c>
      <c r="M99" s="863">
        <v>1.48</v>
      </c>
      <c r="N99" s="863">
        <v>1.47</v>
      </c>
      <c r="O99" s="863">
        <v>1.46</v>
      </c>
      <c r="P99" s="863">
        <v>1.49</v>
      </c>
      <c r="Q99" s="863">
        <v>1.5</v>
      </c>
      <c r="R99" s="863">
        <v>1.52</v>
      </c>
      <c r="S99" s="863">
        <v>1.49</v>
      </c>
      <c r="T99" s="863">
        <v>1.49</v>
      </c>
      <c r="U99" s="863">
        <v>1.47</v>
      </c>
      <c r="V99" s="863">
        <v>1.46</v>
      </c>
      <c r="W99" s="863">
        <v>1.45</v>
      </c>
      <c r="X99" s="863">
        <v>1.44</v>
      </c>
      <c r="Y99" s="863">
        <v>1.44</v>
      </c>
      <c r="Z99" s="863">
        <v>1.44</v>
      </c>
      <c r="AA99" s="863">
        <v>1.44</v>
      </c>
      <c r="AB99" s="863">
        <v>1.46</v>
      </c>
      <c r="AC99" s="863">
        <v>1.48</v>
      </c>
      <c r="AD99" s="863">
        <v>1.51</v>
      </c>
      <c r="AE99" s="863" t="s">
        <v>787</v>
      </c>
      <c r="AF99" s="863"/>
      <c r="AG99" s="863"/>
      <c r="AH99" s="863"/>
      <c r="AI99" s="863"/>
      <c r="AJ99" s="863"/>
      <c r="AK99" s="863"/>
      <c r="AL99" s="863"/>
      <c r="AM99" s="863"/>
      <c r="AN99" s="863"/>
      <c r="AO99" s="863"/>
      <c r="AP99" s="863"/>
      <c r="AQ99" s="863"/>
      <c r="AR99" s="863"/>
      <c r="AS99" s="863"/>
      <c r="AT99" s="863"/>
      <c r="AU99" s="863"/>
      <c r="AV99" s="863"/>
      <c r="AW99" s="863"/>
      <c r="AX99" s="863"/>
      <c r="AY99" s="863"/>
      <c r="AZ99" s="863"/>
      <c r="BA99" s="863"/>
      <c r="BB99" s="863"/>
      <c r="BC99" s="863"/>
      <c r="BD99" s="863"/>
      <c r="BE99" s="863"/>
      <c r="BF99" s="863"/>
      <c r="BG99" s="863"/>
      <c r="BH99" s="863"/>
      <c r="BI99" s="863"/>
      <c r="BJ99" s="863"/>
      <c r="BK99" s="863"/>
      <c r="BL99" s="863"/>
      <c r="BM99" s="863"/>
      <c r="BN99" s="863"/>
      <c r="BO99" s="863"/>
      <c r="BP99" s="863"/>
      <c r="BQ99" s="863"/>
      <c r="BR99" s="863"/>
      <c r="BS99" s="863"/>
      <c r="BT99" s="863"/>
    </row>
    <row r="100" spans="1:72">
      <c r="A100" s="863" t="s">
        <v>478</v>
      </c>
      <c r="B100" s="863">
        <v>19.02</v>
      </c>
      <c r="C100" s="863">
        <v>20.21</v>
      </c>
      <c r="D100" s="863">
        <v>20.04</v>
      </c>
      <c r="E100" s="863">
        <v>19.149999999999999</v>
      </c>
      <c r="F100" s="863">
        <v>17.11</v>
      </c>
      <c r="G100" s="863">
        <v>17.73</v>
      </c>
      <c r="H100" s="863">
        <v>17.62</v>
      </c>
      <c r="I100" s="863">
        <v>17.350000000000001</v>
      </c>
      <c r="J100" s="863">
        <v>17.37</v>
      </c>
      <c r="K100" s="863">
        <v>17.62</v>
      </c>
      <c r="L100" s="863">
        <v>17.75</v>
      </c>
      <c r="M100" s="863">
        <v>17.77</v>
      </c>
      <c r="N100" s="863">
        <v>17.75</v>
      </c>
      <c r="O100" s="863">
        <v>17.920000000000002</v>
      </c>
      <c r="P100" s="863">
        <v>18.07</v>
      </c>
      <c r="Q100" s="863">
        <v>18.190000000000001</v>
      </c>
      <c r="R100" s="863">
        <v>18.38</v>
      </c>
      <c r="S100" s="863">
        <v>18.53</v>
      </c>
      <c r="T100" s="863">
        <v>18.5</v>
      </c>
      <c r="U100" s="863">
        <v>18.61</v>
      </c>
      <c r="V100" s="863">
        <v>18.78</v>
      </c>
      <c r="W100" s="863">
        <v>18.97</v>
      </c>
      <c r="X100" s="863">
        <v>19.3</v>
      </c>
      <c r="Y100" s="863">
        <v>19.579999999999998</v>
      </c>
      <c r="Z100" s="863">
        <v>19.88</v>
      </c>
      <c r="AA100" s="863">
        <v>20.16</v>
      </c>
      <c r="AB100" s="863">
        <v>20.3</v>
      </c>
      <c r="AC100" s="863">
        <v>20.52</v>
      </c>
      <c r="AD100" s="863">
        <v>20.71</v>
      </c>
      <c r="AE100" s="900">
        <v>1E-3</v>
      </c>
      <c r="AF100" s="863"/>
      <c r="AG100" s="863"/>
      <c r="AH100" s="863"/>
      <c r="AI100" s="863"/>
      <c r="AJ100" s="863"/>
      <c r="AK100" s="863"/>
      <c r="AL100" s="863"/>
      <c r="AM100" s="863"/>
      <c r="AN100" s="863"/>
      <c r="AO100" s="863"/>
      <c r="AP100" s="863"/>
      <c r="AQ100" s="863"/>
      <c r="AR100" s="863"/>
      <c r="AS100" s="863"/>
      <c r="AT100" s="863"/>
      <c r="AU100" s="863"/>
      <c r="AV100" s="863"/>
      <c r="AW100" s="863"/>
      <c r="AX100" s="863"/>
      <c r="AY100" s="863"/>
      <c r="AZ100" s="863"/>
      <c r="BA100" s="863"/>
      <c r="BB100" s="863"/>
      <c r="BC100" s="863"/>
      <c r="BD100" s="863"/>
      <c r="BE100" s="863"/>
      <c r="BF100" s="863"/>
      <c r="BG100" s="863"/>
      <c r="BH100" s="863"/>
      <c r="BI100" s="863"/>
      <c r="BJ100" s="863"/>
      <c r="BK100" s="863"/>
      <c r="BL100" s="863"/>
      <c r="BM100" s="863"/>
      <c r="BN100" s="863"/>
      <c r="BO100" s="863"/>
      <c r="BP100" s="863"/>
      <c r="BQ100" s="863"/>
      <c r="BR100" s="863"/>
      <c r="BS100" s="863"/>
      <c r="BT100" s="863"/>
    </row>
    <row r="101" spans="1:72">
      <c r="A101" s="863"/>
      <c r="B101" s="863"/>
      <c r="C101" s="863"/>
      <c r="D101" s="863"/>
      <c r="E101" s="863"/>
      <c r="F101" s="863"/>
      <c r="G101" s="863"/>
      <c r="H101" s="863"/>
      <c r="I101" s="863"/>
      <c r="J101" s="863"/>
      <c r="K101" s="863"/>
      <c r="L101" s="863"/>
      <c r="M101" s="863"/>
      <c r="N101" s="863"/>
      <c r="O101" s="863"/>
      <c r="P101" s="863"/>
      <c r="Q101" s="863"/>
      <c r="R101" s="863"/>
      <c r="S101" s="863"/>
      <c r="T101" s="863"/>
      <c r="U101" s="863"/>
      <c r="V101" s="863"/>
      <c r="W101" s="863"/>
      <c r="X101" s="863"/>
      <c r="Y101" s="863"/>
      <c r="Z101" s="863"/>
      <c r="AA101" s="863"/>
      <c r="AB101" s="863"/>
      <c r="AC101" s="863"/>
      <c r="AD101" s="863"/>
      <c r="AE101" s="863"/>
      <c r="AF101" s="863"/>
      <c r="AG101" s="863"/>
      <c r="AH101" s="863"/>
      <c r="AI101" s="863"/>
      <c r="AJ101" s="863"/>
      <c r="AK101" s="863"/>
      <c r="AL101" s="863"/>
      <c r="AM101" s="863"/>
      <c r="AN101" s="863"/>
      <c r="AO101" s="863"/>
      <c r="AP101" s="863"/>
      <c r="AQ101" s="863"/>
      <c r="AR101" s="863"/>
      <c r="AS101" s="863"/>
      <c r="AT101" s="863"/>
      <c r="AU101" s="863"/>
      <c r="AV101" s="863"/>
      <c r="AW101" s="863"/>
      <c r="AX101" s="863"/>
      <c r="AY101" s="863"/>
      <c r="AZ101" s="863"/>
      <c r="BA101" s="863"/>
      <c r="BB101" s="863"/>
      <c r="BC101" s="863"/>
      <c r="BD101" s="863"/>
      <c r="BE101" s="863"/>
      <c r="BF101" s="863"/>
      <c r="BG101" s="863"/>
      <c r="BH101" s="863"/>
      <c r="BI101" s="863"/>
      <c r="BJ101" s="863"/>
      <c r="BK101" s="863"/>
      <c r="BL101" s="863"/>
      <c r="BM101" s="863"/>
      <c r="BN101" s="863"/>
      <c r="BO101" s="863"/>
      <c r="BP101" s="863"/>
      <c r="BQ101" s="863"/>
      <c r="BR101" s="863"/>
      <c r="BS101" s="863"/>
      <c r="BT101" s="863"/>
    </row>
    <row r="102" spans="1:72">
      <c r="A102" s="863" t="s">
        <v>486</v>
      </c>
      <c r="B102" s="863"/>
      <c r="C102" s="863"/>
      <c r="D102" s="863"/>
      <c r="E102" s="863"/>
      <c r="F102" s="863"/>
      <c r="G102" s="863"/>
      <c r="H102" s="863"/>
      <c r="I102" s="863"/>
      <c r="J102" s="863"/>
      <c r="K102" s="863"/>
      <c r="L102" s="863"/>
      <c r="M102" s="863"/>
      <c r="N102" s="863"/>
      <c r="O102" s="863"/>
      <c r="P102" s="863"/>
      <c r="Q102" s="863"/>
      <c r="R102" s="863"/>
      <c r="S102" s="863"/>
      <c r="T102" s="863"/>
      <c r="U102" s="863"/>
      <c r="V102" s="863"/>
      <c r="W102" s="863"/>
      <c r="X102" s="863"/>
      <c r="Y102" s="863"/>
      <c r="Z102" s="863"/>
      <c r="AA102" s="863"/>
      <c r="AB102" s="863"/>
      <c r="AC102" s="863"/>
      <c r="AD102" s="863"/>
      <c r="AE102" s="863"/>
      <c r="AF102" s="863"/>
      <c r="AG102" s="863"/>
      <c r="AH102" s="863"/>
      <c r="AI102" s="863"/>
      <c r="AJ102" s="863"/>
      <c r="AK102" s="863"/>
      <c r="AL102" s="863"/>
      <c r="AM102" s="863"/>
      <c r="AN102" s="863"/>
      <c r="AO102" s="863"/>
      <c r="AP102" s="863"/>
      <c r="AQ102" s="863"/>
      <c r="AR102" s="863"/>
      <c r="AS102" s="863"/>
      <c r="AT102" s="863"/>
      <c r="AU102" s="863"/>
      <c r="AV102" s="863"/>
      <c r="AW102" s="863"/>
      <c r="AX102" s="863"/>
      <c r="AY102" s="863"/>
      <c r="AZ102" s="863"/>
      <c r="BA102" s="863"/>
      <c r="BB102" s="863"/>
      <c r="BC102" s="863"/>
      <c r="BD102" s="863"/>
      <c r="BE102" s="863"/>
      <c r="BF102" s="863"/>
      <c r="BG102" s="863"/>
      <c r="BH102" s="863"/>
      <c r="BI102" s="863"/>
      <c r="BJ102" s="863"/>
      <c r="BK102" s="863"/>
      <c r="BL102" s="863"/>
      <c r="BM102" s="863"/>
      <c r="BN102" s="863"/>
      <c r="BO102" s="863"/>
      <c r="BP102" s="863"/>
      <c r="BQ102" s="863"/>
      <c r="BR102" s="863"/>
      <c r="BS102" s="863"/>
      <c r="BT102" s="863"/>
    </row>
    <row r="103" spans="1:72">
      <c r="A103" s="863" t="s">
        <v>616</v>
      </c>
      <c r="B103" s="863">
        <v>23.83</v>
      </c>
      <c r="C103" s="863">
        <v>29.93</v>
      </c>
      <c r="D103" s="863">
        <v>25.2</v>
      </c>
      <c r="E103" s="863">
        <v>23.89</v>
      </c>
      <c r="F103" s="863">
        <v>23.98</v>
      </c>
      <c r="G103" s="863">
        <v>25.13</v>
      </c>
      <c r="H103" s="863">
        <v>26.33</v>
      </c>
      <c r="I103" s="863">
        <v>27.29</v>
      </c>
      <c r="J103" s="863">
        <v>27.88</v>
      </c>
      <c r="K103" s="863">
        <v>28.53</v>
      </c>
      <c r="L103" s="863">
        <v>29.07</v>
      </c>
      <c r="M103" s="863">
        <v>29.65</v>
      </c>
      <c r="N103" s="863">
        <v>29.91</v>
      </c>
      <c r="O103" s="863">
        <v>30.13</v>
      </c>
      <c r="P103" s="863">
        <v>30.36</v>
      </c>
      <c r="Q103" s="863">
        <v>30.56</v>
      </c>
      <c r="R103" s="863">
        <v>30.83</v>
      </c>
      <c r="S103" s="863">
        <v>31.1</v>
      </c>
      <c r="T103" s="863">
        <v>31.36</v>
      </c>
      <c r="U103" s="863">
        <v>31.5</v>
      </c>
      <c r="V103" s="863">
        <v>31.77</v>
      </c>
      <c r="W103" s="863">
        <v>32.01</v>
      </c>
      <c r="X103" s="863">
        <v>32.36</v>
      </c>
      <c r="Y103" s="863">
        <v>32.58</v>
      </c>
      <c r="Z103" s="863">
        <v>32.93</v>
      </c>
      <c r="AA103" s="863">
        <v>33.26</v>
      </c>
      <c r="AB103" s="863">
        <v>33.64</v>
      </c>
      <c r="AC103" s="863">
        <v>34</v>
      </c>
      <c r="AD103" s="863">
        <v>34.380000000000003</v>
      </c>
      <c r="AE103" s="900">
        <v>5.0000000000000001E-3</v>
      </c>
      <c r="AF103" s="863"/>
      <c r="AG103" s="863"/>
      <c r="AH103" s="863"/>
      <c r="AI103" s="863"/>
      <c r="AJ103" s="863"/>
      <c r="AK103" s="863"/>
      <c r="AL103" s="863"/>
      <c r="AM103" s="863"/>
      <c r="AN103" s="863"/>
      <c r="AO103" s="863"/>
      <c r="AP103" s="863"/>
      <c r="AQ103" s="863"/>
      <c r="AR103" s="863"/>
      <c r="AS103" s="863"/>
      <c r="AT103" s="863"/>
      <c r="AU103" s="863"/>
      <c r="AV103" s="863"/>
      <c r="AW103" s="863"/>
      <c r="AX103" s="863"/>
      <c r="AY103" s="863"/>
      <c r="AZ103" s="863"/>
      <c r="BA103" s="863"/>
      <c r="BB103" s="863"/>
      <c r="BC103" s="863"/>
      <c r="BD103" s="863"/>
      <c r="BE103" s="863"/>
      <c r="BF103" s="863"/>
      <c r="BG103" s="863"/>
      <c r="BH103" s="863"/>
      <c r="BI103" s="863"/>
      <c r="BJ103" s="863"/>
      <c r="BK103" s="863"/>
      <c r="BL103" s="863"/>
      <c r="BM103" s="863"/>
      <c r="BN103" s="863"/>
      <c r="BO103" s="863"/>
      <c r="BP103" s="863"/>
      <c r="BQ103" s="863"/>
      <c r="BR103" s="863"/>
      <c r="BS103" s="863"/>
      <c r="BT103" s="863"/>
    </row>
    <row r="104" spans="1:72">
      <c r="A104" s="863" t="s">
        <v>617</v>
      </c>
      <c r="B104" s="863">
        <v>27.43</v>
      </c>
      <c r="C104" s="863">
        <v>26.93</v>
      </c>
      <c r="D104" s="863">
        <v>23.29</v>
      </c>
      <c r="E104" s="863">
        <v>20.64</v>
      </c>
      <c r="F104" s="863">
        <v>20.97</v>
      </c>
      <c r="G104" s="863">
        <v>22.13</v>
      </c>
      <c r="H104" s="863">
        <v>24.21</v>
      </c>
      <c r="I104" s="863">
        <v>25.23</v>
      </c>
      <c r="J104" s="863">
        <v>25.55</v>
      </c>
      <c r="K104" s="863">
        <v>25.08</v>
      </c>
      <c r="L104" s="863">
        <v>25.9</v>
      </c>
      <c r="M104" s="863">
        <v>26.54</v>
      </c>
      <c r="N104" s="863">
        <v>26.68</v>
      </c>
      <c r="O104" s="863">
        <v>26.95</v>
      </c>
      <c r="P104" s="863">
        <v>27.32</v>
      </c>
      <c r="Q104" s="863">
        <v>27.82</v>
      </c>
      <c r="R104" s="863">
        <v>28.31</v>
      </c>
      <c r="S104" s="863">
        <v>28.55</v>
      </c>
      <c r="T104" s="863">
        <v>28.86</v>
      </c>
      <c r="U104" s="863">
        <v>29.22</v>
      </c>
      <c r="V104" s="863">
        <v>29.49</v>
      </c>
      <c r="W104" s="863">
        <v>30.03</v>
      </c>
      <c r="X104" s="863">
        <v>30.44</v>
      </c>
      <c r="Y104" s="863">
        <v>30.64</v>
      </c>
      <c r="Z104" s="863">
        <v>30.86</v>
      </c>
      <c r="AA104" s="863">
        <v>31.29</v>
      </c>
      <c r="AB104" s="863">
        <v>31.49</v>
      </c>
      <c r="AC104" s="863">
        <v>31.77</v>
      </c>
      <c r="AD104" s="863">
        <v>32.229999999999997</v>
      </c>
      <c r="AE104" s="900">
        <v>7.0000000000000001E-3</v>
      </c>
      <c r="AF104" s="863"/>
      <c r="AG104" s="863"/>
      <c r="AH104" s="863"/>
      <c r="AI104" s="863"/>
      <c r="AJ104" s="863"/>
      <c r="AK104" s="863"/>
      <c r="AL104" s="863"/>
      <c r="AM104" s="863"/>
      <c r="AN104" s="863"/>
      <c r="AO104" s="863"/>
      <c r="AP104" s="863"/>
      <c r="AQ104" s="863"/>
      <c r="AR104" s="863"/>
      <c r="AS104" s="863"/>
      <c r="AT104" s="863"/>
      <c r="AU104" s="863"/>
      <c r="AV104" s="863"/>
      <c r="AW104" s="863"/>
      <c r="AX104" s="863"/>
      <c r="AY104" s="863"/>
      <c r="AZ104" s="863"/>
      <c r="BA104" s="863"/>
      <c r="BB104" s="863"/>
      <c r="BC104" s="863"/>
      <c r="BD104" s="863"/>
      <c r="BE104" s="863"/>
      <c r="BF104" s="863"/>
      <c r="BG104" s="863"/>
      <c r="BH104" s="863"/>
      <c r="BI104" s="863"/>
      <c r="BJ104" s="863"/>
      <c r="BK104" s="863"/>
      <c r="BL104" s="863"/>
      <c r="BM104" s="863"/>
      <c r="BN104" s="863"/>
      <c r="BO104" s="863"/>
      <c r="BP104" s="863"/>
      <c r="BQ104" s="863"/>
      <c r="BR104" s="863"/>
      <c r="BS104" s="863"/>
      <c r="BT104" s="863"/>
    </row>
    <row r="105" spans="1:72">
      <c r="A105" s="863" t="s">
        <v>618</v>
      </c>
      <c r="B105" s="863">
        <v>23.66</v>
      </c>
      <c r="C105" s="863">
        <v>26.76</v>
      </c>
      <c r="D105" s="863">
        <v>19.14</v>
      </c>
      <c r="E105" s="863">
        <v>20.55</v>
      </c>
      <c r="F105" s="863">
        <v>20.88</v>
      </c>
      <c r="G105" s="863">
        <v>22.03</v>
      </c>
      <c r="H105" s="863">
        <v>24.02</v>
      </c>
      <c r="I105" s="863">
        <v>24.94</v>
      </c>
      <c r="J105" s="863">
        <v>25.37</v>
      </c>
      <c r="K105" s="863">
        <v>25.94</v>
      </c>
      <c r="L105" s="863">
        <v>26.47</v>
      </c>
      <c r="M105" s="863">
        <v>26.89</v>
      </c>
      <c r="N105" s="863">
        <v>27.2</v>
      </c>
      <c r="O105" s="863">
        <v>27.59</v>
      </c>
      <c r="P105" s="863">
        <v>27.82</v>
      </c>
      <c r="Q105" s="863">
        <v>28.18</v>
      </c>
      <c r="R105" s="863">
        <v>28.42</v>
      </c>
      <c r="S105" s="863">
        <v>28.54</v>
      </c>
      <c r="T105" s="863">
        <v>28.87</v>
      </c>
      <c r="U105" s="863">
        <v>29.19</v>
      </c>
      <c r="V105" s="863">
        <v>29.47</v>
      </c>
      <c r="W105" s="863">
        <v>29.9</v>
      </c>
      <c r="X105" s="863">
        <v>30.27</v>
      </c>
      <c r="Y105" s="863">
        <v>30.42</v>
      </c>
      <c r="Z105" s="863">
        <v>30.77</v>
      </c>
      <c r="AA105" s="863">
        <v>31.16</v>
      </c>
      <c r="AB105" s="863">
        <v>31.44</v>
      </c>
      <c r="AC105" s="863">
        <v>31.81</v>
      </c>
      <c r="AD105" s="863">
        <v>32.33</v>
      </c>
      <c r="AE105" s="900">
        <v>7.0000000000000001E-3</v>
      </c>
      <c r="AF105" s="863"/>
      <c r="AG105" s="863"/>
      <c r="AH105" s="863"/>
      <c r="AI105" s="863"/>
      <c r="AJ105" s="863"/>
      <c r="AK105" s="863"/>
      <c r="AL105" s="863"/>
      <c r="AM105" s="863"/>
      <c r="AN105" s="863"/>
      <c r="AO105" s="863"/>
      <c r="AP105" s="863"/>
      <c r="AQ105" s="863"/>
      <c r="AR105" s="863"/>
      <c r="AS105" s="863"/>
      <c r="AT105" s="863"/>
      <c r="AU105" s="863"/>
      <c r="AV105" s="863"/>
      <c r="AW105" s="863"/>
      <c r="AX105" s="863"/>
      <c r="AY105" s="863"/>
      <c r="AZ105" s="863"/>
      <c r="BA105" s="863"/>
      <c r="BB105" s="863"/>
      <c r="BC105" s="863"/>
      <c r="BD105" s="863"/>
      <c r="BE105" s="863"/>
      <c r="BF105" s="863"/>
      <c r="BG105" s="863"/>
      <c r="BH105" s="863"/>
      <c r="BI105" s="863"/>
      <c r="BJ105" s="863"/>
      <c r="BK105" s="863"/>
      <c r="BL105" s="863"/>
      <c r="BM105" s="863"/>
      <c r="BN105" s="863"/>
      <c r="BO105" s="863"/>
      <c r="BP105" s="863"/>
      <c r="BQ105" s="863"/>
      <c r="BR105" s="863"/>
      <c r="BS105" s="863"/>
      <c r="BT105" s="863"/>
    </row>
    <row r="106" spans="1:72">
      <c r="A106" s="863" t="s">
        <v>619</v>
      </c>
      <c r="B106" s="863">
        <v>15.77</v>
      </c>
      <c r="C106" s="863">
        <v>22.71</v>
      </c>
      <c r="D106" s="863">
        <v>12.73</v>
      </c>
      <c r="E106" s="863">
        <v>14.79</v>
      </c>
      <c r="F106" s="863">
        <v>15.16</v>
      </c>
      <c r="G106" s="863">
        <v>16.54</v>
      </c>
      <c r="H106" s="863">
        <v>17.690000000000001</v>
      </c>
      <c r="I106" s="863">
        <v>18.46</v>
      </c>
      <c r="J106" s="863">
        <v>19.04</v>
      </c>
      <c r="K106" s="863">
        <v>19.760000000000002</v>
      </c>
      <c r="L106" s="863">
        <v>20.41</v>
      </c>
      <c r="M106" s="863">
        <v>20.97</v>
      </c>
      <c r="N106" s="863">
        <v>21.35</v>
      </c>
      <c r="O106" s="863">
        <v>21.69</v>
      </c>
      <c r="P106" s="863">
        <v>21.85</v>
      </c>
      <c r="Q106" s="863">
        <v>22.09</v>
      </c>
      <c r="R106" s="863">
        <v>22.41</v>
      </c>
      <c r="S106" s="863">
        <v>22.61</v>
      </c>
      <c r="T106" s="863">
        <v>22.92</v>
      </c>
      <c r="U106" s="863">
        <v>23.19</v>
      </c>
      <c r="V106" s="863">
        <v>23.48</v>
      </c>
      <c r="W106" s="863">
        <v>23.9</v>
      </c>
      <c r="X106" s="863">
        <v>24.26</v>
      </c>
      <c r="Y106" s="863">
        <v>24.51</v>
      </c>
      <c r="Z106" s="863">
        <v>24.9</v>
      </c>
      <c r="AA106" s="863">
        <v>25.3</v>
      </c>
      <c r="AB106" s="863">
        <v>25.64</v>
      </c>
      <c r="AC106" s="863">
        <v>26.05</v>
      </c>
      <c r="AD106" s="863">
        <v>26.48</v>
      </c>
      <c r="AE106" s="900">
        <v>6.0000000000000001E-3</v>
      </c>
      <c r="AF106" s="863"/>
      <c r="AG106" s="863"/>
      <c r="AH106" s="863"/>
      <c r="AI106" s="863"/>
      <c r="AJ106" s="863"/>
      <c r="AK106" s="863"/>
      <c r="AL106" s="863"/>
      <c r="AM106" s="863"/>
      <c r="AN106" s="863"/>
      <c r="AO106" s="863"/>
      <c r="AP106" s="863"/>
      <c r="AQ106" s="863"/>
      <c r="AR106" s="863"/>
      <c r="AS106" s="863"/>
      <c r="AT106" s="863"/>
      <c r="AU106" s="863"/>
      <c r="AV106" s="863"/>
      <c r="AW106" s="863"/>
      <c r="AX106" s="863"/>
      <c r="AY106" s="863"/>
      <c r="AZ106" s="863"/>
      <c r="BA106" s="863"/>
      <c r="BB106" s="863"/>
      <c r="BC106" s="863"/>
      <c r="BD106" s="863"/>
      <c r="BE106" s="863"/>
      <c r="BF106" s="863"/>
      <c r="BG106" s="863"/>
      <c r="BH106" s="863"/>
      <c r="BI106" s="863"/>
      <c r="BJ106" s="863"/>
      <c r="BK106" s="863"/>
      <c r="BL106" s="863"/>
      <c r="BM106" s="863"/>
      <c r="BN106" s="863"/>
      <c r="BO106" s="863"/>
      <c r="BP106" s="863"/>
      <c r="BQ106" s="863"/>
      <c r="BR106" s="863"/>
      <c r="BS106" s="863"/>
      <c r="BT106" s="863"/>
    </row>
    <row r="107" spans="1:72">
      <c r="A107" s="863" t="s">
        <v>723</v>
      </c>
      <c r="B107" s="863">
        <v>21.55</v>
      </c>
      <c r="C107" s="863">
        <v>27.65</v>
      </c>
      <c r="D107" s="863">
        <v>17.77</v>
      </c>
      <c r="E107" s="863">
        <v>19.12</v>
      </c>
      <c r="F107" s="863">
        <v>19.309999999999999</v>
      </c>
      <c r="G107" s="863">
        <v>20.51</v>
      </c>
      <c r="H107" s="863">
        <v>21.54</v>
      </c>
      <c r="I107" s="863">
        <v>22.25</v>
      </c>
      <c r="J107" s="863">
        <v>22.93</v>
      </c>
      <c r="K107" s="863">
        <v>23.68</v>
      </c>
      <c r="L107" s="863">
        <v>24.26</v>
      </c>
      <c r="M107" s="863">
        <v>24.91</v>
      </c>
      <c r="N107" s="863">
        <v>25.29</v>
      </c>
      <c r="O107" s="863">
        <v>25.6</v>
      </c>
      <c r="P107" s="863">
        <v>25.79</v>
      </c>
      <c r="Q107" s="863">
        <v>26.12</v>
      </c>
      <c r="R107" s="863">
        <v>26.26</v>
      </c>
      <c r="S107" s="863">
        <v>26.34</v>
      </c>
      <c r="T107" s="863">
        <v>26.63</v>
      </c>
      <c r="U107" s="863">
        <v>26.83</v>
      </c>
      <c r="V107" s="863">
        <v>27.09</v>
      </c>
      <c r="W107" s="863">
        <v>27.4</v>
      </c>
      <c r="X107" s="863">
        <v>27.8</v>
      </c>
      <c r="Y107" s="863">
        <v>27.96</v>
      </c>
      <c r="Z107" s="863">
        <v>28.38</v>
      </c>
      <c r="AA107" s="863">
        <v>28.78</v>
      </c>
      <c r="AB107" s="863">
        <v>29.09</v>
      </c>
      <c r="AC107" s="863">
        <v>29.49</v>
      </c>
      <c r="AD107" s="863">
        <v>29.96</v>
      </c>
      <c r="AE107" s="900">
        <v>3.0000000000000001E-3</v>
      </c>
      <c r="AF107" s="863"/>
      <c r="AG107" s="863"/>
      <c r="AH107" s="863"/>
      <c r="AI107" s="863"/>
      <c r="AJ107" s="863"/>
      <c r="AK107" s="863"/>
      <c r="AL107" s="863"/>
      <c r="AM107" s="863"/>
      <c r="AN107" s="863"/>
      <c r="AO107" s="863"/>
      <c r="AP107" s="863"/>
      <c r="AQ107" s="863"/>
      <c r="AR107" s="863"/>
      <c r="AS107" s="863"/>
      <c r="AT107" s="863"/>
      <c r="AU107" s="863"/>
      <c r="AV107" s="863"/>
      <c r="AW107" s="863"/>
      <c r="AX107" s="863"/>
      <c r="AY107" s="863"/>
      <c r="AZ107" s="863"/>
      <c r="BA107" s="863"/>
      <c r="BB107" s="863"/>
      <c r="BC107" s="863"/>
      <c r="BD107" s="863"/>
      <c r="BE107" s="863"/>
      <c r="BF107" s="863"/>
      <c r="BG107" s="863"/>
      <c r="BH107" s="863"/>
      <c r="BI107" s="863"/>
      <c r="BJ107" s="863"/>
      <c r="BK107" s="863"/>
      <c r="BL107" s="863"/>
      <c r="BM107" s="863"/>
      <c r="BN107" s="863"/>
      <c r="BO107" s="863"/>
      <c r="BP107" s="863"/>
      <c r="BQ107" s="863"/>
      <c r="BR107" s="863"/>
      <c r="BS107" s="863"/>
      <c r="BT107" s="863"/>
    </row>
    <row r="108" spans="1:72">
      <c r="A108" s="863" t="s">
        <v>610</v>
      </c>
      <c r="B108" s="863">
        <v>9.19</v>
      </c>
      <c r="C108" s="863">
        <v>14.49</v>
      </c>
      <c r="D108" s="863">
        <v>8.86</v>
      </c>
      <c r="E108" s="863">
        <v>10.210000000000001</v>
      </c>
      <c r="F108" s="863">
        <v>10.32</v>
      </c>
      <c r="G108" s="863">
        <v>11.5</v>
      </c>
      <c r="H108" s="863">
        <v>12.44</v>
      </c>
      <c r="I108" s="863">
        <v>13.18</v>
      </c>
      <c r="J108" s="863">
        <v>13.58</v>
      </c>
      <c r="K108" s="863">
        <v>13.9</v>
      </c>
      <c r="L108" s="863">
        <v>14.43</v>
      </c>
      <c r="M108" s="863">
        <v>14.81</v>
      </c>
      <c r="N108" s="863">
        <v>14.97</v>
      </c>
      <c r="O108" s="863">
        <v>14.99</v>
      </c>
      <c r="P108" s="863">
        <v>15.23</v>
      </c>
      <c r="Q108" s="863">
        <v>15.34</v>
      </c>
      <c r="R108" s="863">
        <v>15.55</v>
      </c>
      <c r="S108" s="863">
        <v>15.75</v>
      </c>
      <c r="T108" s="863">
        <v>15.93</v>
      </c>
      <c r="U108" s="863">
        <v>15.98</v>
      </c>
      <c r="V108" s="863">
        <v>16.27</v>
      </c>
      <c r="W108" s="863">
        <v>16.5</v>
      </c>
      <c r="X108" s="863">
        <v>16.8</v>
      </c>
      <c r="Y108" s="863">
        <v>17.100000000000001</v>
      </c>
      <c r="Z108" s="863">
        <v>17.420000000000002</v>
      </c>
      <c r="AA108" s="863">
        <v>17.690000000000001</v>
      </c>
      <c r="AB108" s="863">
        <v>17.93</v>
      </c>
      <c r="AC108" s="863">
        <v>18.239999999999998</v>
      </c>
      <c r="AD108" s="863">
        <v>18.600000000000001</v>
      </c>
      <c r="AE108" s="900">
        <v>8.9999999999999993E-3</v>
      </c>
      <c r="AF108" s="863"/>
      <c r="AG108" s="863"/>
      <c r="AH108" s="863"/>
      <c r="AI108" s="863"/>
      <c r="AJ108" s="863"/>
      <c r="AK108" s="863"/>
      <c r="AL108" s="863"/>
      <c r="AM108" s="863"/>
      <c r="AN108" s="863"/>
      <c r="AO108" s="863"/>
      <c r="AP108" s="863"/>
      <c r="AQ108" s="863"/>
      <c r="AR108" s="863"/>
      <c r="AS108" s="863"/>
      <c r="AT108" s="863"/>
      <c r="AU108" s="863"/>
      <c r="AV108" s="863"/>
      <c r="AW108" s="863"/>
      <c r="AX108" s="863"/>
      <c r="AY108" s="863"/>
      <c r="AZ108" s="863"/>
      <c r="BA108" s="863"/>
      <c r="BB108" s="863"/>
      <c r="BC108" s="863"/>
      <c r="BD108" s="863"/>
      <c r="BE108" s="863"/>
      <c r="BF108" s="863"/>
      <c r="BG108" s="863"/>
      <c r="BH108" s="863"/>
      <c r="BI108" s="863"/>
      <c r="BJ108" s="863"/>
      <c r="BK108" s="863"/>
      <c r="BL108" s="863"/>
      <c r="BM108" s="863"/>
      <c r="BN108" s="863"/>
      <c r="BO108" s="863"/>
      <c r="BP108" s="863"/>
      <c r="BQ108" s="863"/>
      <c r="BR108" s="863"/>
      <c r="BS108" s="863"/>
      <c r="BT108" s="863"/>
    </row>
    <row r="109" spans="1:72">
      <c r="A109" s="863" t="s">
        <v>621</v>
      </c>
      <c r="B109" s="863">
        <v>13.84</v>
      </c>
      <c r="C109" s="863">
        <v>15.96</v>
      </c>
      <c r="D109" s="863">
        <v>11.36</v>
      </c>
      <c r="E109" s="863">
        <v>12</v>
      </c>
      <c r="F109" s="863">
        <v>13.09</v>
      </c>
      <c r="G109" s="863">
        <v>13.49</v>
      </c>
      <c r="H109" s="863">
        <v>13.36</v>
      </c>
      <c r="I109" s="863">
        <v>13.25</v>
      </c>
      <c r="J109" s="863">
        <v>13.37</v>
      </c>
      <c r="K109" s="863">
        <v>13.41</v>
      </c>
      <c r="L109" s="863">
        <v>13.38</v>
      </c>
      <c r="M109" s="863">
        <v>13.37</v>
      </c>
      <c r="N109" s="863">
        <v>13.38</v>
      </c>
      <c r="O109" s="863">
        <v>13.44</v>
      </c>
      <c r="P109" s="863">
        <v>13.46</v>
      </c>
      <c r="Q109" s="863">
        <v>13.58</v>
      </c>
      <c r="R109" s="863">
        <v>13.54</v>
      </c>
      <c r="S109" s="863">
        <v>13.41</v>
      </c>
      <c r="T109" s="863">
        <v>13.43</v>
      </c>
      <c r="U109" s="863">
        <v>13.54</v>
      </c>
      <c r="V109" s="863">
        <v>13.65</v>
      </c>
      <c r="W109" s="863">
        <v>13.83</v>
      </c>
      <c r="X109" s="863">
        <v>14</v>
      </c>
      <c r="Y109" s="863">
        <v>14.19</v>
      </c>
      <c r="Z109" s="863">
        <v>14.46</v>
      </c>
      <c r="AA109" s="863">
        <v>14.54</v>
      </c>
      <c r="AB109" s="863">
        <v>14.55</v>
      </c>
      <c r="AC109" s="863">
        <v>14.7</v>
      </c>
      <c r="AD109" s="863">
        <v>14.78</v>
      </c>
      <c r="AE109" s="900">
        <v>-3.0000000000000001E-3</v>
      </c>
      <c r="AF109" s="863"/>
      <c r="AG109" s="863"/>
      <c r="AH109" s="863"/>
      <c r="AI109" s="863"/>
      <c r="AJ109" s="863"/>
      <c r="AK109" s="863"/>
      <c r="AL109" s="863"/>
      <c r="AM109" s="863"/>
      <c r="AN109" s="863"/>
      <c r="AO109" s="863"/>
      <c r="AP109" s="863"/>
      <c r="AQ109" s="863"/>
      <c r="AR109" s="863"/>
      <c r="AS109" s="863"/>
      <c r="AT109" s="863"/>
      <c r="AU109" s="863"/>
      <c r="AV109" s="863"/>
      <c r="AW109" s="863"/>
      <c r="AX109" s="863"/>
      <c r="AY109" s="863"/>
      <c r="AZ109" s="863"/>
      <c r="BA109" s="863"/>
      <c r="BB109" s="863"/>
      <c r="BC109" s="863"/>
      <c r="BD109" s="863"/>
      <c r="BE109" s="863"/>
      <c r="BF109" s="863"/>
      <c r="BG109" s="863"/>
      <c r="BH109" s="863"/>
      <c r="BI109" s="863"/>
      <c r="BJ109" s="863"/>
      <c r="BK109" s="863"/>
      <c r="BL109" s="863"/>
      <c r="BM109" s="863"/>
      <c r="BN109" s="863"/>
      <c r="BO109" s="863"/>
      <c r="BP109" s="863"/>
      <c r="BQ109" s="863"/>
      <c r="BR109" s="863"/>
      <c r="BS109" s="863"/>
      <c r="BT109" s="863"/>
    </row>
    <row r="110" spans="1:72">
      <c r="A110" s="863" t="s">
        <v>478</v>
      </c>
      <c r="B110" s="863">
        <v>32.03</v>
      </c>
      <c r="C110" s="863">
        <v>33.729999999999997</v>
      </c>
      <c r="D110" s="863">
        <v>32.299999999999997</v>
      </c>
      <c r="E110" s="863">
        <v>30.29</v>
      </c>
      <c r="F110" s="863">
        <v>27.63</v>
      </c>
      <c r="G110" s="863">
        <v>29.66</v>
      </c>
      <c r="H110" s="863">
        <v>29.72</v>
      </c>
      <c r="I110" s="863">
        <v>29.07</v>
      </c>
      <c r="J110" s="863">
        <v>28.79</v>
      </c>
      <c r="K110" s="863">
        <v>29.01</v>
      </c>
      <c r="L110" s="863">
        <v>29.04</v>
      </c>
      <c r="M110" s="863">
        <v>28.87</v>
      </c>
      <c r="N110" s="863">
        <v>28.59</v>
      </c>
      <c r="O110" s="863">
        <v>28.55</v>
      </c>
      <c r="P110" s="863">
        <v>28.54</v>
      </c>
      <c r="Q110" s="863">
        <v>28.43</v>
      </c>
      <c r="R110" s="863">
        <v>28.48</v>
      </c>
      <c r="S110" s="863">
        <v>28.64</v>
      </c>
      <c r="T110" s="863">
        <v>28.63</v>
      </c>
      <c r="U110" s="863">
        <v>28.88</v>
      </c>
      <c r="V110" s="863">
        <v>29.32</v>
      </c>
      <c r="W110" s="863">
        <v>29.79</v>
      </c>
      <c r="X110" s="863">
        <v>30.51</v>
      </c>
      <c r="Y110" s="863">
        <v>31.01</v>
      </c>
      <c r="Z110" s="863">
        <v>31.61</v>
      </c>
      <c r="AA110" s="863">
        <v>32.15</v>
      </c>
      <c r="AB110" s="863">
        <v>32.47</v>
      </c>
      <c r="AC110" s="863">
        <v>32.89</v>
      </c>
      <c r="AD110" s="863">
        <v>33.26</v>
      </c>
      <c r="AE110" s="900">
        <v>-1E-3</v>
      </c>
      <c r="AF110" s="863"/>
      <c r="AG110" s="863"/>
      <c r="AH110" s="863"/>
      <c r="AI110" s="863"/>
      <c r="AJ110" s="863"/>
      <c r="AK110" s="863"/>
      <c r="AL110" s="863"/>
      <c r="AM110" s="863"/>
      <c r="AN110" s="863"/>
      <c r="AO110" s="863"/>
      <c r="AP110" s="863"/>
      <c r="AQ110" s="863"/>
      <c r="AR110" s="863"/>
      <c r="AS110" s="863"/>
      <c r="AT110" s="863"/>
      <c r="AU110" s="863"/>
      <c r="AV110" s="863"/>
      <c r="AW110" s="863"/>
      <c r="AX110" s="863"/>
      <c r="AY110" s="863"/>
      <c r="AZ110" s="863"/>
      <c r="BA110" s="863"/>
      <c r="BB110" s="863"/>
      <c r="BC110" s="863"/>
      <c r="BD110" s="863"/>
      <c r="BE110" s="863"/>
      <c r="BF110" s="863"/>
      <c r="BG110" s="863"/>
      <c r="BH110" s="863"/>
      <c r="BI110" s="863"/>
      <c r="BJ110" s="863"/>
      <c r="BK110" s="863"/>
      <c r="BL110" s="863"/>
      <c r="BM110" s="863"/>
      <c r="BN110" s="863"/>
      <c r="BO110" s="863"/>
      <c r="BP110" s="863"/>
      <c r="BQ110" s="863"/>
      <c r="BR110" s="863"/>
      <c r="BS110" s="863"/>
      <c r="BT110" s="863"/>
    </row>
    <row r="111" spans="1:72">
      <c r="A111" s="863"/>
      <c r="B111" s="863"/>
      <c r="C111" s="863"/>
      <c r="D111" s="863"/>
      <c r="E111" s="863"/>
      <c r="F111" s="863"/>
      <c r="G111" s="863"/>
      <c r="H111" s="863"/>
      <c r="I111" s="863"/>
      <c r="J111" s="863"/>
      <c r="K111" s="863"/>
      <c r="L111" s="863"/>
      <c r="M111" s="863"/>
      <c r="N111" s="863"/>
      <c r="O111" s="863"/>
      <c r="P111" s="863"/>
      <c r="Q111" s="863"/>
      <c r="R111" s="863"/>
      <c r="S111" s="863"/>
      <c r="T111" s="863"/>
      <c r="U111" s="863"/>
      <c r="V111" s="863"/>
      <c r="W111" s="863"/>
      <c r="X111" s="863"/>
      <c r="Y111" s="863"/>
      <c r="Z111" s="863"/>
      <c r="AA111" s="863"/>
      <c r="AB111" s="863"/>
      <c r="AC111" s="863"/>
      <c r="AD111" s="863"/>
      <c r="AE111" s="863"/>
      <c r="AF111" s="863"/>
      <c r="AG111" s="863"/>
      <c r="AH111" s="863"/>
      <c r="AI111" s="863"/>
      <c r="AJ111" s="863"/>
      <c r="AK111" s="863"/>
      <c r="AL111" s="863"/>
      <c r="AM111" s="863"/>
      <c r="AN111" s="863"/>
      <c r="AO111" s="863"/>
      <c r="AP111" s="863"/>
      <c r="AQ111" s="863"/>
      <c r="AR111" s="863"/>
      <c r="AS111" s="863"/>
      <c r="AT111" s="863"/>
      <c r="AU111" s="863"/>
      <c r="AV111" s="863"/>
      <c r="AW111" s="863"/>
      <c r="AX111" s="863"/>
      <c r="AY111" s="863"/>
      <c r="AZ111" s="863"/>
      <c r="BA111" s="863"/>
      <c r="BB111" s="863"/>
      <c r="BC111" s="863"/>
      <c r="BD111" s="863"/>
      <c r="BE111" s="863"/>
      <c r="BF111" s="863"/>
      <c r="BG111" s="863"/>
      <c r="BH111" s="863"/>
      <c r="BI111" s="863"/>
      <c r="BJ111" s="863"/>
      <c r="BK111" s="863"/>
      <c r="BL111" s="863"/>
      <c r="BM111" s="863"/>
      <c r="BN111" s="863"/>
      <c r="BO111" s="863"/>
      <c r="BP111" s="863"/>
      <c r="BQ111" s="863"/>
      <c r="BR111" s="863"/>
      <c r="BS111" s="863"/>
      <c r="BT111" s="863"/>
    </row>
    <row r="112" spans="1:72">
      <c r="A112" s="863" t="s">
        <v>622</v>
      </c>
      <c r="B112" s="863"/>
      <c r="C112" s="863"/>
      <c r="D112" s="863"/>
      <c r="E112" s="863"/>
      <c r="F112" s="863"/>
      <c r="G112" s="863"/>
      <c r="H112" s="863"/>
      <c r="I112" s="863"/>
      <c r="J112" s="863"/>
      <c r="K112" s="863"/>
      <c r="L112" s="863"/>
      <c r="M112" s="863"/>
      <c r="N112" s="863"/>
      <c r="O112" s="863"/>
      <c r="P112" s="863"/>
      <c r="Q112" s="863"/>
      <c r="R112" s="863"/>
      <c r="S112" s="863"/>
      <c r="T112" s="863"/>
      <c r="U112" s="863"/>
      <c r="V112" s="863"/>
      <c r="W112" s="863"/>
      <c r="X112" s="863"/>
      <c r="Y112" s="863"/>
      <c r="Z112" s="863"/>
      <c r="AA112" s="863"/>
      <c r="AB112" s="863"/>
      <c r="AC112" s="863"/>
      <c r="AD112" s="863"/>
      <c r="AE112" s="863"/>
      <c r="AF112" s="863"/>
      <c r="AG112" s="863"/>
      <c r="AH112" s="863"/>
      <c r="AI112" s="863"/>
      <c r="AJ112" s="863"/>
      <c r="AK112" s="863"/>
      <c r="AL112" s="863"/>
      <c r="AM112" s="863"/>
      <c r="AN112" s="863"/>
      <c r="AO112" s="863"/>
      <c r="AP112" s="863"/>
      <c r="AQ112" s="863"/>
      <c r="AR112" s="863"/>
      <c r="AS112" s="863"/>
      <c r="AT112" s="863"/>
      <c r="AU112" s="863"/>
      <c r="AV112" s="863"/>
      <c r="AW112" s="863"/>
      <c r="AX112" s="863"/>
      <c r="AY112" s="863"/>
      <c r="AZ112" s="863"/>
      <c r="BA112" s="863"/>
      <c r="BB112" s="863"/>
      <c r="BC112" s="863"/>
      <c r="BD112" s="863"/>
      <c r="BE112" s="863"/>
      <c r="BF112" s="863"/>
      <c r="BG112" s="863"/>
      <c r="BH112" s="863"/>
      <c r="BI112" s="863"/>
      <c r="BJ112" s="863"/>
      <c r="BK112" s="863"/>
      <c r="BL112" s="863"/>
      <c r="BM112" s="863"/>
      <c r="BN112" s="863"/>
      <c r="BO112" s="863"/>
      <c r="BP112" s="863"/>
      <c r="BQ112" s="863"/>
      <c r="BR112" s="863"/>
      <c r="BS112" s="863"/>
      <c r="BT112" s="863"/>
    </row>
    <row r="113" spans="1:72">
      <c r="A113" s="863" t="s">
        <v>609</v>
      </c>
      <c r="B113" s="863">
        <v>15.75</v>
      </c>
      <c r="C113" s="863">
        <v>19.37</v>
      </c>
      <c r="D113" s="863">
        <v>14.24</v>
      </c>
      <c r="E113" s="863">
        <v>13.91</v>
      </c>
      <c r="F113" s="863">
        <v>14.06</v>
      </c>
      <c r="G113" s="863">
        <v>15.2</v>
      </c>
      <c r="H113" s="863">
        <v>16.21</v>
      </c>
      <c r="I113" s="863">
        <v>16.89</v>
      </c>
      <c r="J113" s="863">
        <v>17.36</v>
      </c>
      <c r="K113" s="863">
        <v>18.22</v>
      </c>
      <c r="L113" s="863">
        <v>18.88</v>
      </c>
      <c r="M113" s="863">
        <v>19.510000000000002</v>
      </c>
      <c r="N113" s="863">
        <v>19.920000000000002</v>
      </c>
      <c r="O113" s="863">
        <v>20.25</v>
      </c>
      <c r="P113" s="863">
        <v>20.399999999999999</v>
      </c>
      <c r="Q113" s="863">
        <v>20.58</v>
      </c>
      <c r="R113" s="863">
        <v>20.89</v>
      </c>
      <c r="S113" s="863">
        <v>21.07</v>
      </c>
      <c r="T113" s="863">
        <v>21.35</v>
      </c>
      <c r="U113" s="863">
        <v>21.6</v>
      </c>
      <c r="V113" s="863">
        <v>21.83</v>
      </c>
      <c r="W113" s="863">
        <v>22.14</v>
      </c>
      <c r="X113" s="863">
        <v>22.54</v>
      </c>
      <c r="Y113" s="863">
        <v>22.71</v>
      </c>
      <c r="Z113" s="863">
        <v>23.14</v>
      </c>
      <c r="AA113" s="863">
        <v>23.54</v>
      </c>
      <c r="AB113" s="863">
        <v>23.87</v>
      </c>
      <c r="AC113" s="863">
        <v>24.28</v>
      </c>
      <c r="AD113" s="863">
        <v>24.7</v>
      </c>
      <c r="AE113" s="900">
        <v>8.9999999999999993E-3</v>
      </c>
      <c r="AF113" s="863"/>
      <c r="AG113" s="863"/>
      <c r="AH113" s="863"/>
      <c r="AI113" s="863"/>
      <c r="AJ113" s="863"/>
      <c r="AK113" s="863"/>
      <c r="AL113" s="863"/>
      <c r="AM113" s="863"/>
      <c r="AN113" s="863"/>
      <c r="AO113" s="863"/>
      <c r="AP113" s="863"/>
      <c r="AQ113" s="863"/>
      <c r="AR113" s="863"/>
      <c r="AS113" s="863"/>
      <c r="AT113" s="863"/>
      <c r="AU113" s="863"/>
      <c r="AV113" s="863"/>
      <c r="AW113" s="863"/>
      <c r="AX113" s="863"/>
      <c r="AY113" s="863"/>
      <c r="AZ113" s="863"/>
      <c r="BA113" s="863"/>
      <c r="BB113" s="863"/>
      <c r="BC113" s="863"/>
      <c r="BD113" s="863"/>
      <c r="BE113" s="863"/>
      <c r="BF113" s="863"/>
      <c r="BG113" s="863"/>
      <c r="BH113" s="863"/>
      <c r="BI113" s="863"/>
      <c r="BJ113" s="863"/>
      <c r="BK113" s="863"/>
      <c r="BL113" s="863"/>
      <c r="BM113" s="863"/>
      <c r="BN113" s="863"/>
      <c r="BO113" s="863"/>
      <c r="BP113" s="863"/>
      <c r="BQ113" s="863"/>
      <c r="BR113" s="863"/>
      <c r="BS113" s="863"/>
      <c r="BT113" s="863"/>
    </row>
    <row r="114" spans="1:72">
      <c r="A114" s="863" t="s">
        <v>610</v>
      </c>
      <c r="B114" s="863">
        <v>9.0399999999999991</v>
      </c>
      <c r="C114" s="863">
        <v>14.56</v>
      </c>
      <c r="D114" s="863">
        <v>8.7799999999999994</v>
      </c>
      <c r="E114" s="863">
        <v>12</v>
      </c>
      <c r="F114" s="863">
        <v>12.17</v>
      </c>
      <c r="G114" s="863">
        <v>13.34</v>
      </c>
      <c r="H114" s="863">
        <v>14.37</v>
      </c>
      <c r="I114" s="863">
        <v>15.11</v>
      </c>
      <c r="J114" s="863">
        <v>15.53</v>
      </c>
      <c r="K114" s="863">
        <v>15.93</v>
      </c>
      <c r="L114" s="863">
        <v>16.45</v>
      </c>
      <c r="M114" s="863">
        <v>16.89</v>
      </c>
      <c r="N114" s="863">
        <v>17.14</v>
      </c>
      <c r="O114" s="863">
        <v>17.22</v>
      </c>
      <c r="P114" s="863">
        <v>17.47</v>
      </c>
      <c r="Q114" s="863">
        <v>17.63</v>
      </c>
      <c r="R114" s="863">
        <v>17.850000000000001</v>
      </c>
      <c r="S114" s="863">
        <v>18.079999999999998</v>
      </c>
      <c r="T114" s="863">
        <v>18.3</v>
      </c>
      <c r="U114" s="863">
        <v>18.38</v>
      </c>
      <c r="V114" s="863">
        <v>18.68</v>
      </c>
      <c r="W114" s="863">
        <v>18.940000000000001</v>
      </c>
      <c r="X114" s="863">
        <v>19.23</v>
      </c>
      <c r="Y114" s="863">
        <v>19.55</v>
      </c>
      <c r="Z114" s="863">
        <v>19.899999999999999</v>
      </c>
      <c r="AA114" s="863">
        <v>20.190000000000001</v>
      </c>
      <c r="AB114" s="863">
        <v>20.43</v>
      </c>
      <c r="AC114" s="863">
        <v>20.77</v>
      </c>
      <c r="AD114" s="863">
        <v>21.12</v>
      </c>
      <c r="AE114" s="900">
        <v>1.4E-2</v>
      </c>
      <c r="AF114" s="863"/>
      <c r="AG114" s="863"/>
      <c r="AH114" s="863"/>
      <c r="AI114" s="863"/>
      <c r="AJ114" s="863"/>
      <c r="AK114" s="863"/>
      <c r="AL114" s="863"/>
      <c r="AM114" s="863"/>
      <c r="AN114" s="863"/>
      <c r="AO114" s="863"/>
      <c r="AP114" s="863"/>
      <c r="AQ114" s="863"/>
      <c r="AR114" s="863"/>
      <c r="AS114" s="863"/>
      <c r="AT114" s="863"/>
      <c r="AU114" s="863"/>
      <c r="AV114" s="863"/>
      <c r="AW114" s="863"/>
      <c r="AX114" s="863"/>
      <c r="AY114" s="863"/>
      <c r="AZ114" s="863"/>
      <c r="BA114" s="863"/>
      <c r="BB114" s="863"/>
      <c r="BC114" s="863"/>
      <c r="BD114" s="863"/>
      <c r="BE114" s="863"/>
      <c r="BF114" s="863"/>
      <c r="BG114" s="863"/>
      <c r="BH114" s="863"/>
      <c r="BI114" s="863"/>
      <c r="BJ114" s="863"/>
      <c r="BK114" s="863"/>
      <c r="BL114" s="863"/>
      <c r="BM114" s="863"/>
      <c r="BN114" s="863"/>
      <c r="BO114" s="863"/>
      <c r="BP114" s="863"/>
      <c r="BQ114" s="863"/>
      <c r="BR114" s="863"/>
      <c r="BS114" s="863"/>
      <c r="BT114" s="863"/>
    </row>
    <row r="115" spans="1:72">
      <c r="A115" s="863" t="s">
        <v>509</v>
      </c>
      <c r="B115" s="863">
        <v>7.26</v>
      </c>
      <c r="C115" s="863">
        <v>9.09</v>
      </c>
      <c r="D115" s="863">
        <v>4.1399999999999997</v>
      </c>
      <c r="E115" s="863">
        <v>4.8499999999999996</v>
      </c>
      <c r="F115" s="863">
        <v>5.82</v>
      </c>
      <c r="G115" s="863">
        <v>6.17</v>
      </c>
      <c r="H115" s="863">
        <v>5.94</v>
      </c>
      <c r="I115" s="863">
        <v>5.9</v>
      </c>
      <c r="J115" s="863">
        <v>6.08</v>
      </c>
      <c r="K115" s="863">
        <v>6.16</v>
      </c>
      <c r="L115" s="863">
        <v>6.17</v>
      </c>
      <c r="M115" s="863">
        <v>6.22</v>
      </c>
      <c r="N115" s="863">
        <v>6.29</v>
      </c>
      <c r="O115" s="863">
        <v>6.42</v>
      </c>
      <c r="P115" s="863">
        <v>6.52</v>
      </c>
      <c r="Q115" s="863">
        <v>6.69</v>
      </c>
      <c r="R115" s="863">
        <v>6.74</v>
      </c>
      <c r="S115" s="863">
        <v>6.7</v>
      </c>
      <c r="T115" s="863">
        <v>6.75</v>
      </c>
      <c r="U115" s="863">
        <v>6.91</v>
      </c>
      <c r="V115" s="863">
        <v>7.05</v>
      </c>
      <c r="W115" s="863">
        <v>7.27</v>
      </c>
      <c r="X115" s="863">
        <v>7.51</v>
      </c>
      <c r="Y115" s="863">
        <v>7.73</v>
      </c>
      <c r="Z115" s="863">
        <v>8.02</v>
      </c>
      <c r="AA115" s="863">
        <v>8.14</v>
      </c>
      <c r="AB115" s="863">
        <v>8.17</v>
      </c>
      <c r="AC115" s="863">
        <v>8.35</v>
      </c>
      <c r="AD115" s="863">
        <v>8.4600000000000009</v>
      </c>
      <c r="AE115" s="900">
        <v>-3.0000000000000001E-3</v>
      </c>
      <c r="AF115" s="863"/>
      <c r="AG115" s="863"/>
      <c r="AH115" s="863"/>
      <c r="AI115" s="863"/>
      <c r="AJ115" s="863"/>
      <c r="AK115" s="863"/>
      <c r="AL115" s="863"/>
      <c r="AM115" s="863"/>
      <c r="AN115" s="863"/>
      <c r="AO115" s="863"/>
      <c r="AP115" s="863"/>
      <c r="AQ115" s="863"/>
      <c r="AR115" s="863"/>
      <c r="AS115" s="863"/>
      <c r="AT115" s="863"/>
      <c r="AU115" s="863"/>
      <c r="AV115" s="863"/>
      <c r="AW115" s="863"/>
      <c r="AX115" s="863"/>
      <c r="AY115" s="863"/>
      <c r="AZ115" s="863"/>
      <c r="BA115" s="863"/>
      <c r="BB115" s="863"/>
      <c r="BC115" s="863"/>
      <c r="BD115" s="863"/>
      <c r="BE115" s="863"/>
      <c r="BF115" s="863"/>
      <c r="BG115" s="863"/>
      <c r="BH115" s="863"/>
      <c r="BI115" s="863"/>
      <c r="BJ115" s="863"/>
      <c r="BK115" s="863"/>
      <c r="BL115" s="863"/>
      <c r="BM115" s="863"/>
      <c r="BN115" s="863"/>
      <c r="BO115" s="863"/>
      <c r="BP115" s="863"/>
      <c r="BQ115" s="863"/>
      <c r="BR115" s="863"/>
      <c r="BS115" s="863"/>
      <c r="BT115" s="863"/>
    </row>
    <row r="116" spans="1:72">
      <c r="A116" s="863" t="s">
        <v>623</v>
      </c>
      <c r="B116" s="863">
        <v>1.8</v>
      </c>
      <c r="C116" s="863">
        <v>2.0499999999999998</v>
      </c>
      <c r="D116" s="863">
        <v>2.15</v>
      </c>
      <c r="E116" s="863">
        <v>1.99</v>
      </c>
      <c r="F116" s="863">
        <v>1.98</v>
      </c>
      <c r="G116" s="863">
        <v>1.99</v>
      </c>
      <c r="H116" s="863">
        <v>1.99</v>
      </c>
      <c r="I116" s="863">
        <v>1.99</v>
      </c>
      <c r="J116" s="863">
        <v>2.0099999999999998</v>
      </c>
      <c r="K116" s="863">
        <v>1.99</v>
      </c>
      <c r="L116" s="863">
        <v>2</v>
      </c>
      <c r="M116" s="863">
        <v>1.99</v>
      </c>
      <c r="N116" s="863">
        <v>1.99</v>
      </c>
      <c r="O116" s="863">
        <v>1.98</v>
      </c>
      <c r="P116" s="863">
        <v>1.98</v>
      </c>
      <c r="Q116" s="863">
        <v>1.99</v>
      </c>
      <c r="R116" s="863">
        <v>1.99</v>
      </c>
      <c r="S116" s="863">
        <v>1.99</v>
      </c>
      <c r="T116" s="863">
        <v>1.99</v>
      </c>
      <c r="U116" s="863">
        <v>2</v>
      </c>
      <c r="V116" s="863">
        <v>2</v>
      </c>
      <c r="W116" s="863">
        <v>2.0099999999999998</v>
      </c>
      <c r="X116" s="863">
        <v>2.02</v>
      </c>
      <c r="Y116" s="863">
        <v>2.0299999999999998</v>
      </c>
      <c r="Z116" s="863">
        <v>2.04</v>
      </c>
      <c r="AA116" s="863">
        <v>2.0499999999999998</v>
      </c>
      <c r="AB116" s="863">
        <v>2.06</v>
      </c>
      <c r="AC116" s="863">
        <v>2.0699999999999998</v>
      </c>
      <c r="AD116" s="863">
        <v>2.09</v>
      </c>
      <c r="AE116" s="900">
        <v>1E-3</v>
      </c>
      <c r="AF116" s="863"/>
      <c r="AG116" s="863"/>
      <c r="AH116" s="863"/>
      <c r="AI116" s="863"/>
      <c r="AJ116" s="863"/>
      <c r="AK116" s="863"/>
      <c r="AL116" s="863"/>
      <c r="AM116" s="863"/>
      <c r="AN116" s="863"/>
      <c r="AO116" s="863"/>
      <c r="AP116" s="863"/>
      <c r="AQ116" s="863"/>
      <c r="AR116" s="863"/>
      <c r="AS116" s="863"/>
      <c r="AT116" s="863"/>
      <c r="AU116" s="863"/>
      <c r="AV116" s="863"/>
      <c r="AW116" s="863"/>
      <c r="AX116" s="863"/>
      <c r="AY116" s="863"/>
      <c r="AZ116" s="863"/>
      <c r="BA116" s="863"/>
      <c r="BB116" s="863"/>
      <c r="BC116" s="863"/>
      <c r="BD116" s="863"/>
      <c r="BE116" s="863"/>
      <c r="BF116" s="863"/>
      <c r="BG116" s="863"/>
      <c r="BH116" s="863"/>
      <c r="BI116" s="863"/>
      <c r="BJ116" s="863"/>
      <c r="BK116" s="863"/>
      <c r="BL116" s="863"/>
      <c r="BM116" s="863"/>
      <c r="BN116" s="863"/>
      <c r="BO116" s="863"/>
      <c r="BP116" s="863"/>
      <c r="BQ116" s="863"/>
      <c r="BR116" s="863"/>
      <c r="BS116" s="863"/>
      <c r="BT116" s="863"/>
    </row>
    <row r="117" spans="1:72">
      <c r="A117" s="863"/>
      <c r="B117" s="863"/>
      <c r="C117" s="863"/>
      <c r="D117" s="863"/>
      <c r="E117" s="863"/>
      <c r="F117" s="863"/>
      <c r="G117" s="863"/>
      <c r="H117" s="863"/>
      <c r="I117" s="863"/>
      <c r="J117" s="863"/>
      <c r="K117" s="863"/>
      <c r="L117" s="863"/>
      <c r="M117" s="863"/>
      <c r="N117" s="863"/>
      <c r="O117" s="863"/>
      <c r="P117" s="863"/>
      <c r="Q117" s="863"/>
      <c r="R117" s="863"/>
      <c r="S117" s="863"/>
      <c r="T117" s="863"/>
      <c r="U117" s="863"/>
      <c r="V117" s="863"/>
      <c r="W117" s="863"/>
      <c r="X117" s="863"/>
      <c r="Y117" s="863"/>
      <c r="Z117" s="863"/>
      <c r="AA117" s="863"/>
      <c r="AB117" s="863"/>
      <c r="AC117" s="863"/>
      <c r="AD117" s="863"/>
      <c r="AE117" s="863"/>
      <c r="AF117" s="863"/>
      <c r="AG117" s="863"/>
      <c r="AH117" s="863"/>
      <c r="AI117" s="863"/>
      <c r="AJ117" s="863"/>
      <c r="AK117" s="863"/>
      <c r="AL117" s="863"/>
      <c r="AM117" s="863"/>
      <c r="AN117" s="863"/>
      <c r="AO117" s="863"/>
      <c r="AP117" s="863"/>
      <c r="AQ117" s="863"/>
      <c r="AR117" s="863"/>
      <c r="AS117" s="863"/>
      <c r="AT117" s="863"/>
      <c r="AU117" s="863"/>
      <c r="AV117" s="863"/>
      <c r="AW117" s="863"/>
      <c r="AX117" s="863"/>
      <c r="AY117" s="863"/>
      <c r="AZ117" s="863"/>
      <c r="BA117" s="863"/>
      <c r="BB117" s="863"/>
      <c r="BC117" s="863"/>
      <c r="BD117" s="863"/>
      <c r="BE117" s="863"/>
      <c r="BF117" s="863"/>
      <c r="BG117" s="863"/>
      <c r="BH117" s="863"/>
      <c r="BI117" s="863"/>
      <c r="BJ117" s="863"/>
      <c r="BK117" s="863"/>
      <c r="BL117" s="863"/>
      <c r="BM117" s="863"/>
      <c r="BN117" s="863"/>
      <c r="BO117" s="863"/>
      <c r="BP117" s="863"/>
      <c r="BQ117" s="863"/>
      <c r="BR117" s="863"/>
      <c r="BS117" s="863"/>
      <c r="BT117" s="863"/>
    </row>
    <row r="118" spans="1:72">
      <c r="A118" s="863" t="s">
        <v>624</v>
      </c>
      <c r="B118" s="863"/>
      <c r="C118" s="863"/>
      <c r="D118" s="863"/>
      <c r="E118" s="863"/>
      <c r="F118" s="863"/>
      <c r="G118" s="863"/>
      <c r="H118" s="863"/>
      <c r="I118" s="863"/>
      <c r="J118" s="863"/>
      <c r="K118" s="863"/>
      <c r="L118" s="863"/>
      <c r="M118" s="863"/>
      <c r="N118" s="863"/>
      <c r="O118" s="863"/>
      <c r="P118" s="863"/>
      <c r="Q118" s="863"/>
      <c r="R118" s="863"/>
      <c r="S118" s="863"/>
      <c r="T118" s="863"/>
      <c r="U118" s="863"/>
      <c r="V118" s="863"/>
      <c r="W118" s="863"/>
      <c r="X118" s="863"/>
      <c r="Y118" s="863"/>
      <c r="Z118" s="863"/>
      <c r="AA118" s="863"/>
      <c r="AB118" s="863"/>
      <c r="AC118" s="863"/>
      <c r="AD118" s="863"/>
      <c r="AE118" s="863"/>
      <c r="AF118" s="863"/>
      <c r="AG118" s="863"/>
      <c r="AH118" s="863"/>
      <c r="AI118" s="863"/>
      <c r="AJ118" s="863"/>
      <c r="AK118" s="863"/>
      <c r="AL118" s="863"/>
      <c r="AM118" s="863"/>
      <c r="AN118" s="863"/>
      <c r="AO118" s="863"/>
      <c r="AP118" s="863"/>
      <c r="AQ118" s="863"/>
      <c r="AR118" s="863"/>
      <c r="AS118" s="863"/>
      <c r="AT118" s="863"/>
      <c r="AU118" s="863"/>
      <c r="AV118" s="863"/>
      <c r="AW118" s="863"/>
      <c r="AX118" s="863"/>
      <c r="AY118" s="863"/>
      <c r="AZ118" s="863"/>
      <c r="BA118" s="863"/>
      <c r="BB118" s="863"/>
      <c r="BC118" s="863"/>
      <c r="BD118" s="863"/>
      <c r="BE118" s="863"/>
      <c r="BF118" s="863"/>
      <c r="BG118" s="863"/>
      <c r="BH118" s="863"/>
      <c r="BI118" s="863"/>
      <c r="BJ118" s="863"/>
      <c r="BK118" s="863"/>
      <c r="BL118" s="863"/>
      <c r="BM118" s="863"/>
      <c r="BN118" s="863"/>
      <c r="BO118" s="863"/>
      <c r="BP118" s="863"/>
      <c r="BQ118" s="863"/>
      <c r="BR118" s="863"/>
      <c r="BS118" s="863"/>
      <c r="BT118" s="863"/>
    </row>
    <row r="119" spans="1:72">
      <c r="A119" s="863" t="s">
        <v>608</v>
      </c>
      <c r="B119" s="863">
        <v>18.940000000000001</v>
      </c>
      <c r="C119" s="863">
        <v>20.190000000000001</v>
      </c>
      <c r="D119" s="863">
        <v>18.36</v>
      </c>
      <c r="E119" s="863">
        <v>16.850000000000001</v>
      </c>
      <c r="F119" s="863">
        <v>16.87</v>
      </c>
      <c r="G119" s="863">
        <v>17.87</v>
      </c>
      <c r="H119" s="863">
        <v>18.97</v>
      </c>
      <c r="I119" s="863">
        <v>19.82</v>
      </c>
      <c r="J119" s="863">
        <v>20.3</v>
      </c>
      <c r="K119" s="863">
        <v>20.84</v>
      </c>
      <c r="L119" s="863">
        <v>21.26</v>
      </c>
      <c r="M119" s="863">
        <v>21.71</v>
      </c>
      <c r="N119" s="863">
        <v>21.93</v>
      </c>
      <c r="O119" s="863">
        <v>22.15</v>
      </c>
      <c r="P119" s="863">
        <v>22.36</v>
      </c>
      <c r="Q119" s="863">
        <v>22.56</v>
      </c>
      <c r="R119" s="863">
        <v>22.83</v>
      </c>
      <c r="S119" s="863">
        <v>23.09</v>
      </c>
      <c r="T119" s="863">
        <v>23.34</v>
      </c>
      <c r="U119" s="863">
        <v>23.49</v>
      </c>
      <c r="V119" s="863">
        <v>23.75</v>
      </c>
      <c r="W119" s="863">
        <v>24</v>
      </c>
      <c r="X119" s="863">
        <v>24.34</v>
      </c>
      <c r="Y119" s="863">
        <v>24.55</v>
      </c>
      <c r="Z119" s="863">
        <v>24.91</v>
      </c>
      <c r="AA119" s="863">
        <v>25.25</v>
      </c>
      <c r="AB119" s="863">
        <v>25.63</v>
      </c>
      <c r="AC119" s="863">
        <v>25.99</v>
      </c>
      <c r="AD119" s="863">
        <v>26.37</v>
      </c>
      <c r="AE119" s="900">
        <v>0.01</v>
      </c>
      <c r="AF119" s="863"/>
      <c r="AG119" s="863"/>
      <c r="AH119" s="863"/>
      <c r="AI119" s="863"/>
      <c r="AJ119" s="863"/>
      <c r="AK119" s="863"/>
      <c r="AL119" s="863"/>
      <c r="AM119" s="863"/>
      <c r="AN119" s="863"/>
      <c r="AO119" s="863"/>
      <c r="AP119" s="863"/>
      <c r="AQ119" s="863"/>
      <c r="AR119" s="863"/>
      <c r="AS119" s="863"/>
      <c r="AT119" s="863"/>
      <c r="AU119" s="863"/>
      <c r="AV119" s="863"/>
      <c r="AW119" s="863"/>
      <c r="AX119" s="863"/>
      <c r="AY119" s="863"/>
      <c r="AZ119" s="863"/>
      <c r="BA119" s="863"/>
      <c r="BB119" s="863"/>
      <c r="BC119" s="863"/>
      <c r="BD119" s="863"/>
      <c r="BE119" s="863"/>
      <c r="BF119" s="863"/>
      <c r="BG119" s="863"/>
      <c r="BH119" s="863"/>
      <c r="BI119" s="863"/>
      <c r="BJ119" s="863"/>
      <c r="BK119" s="863"/>
      <c r="BL119" s="863"/>
      <c r="BM119" s="863"/>
      <c r="BN119" s="863"/>
      <c r="BO119" s="863"/>
      <c r="BP119" s="863"/>
      <c r="BQ119" s="863"/>
      <c r="BR119" s="863"/>
      <c r="BS119" s="863"/>
      <c r="BT119" s="863"/>
    </row>
    <row r="120" spans="1:72">
      <c r="A120" s="863" t="s">
        <v>617</v>
      </c>
      <c r="B120" s="863">
        <v>27.43</v>
      </c>
      <c r="C120" s="863">
        <v>26.93</v>
      </c>
      <c r="D120" s="863">
        <v>23.29</v>
      </c>
      <c r="E120" s="863">
        <v>20.64</v>
      </c>
      <c r="F120" s="863">
        <v>20.97</v>
      </c>
      <c r="G120" s="863">
        <v>22.13</v>
      </c>
      <c r="H120" s="863">
        <v>24.21</v>
      </c>
      <c r="I120" s="863">
        <v>25.23</v>
      </c>
      <c r="J120" s="863">
        <v>25.55</v>
      </c>
      <c r="K120" s="863">
        <v>25.08</v>
      </c>
      <c r="L120" s="863">
        <v>25.9</v>
      </c>
      <c r="M120" s="863">
        <v>26.54</v>
      </c>
      <c r="N120" s="863">
        <v>26.68</v>
      </c>
      <c r="O120" s="863">
        <v>26.95</v>
      </c>
      <c r="P120" s="863">
        <v>27.32</v>
      </c>
      <c r="Q120" s="863">
        <v>27.82</v>
      </c>
      <c r="R120" s="863">
        <v>28.31</v>
      </c>
      <c r="S120" s="863">
        <v>28.55</v>
      </c>
      <c r="T120" s="863">
        <v>28.86</v>
      </c>
      <c r="U120" s="863">
        <v>29.22</v>
      </c>
      <c r="V120" s="863">
        <v>29.49</v>
      </c>
      <c r="W120" s="863">
        <v>30.03</v>
      </c>
      <c r="X120" s="863">
        <v>30.44</v>
      </c>
      <c r="Y120" s="863">
        <v>30.64</v>
      </c>
      <c r="Z120" s="863">
        <v>30.86</v>
      </c>
      <c r="AA120" s="863">
        <v>31.29</v>
      </c>
      <c r="AB120" s="863">
        <v>31.49</v>
      </c>
      <c r="AC120" s="863">
        <v>31.77</v>
      </c>
      <c r="AD120" s="863">
        <v>32.229999999999997</v>
      </c>
      <c r="AE120" s="900">
        <v>7.0000000000000001E-3</v>
      </c>
      <c r="AF120" s="863"/>
      <c r="AG120" s="863"/>
      <c r="AH120" s="863"/>
      <c r="AI120" s="863"/>
      <c r="AJ120" s="863"/>
      <c r="AK120" s="863"/>
      <c r="AL120" s="863"/>
      <c r="AM120" s="863"/>
      <c r="AN120" s="863"/>
      <c r="AO120" s="863"/>
      <c r="AP120" s="863"/>
      <c r="AQ120" s="863"/>
      <c r="AR120" s="863"/>
      <c r="AS120" s="863"/>
      <c r="AT120" s="863"/>
      <c r="AU120" s="863"/>
      <c r="AV120" s="863"/>
      <c r="AW120" s="863"/>
      <c r="AX120" s="863"/>
      <c r="AY120" s="863"/>
      <c r="AZ120" s="863"/>
      <c r="BA120" s="863"/>
      <c r="BB120" s="863"/>
      <c r="BC120" s="863"/>
      <c r="BD120" s="863"/>
      <c r="BE120" s="863"/>
      <c r="BF120" s="863"/>
      <c r="BG120" s="863"/>
      <c r="BH120" s="863"/>
      <c r="BI120" s="863"/>
      <c r="BJ120" s="863"/>
      <c r="BK120" s="863"/>
      <c r="BL120" s="863"/>
      <c r="BM120" s="863"/>
      <c r="BN120" s="863"/>
      <c r="BO120" s="863"/>
      <c r="BP120" s="863"/>
      <c r="BQ120" s="863"/>
      <c r="BR120" s="863"/>
      <c r="BS120" s="863"/>
      <c r="BT120" s="863"/>
    </row>
    <row r="121" spans="1:72">
      <c r="A121" s="863" t="s">
        <v>618</v>
      </c>
      <c r="B121" s="863">
        <v>23.55</v>
      </c>
      <c r="C121" s="863">
        <v>26.54</v>
      </c>
      <c r="D121" s="863">
        <v>19.149999999999999</v>
      </c>
      <c r="E121" s="863">
        <v>20.55</v>
      </c>
      <c r="F121" s="863">
        <v>20.88</v>
      </c>
      <c r="G121" s="863">
        <v>22.03</v>
      </c>
      <c r="H121" s="863">
        <v>24.01</v>
      </c>
      <c r="I121" s="863">
        <v>24.94</v>
      </c>
      <c r="J121" s="863">
        <v>25.36</v>
      </c>
      <c r="K121" s="863">
        <v>25.93</v>
      </c>
      <c r="L121" s="863">
        <v>26.46</v>
      </c>
      <c r="M121" s="863">
        <v>26.89</v>
      </c>
      <c r="N121" s="863">
        <v>27.2</v>
      </c>
      <c r="O121" s="863">
        <v>27.59</v>
      </c>
      <c r="P121" s="863">
        <v>27.82</v>
      </c>
      <c r="Q121" s="863">
        <v>28.17</v>
      </c>
      <c r="R121" s="863">
        <v>28.41</v>
      </c>
      <c r="S121" s="863">
        <v>28.54</v>
      </c>
      <c r="T121" s="863">
        <v>28.87</v>
      </c>
      <c r="U121" s="863">
        <v>29.18</v>
      </c>
      <c r="V121" s="863">
        <v>29.47</v>
      </c>
      <c r="W121" s="863">
        <v>29.9</v>
      </c>
      <c r="X121" s="863">
        <v>30.27</v>
      </c>
      <c r="Y121" s="863">
        <v>30.41</v>
      </c>
      <c r="Z121" s="863">
        <v>30.76</v>
      </c>
      <c r="AA121" s="863">
        <v>31.16</v>
      </c>
      <c r="AB121" s="863">
        <v>31.43</v>
      </c>
      <c r="AC121" s="863">
        <v>31.81</v>
      </c>
      <c r="AD121" s="863">
        <v>32.32</v>
      </c>
      <c r="AE121" s="900">
        <v>7.0000000000000001E-3</v>
      </c>
      <c r="AF121" s="863"/>
      <c r="AG121" s="863"/>
      <c r="AH121" s="863"/>
      <c r="AI121" s="863"/>
      <c r="AJ121" s="863"/>
      <c r="AK121" s="863"/>
      <c r="AL121" s="863"/>
      <c r="AM121" s="863"/>
      <c r="AN121" s="863"/>
      <c r="AO121" s="863"/>
      <c r="AP121" s="863"/>
      <c r="AQ121" s="863"/>
      <c r="AR121" s="863"/>
      <c r="AS121" s="863"/>
      <c r="AT121" s="863"/>
      <c r="AU121" s="863"/>
      <c r="AV121" s="863"/>
      <c r="AW121" s="863"/>
      <c r="AX121" s="863"/>
      <c r="AY121" s="863"/>
      <c r="AZ121" s="863"/>
      <c r="BA121" s="863"/>
      <c r="BB121" s="863"/>
      <c r="BC121" s="863"/>
      <c r="BD121" s="863"/>
      <c r="BE121" s="863"/>
      <c r="BF121" s="863"/>
      <c r="BG121" s="863"/>
      <c r="BH121" s="863"/>
      <c r="BI121" s="863"/>
      <c r="BJ121" s="863"/>
      <c r="BK121" s="863"/>
      <c r="BL121" s="863"/>
      <c r="BM121" s="863"/>
      <c r="BN121" s="863"/>
      <c r="BO121" s="863"/>
      <c r="BP121" s="863"/>
      <c r="BQ121" s="863"/>
      <c r="BR121" s="863"/>
      <c r="BS121" s="863"/>
      <c r="BT121" s="863"/>
    </row>
    <row r="122" spans="1:72">
      <c r="A122" s="863" t="s">
        <v>625</v>
      </c>
      <c r="B122" s="863">
        <v>15.77</v>
      </c>
      <c r="C122" s="863">
        <v>22.71</v>
      </c>
      <c r="D122" s="863">
        <v>12.73</v>
      </c>
      <c r="E122" s="863">
        <v>14.79</v>
      </c>
      <c r="F122" s="863">
        <v>15.16</v>
      </c>
      <c r="G122" s="863">
        <v>16.54</v>
      </c>
      <c r="H122" s="863">
        <v>17.690000000000001</v>
      </c>
      <c r="I122" s="863">
        <v>18.46</v>
      </c>
      <c r="J122" s="863">
        <v>19.04</v>
      </c>
      <c r="K122" s="863">
        <v>19.760000000000002</v>
      </c>
      <c r="L122" s="863">
        <v>20.41</v>
      </c>
      <c r="M122" s="863">
        <v>20.97</v>
      </c>
      <c r="N122" s="863">
        <v>21.35</v>
      </c>
      <c r="O122" s="863">
        <v>21.69</v>
      </c>
      <c r="P122" s="863">
        <v>21.85</v>
      </c>
      <c r="Q122" s="863">
        <v>22.09</v>
      </c>
      <c r="R122" s="863">
        <v>22.41</v>
      </c>
      <c r="S122" s="863">
        <v>22.61</v>
      </c>
      <c r="T122" s="863">
        <v>22.92</v>
      </c>
      <c r="U122" s="863">
        <v>23.19</v>
      </c>
      <c r="V122" s="863">
        <v>23.48</v>
      </c>
      <c r="W122" s="863">
        <v>23.9</v>
      </c>
      <c r="X122" s="863">
        <v>24.26</v>
      </c>
      <c r="Y122" s="863">
        <v>24.51</v>
      </c>
      <c r="Z122" s="863">
        <v>24.9</v>
      </c>
      <c r="AA122" s="863">
        <v>25.3</v>
      </c>
      <c r="AB122" s="863">
        <v>25.64</v>
      </c>
      <c r="AC122" s="863">
        <v>26.05</v>
      </c>
      <c r="AD122" s="863">
        <v>26.48</v>
      </c>
      <c r="AE122" s="900">
        <v>6.0000000000000001E-3</v>
      </c>
      <c r="AF122" s="863"/>
      <c r="AG122" s="863"/>
      <c r="AH122" s="863"/>
      <c r="AI122" s="863"/>
      <c r="AJ122" s="863"/>
      <c r="AK122" s="863"/>
      <c r="AL122" s="863"/>
      <c r="AM122" s="863"/>
      <c r="AN122" s="863"/>
      <c r="AO122" s="863"/>
      <c r="AP122" s="863"/>
      <c r="AQ122" s="863"/>
      <c r="AR122" s="863"/>
      <c r="AS122" s="863"/>
      <c r="AT122" s="863"/>
      <c r="AU122" s="863"/>
      <c r="AV122" s="863"/>
      <c r="AW122" s="863"/>
      <c r="AX122" s="863"/>
      <c r="AY122" s="863"/>
      <c r="AZ122" s="863"/>
      <c r="BA122" s="863"/>
      <c r="BB122" s="863"/>
      <c r="BC122" s="863"/>
      <c r="BD122" s="863"/>
      <c r="BE122" s="863"/>
      <c r="BF122" s="863"/>
      <c r="BG122" s="863"/>
      <c r="BH122" s="863"/>
      <c r="BI122" s="863"/>
      <c r="BJ122" s="863"/>
      <c r="BK122" s="863"/>
      <c r="BL122" s="863"/>
      <c r="BM122" s="863"/>
      <c r="BN122" s="863"/>
      <c r="BO122" s="863"/>
      <c r="BP122" s="863"/>
      <c r="BQ122" s="863"/>
      <c r="BR122" s="863"/>
      <c r="BS122" s="863"/>
      <c r="BT122" s="863"/>
    </row>
    <row r="123" spans="1:72">
      <c r="A123" s="863" t="s">
        <v>609</v>
      </c>
      <c r="B123" s="863">
        <v>20.71</v>
      </c>
      <c r="C123" s="863">
        <v>26.27</v>
      </c>
      <c r="D123" s="863">
        <v>17.46</v>
      </c>
      <c r="E123" s="863">
        <v>17.73</v>
      </c>
      <c r="F123" s="863">
        <v>18.149999999999999</v>
      </c>
      <c r="G123" s="863">
        <v>19.45</v>
      </c>
      <c r="H123" s="863">
        <v>20.62</v>
      </c>
      <c r="I123" s="863">
        <v>21.35</v>
      </c>
      <c r="J123" s="863">
        <v>22.03</v>
      </c>
      <c r="K123" s="863">
        <v>22.8</v>
      </c>
      <c r="L123" s="863">
        <v>23.45</v>
      </c>
      <c r="M123" s="863">
        <v>24.07</v>
      </c>
      <c r="N123" s="863">
        <v>24.47</v>
      </c>
      <c r="O123" s="863">
        <v>24.79</v>
      </c>
      <c r="P123" s="863">
        <v>24.99</v>
      </c>
      <c r="Q123" s="863">
        <v>25.32</v>
      </c>
      <c r="R123" s="863">
        <v>25.5</v>
      </c>
      <c r="S123" s="863">
        <v>25.59</v>
      </c>
      <c r="T123" s="863">
        <v>25.89</v>
      </c>
      <c r="U123" s="863">
        <v>26.12</v>
      </c>
      <c r="V123" s="863">
        <v>26.38</v>
      </c>
      <c r="W123" s="863">
        <v>26.71</v>
      </c>
      <c r="X123" s="863">
        <v>27.11</v>
      </c>
      <c r="Y123" s="863">
        <v>27.29</v>
      </c>
      <c r="Z123" s="863">
        <v>27.73</v>
      </c>
      <c r="AA123" s="863">
        <v>28.13</v>
      </c>
      <c r="AB123" s="863">
        <v>28.46</v>
      </c>
      <c r="AC123" s="863">
        <v>28.87</v>
      </c>
      <c r="AD123" s="863">
        <v>29.34</v>
      </c>
      <c r="AE123" s="900">
        <v>4.0000000000000001E-3</v>
      </c>
      <c r="AF123" s="863"/>
      <c r="AG123" s="863"/>
      <c r="AH123" s="863"/>
      <c r="AI123" s="863"/>
      <c r="AJ123" s="863"/>
      <c r="AK123" s="863"/>
      <c r="AL123" s="863"/>
      <c r="AM123" s="863"/>
      <c r="AN123" s="863"/>
      <c r="AO123" s="863"/>
      <c r="AP123" s="863"/>
      <c r="AQ123" s="863"/>
      <c r="AR123" s="863"/>
      <c r="AS123" s="863"/>
      <c r="AT123" s="863"/>
      <c r="AU123" s="863"/>
      <c r="AV123" s="863"/>
      <c r="AW123" s="863"/>
      <c r="AX123" s="863"/>
      <c r="AY123" s="863"/>
      <c r="AZ123" s="863"/>
      <c r="BA123" s="863"/>
      <c r="BB123" s="863"/>
      <c r="BC123" s="863"/>
      <c r="BD123" s="863"/>
      <c r="BE123" s="863"/>
      <c r="BF123" s="863"/>
      <c r="BG123" s="863"/>
      <c r="BH123" s="863"/>
      <c r="BI123" s="863"/>
      <c r="BJ123" s="863"/>
      <c r="BK123" s="863"/>
      <c r="BL123" s="863"/>
      <c r="BM123" s="863"/>
      <c r="BN123" s="863"/>
      <c r="BO123" s="863"/>
      <c r="BP123" s="863"/>
      <c r="BQ123" s="863"/>
      <c r="BR123" s="863"/>
      <c r="BS123" s="863"/>
      <c r="BT123" s="863"/>
    </row>
    <row r="124" spans="1:72">
      <c r="A124" s="863" t="s">
        <v>610</v>
      </c>
      <c r="B124" s="863">
        <v>9.07</v>
      </c>
      <c r="C124" s="863">
        <v>14.77</v>
      </c>
      <c r="D124" s="863">
        <v>8.9600000000000009</v>
      </c>
      <c r="E124" s="863">
        <v>10.9</v>
      </c>
      <c r="F124" s="863">
        <v>11.01</v>
      </c>
      <c r="G124" s="863">
        <v>12.17</v>
      </c>
      <c r="H124" s="863">
        <v>13.13</v>
      </c>
      <c r="I124" s="863">
        <v>13.86</v>
      </c>
      <c r="J124" s="863">
        <v>14.26</v>
      </c>
      <c r="K124" s="863">
        <v>14.63</v>
      </c>
      <c r="L124" s="863">
        <v>15.14</v>
      </c>
      <c r="M124" s="863">
        <v>15.55</v>
      </c>
      <c r="N124" s="863">
        <v>15.76</v>
      </c>
      <c r="O124" s="863">
        <v>15.81</v>
      </c>
      <c r="P124" s="863">
        <v>16.05</v>
      </c>
      <c r="Q124" s="863">
        <v>16.190000000000001</v>
      </c>
      <c r="R124" s="863">
        <v>16.399999999999999</v>
      </c>
      <c r="S124" s="863">
        <v>16.600000000000001</v>
      </c>
      <c r="T124" s="863">
        <v>16.8</v>
      </c>
      <c r="U124" s="863">
        <v>16.850000000000001</v>
      </c>
      <c r="V124" s="863">
        <v>17.13</v>
      </c>
      <c r="W124" s="863">
        <v>17.37</v>
      </c>
      <c r="X124" s="863">
        <v>17.66</v>
      </c>
      <c r="Y124" s="863">
        <v>17.96</v>
      </c>
      <c r="Z124" s="863">
        <v>18.3</v>
      </c>
      <c r="AA124" s="863">
        <v>18.559999999999999</v>
      </c>
      <c r="AB124" s="863">
        <v>18.79</v>
      </c>
      <c r="AC124" s="863">
        <v>19.12</v>
      </c>
      <c r="AD124" s="863">
        <v>19.46</v>
      </c>
      <c r="AE124" s="900">
        <v>0.01</v>
      </c>
      <c r="AF124" s="863"/>
      <c r="AG124" s="863"/>
      <c r="AH124" s="863"/>
      <c r="AI124" s="863"/>
      <c r="AJ124" s="863"/>
      <c r="AK124" s="863"/>
      <c r="AL124" s="863"/>
      <c r="AM124" s="863"/>
      <c r="AN124" s="863"/>
      <c r="AO124" s="863"/>
      <c r="AP124" s="863"/>
      <c r="AQ124" s="863"/>
      <c r="AR124" s="863"/>
      <c r="AS124" s="863"/>
      <c r="AT124" s="863"/>
      <c r="AU124" s="863"/>
      <c r="AV124" s="863"/>
      <c r="AW124" s="863"/>
      <c r="AX124" s="863"/>
      <c r="AY124" s="863"/>
      <c r="AZ124" s="863"/>
      <c r="BA124" s="863"/>
      <c r="BB124" s="863"/>
      <c r="BC124" s="863"/>
      <c r="BD124" s="863"/>
      <c r="BE124" s="863"/>
      <c r="BF124" s="863"/>
      <c r="BG124" s="863"/>
      <c r="BH124" s="863"/>
      <c r="BI124" s="863"/>
      <c r="BJ124" s="863"/>
      <c r="BK124" s="863"/>
      <c r="BL124" s="863"/>
      <c r="BM124" s="863"/>
      <c r="BN124" s="863"/>
      <c r="BO124" s="863"/>
      <c r="BP124" s="863"/>
      <c r="BQ124" s="863"/>
      <c r="BR124" s="863"/>
      <c r="BS124" s="863"/>
      <c r="BT124" s="863"/>
    </row>
    <row r="125" spans="1:72">
      <c r="A125" s="863" t="s">
        <v>509</v>
      </c>
      <c r="B125" s="863">
        <v>9.19</v>
      </c>
      <c r="C125" s="863">
        <v>10.53</v>
      </c>
      <c r="D125" s="863">
        <v>6.57</v>
      </c>
      <c r="E125" s="863">
        <v>6.87</v>
      </c>
      <c r="F125" s="863">
        <v>7.87</v>
      </c>
      <c r="G125" s="863">
        <v>8.1999999999999993</v>
      </c>
      <c r="H125" s="863">
        <v>8.0500000000000007</v>
      </c>
      <c r="I125" s="863">
        <v>8.02</v>
      </c>
      <c r="J125" s="863">
        <v>8.14</v>
      </c>
      <c r="K125" s="863">
        <v>8.2200000000000006</v>
      </c>
      <c r="L125" s="863">
        <v>8.2200000000000006</v>
      </c>
      <c r="M125" s="863">
        <v>8.27</v>
      </c>
      <c r="N125" s="863">
        <v>8.33</v>
      </c>
      <c r="O125" s="863">
        <v>8.44</v>
      </c>
      <c r="P125" s="863">
        <v>8.5500000000000007</v>
      </c>
      <c r="Q125" s="863">
        <v>8.73</v>
      </c>
      <c r="R125" s="863">
        <v>8.77</v>
      </c>
      <c r="S125" s="863">
        <v>8.68</v>
      </c>
      <c r="T125" s="863">
        <v>8.75</v>
      </c>
      <c r="U125" s="863">
        <v>8.89</v>
      </c>
      <c r="V125" s="863">
        <v>9.0399999999999991</v>
      </c>
      <c r="W125" s="863">
        <v>9.26</v>
      </c>
      <c r="X125" s="863">
        <v>9.49</v>
      </c>
      <c r="Y125" s="863">
        <v>9.74</v>
      </c>
      <c r="Z125" s="863">
        <v>10.050000000000001</v>
      </c>
      <c r="AA125" s="863">
        <v>10.17</v>
      </c>
      <c r="AB125" s="863">
        <v>10.210000000000001</v>
      </c>
      <c r="AC125" s="863">
        <v>10.4</v>
      </c>
      <c r="AD125" s="863">
        <v>10.54</v>
      </c>
      <c r="AE125" s="900">
        <v>0</v>
      </c>
      <c r="AF125" s="863"/>
      <c r="AG125" s="863"/>
      <c r="AH125" s="863"/>
      <c r="AI125" s="863"/>
      <c r="AJ125" s="863"/>
      <c r="AK125" s="863"/>
      <c r="AL125" s="863"/>
      <c r="AM125" s="863"/>
      <c r="AN125" s="863"/>
      <c r="AO125" s="863"/>
      <c r="AP125" s="863"/>
      <c r="AQ125" s="863"/>
      <c r="AR125" s="863"/>
      <c r="AS125" s="863"/>
      <c r="AT125" s="863"/>
      <c r="AU125" s="863"/>
      <c r="AV125" s="863"/>
      <c r="AW125" s="863"/>
      <c r="AX125" s="863"/>
      <c r="AY125" s="863"/>
      <c r="AZ125" s="863"/>
      <c r="BA125" s="863"/>
      <c r="BB125" s="863"/>
      <c r="BC125" s="863"/>
      <c r="BD125" s="863"/>
      <c r="BE125" s="863"/>
      <c r="BF125" s="863"/>
      <c r="BG125" s="863"/>
      <c r="BH125" s="863"/>
      <c r="BI125" s="863"/>
      <c r="BJ125" s="863"/>
      <c r="BK125" s="863"/>
      <c r="BL125" s="863"/>
      <c r="BM125" s="863"/>
      <c r="BN125" s="863"/>
      <c r="BO125" s="863"/>
      <c r="BP125" s="863"/>
      <c r="BQ125" s="863"/>
      <c r="BR125" s="863"/>
      <c r="BS125" s="863"/>
      <c r="BT125" s="863"/>
    </row>
    <row r="126" spans="1:72">
      <c r="A126" s="863" t="s">
        <v>613</v>
      </c>
      <c r="B126" s="863">
        <v>3.69</v>
      </c>
      <c r="C126" s="863">
        <v>4.49</v>
      </c>
      <c r="D126" s="863">
        <v>4.72</v>
      </c>
      <c r="E126" s="863">
        <v>4.8</v>
      </c>
      <c r="F126" s="863">
        <v>4.8600000000000003</v>
      </c>
      <c r="G126" s="863">
        <v>5.0199999999999996</v>
      </c>
      <c r="H126" s="863">
        <v>5.05</v>
      </c>
      <c r="I126" s="863">
        <v>5.08</v>
      </c>
      <c r="J126" s="863">
        <v>5.08</v>
      </c>
      <c r="K126" s="863">
        <v>5.09</v>
      </c>
      <c r="L126" s="863">
        <v>5.16</v>
      </c>
      <c r="M126" s="863">
        <v>5.22</v>
      </c>
      <c r="N126" s="863">
        <v>5.29</v>
      </c>
      <c r="O126" s="863">
        <v>5.32</v>
      </c>
      <c r="P126" s="863">
        <v>5.35</v>
      </c>
      <c r="Q126" s="863">
        <v>5.36</v>
      </c>
      <c r="R126" s="863">
        <v>5.35</v>
      </c>
      <c r="S126" s="863">
        <v>5.32</v>
      </c>
      <c r="T126" s="863">
        <v>5.24</v>
      </c>
      <c r="U126" s="863">
        <v>5.16</v>
      </c>
      <c r="V126" s="863">
        <v>5.14</v>
      </c>
      <c r="W126" s="863">
        <v>5.14</v>
      </c>
      <c r="X126" s="863">
        <v>5.1100000000000003</v>
      </c>
      <c r="Y126" s="863">
        <v>5.1100000000000003</v>
      </c>
      <c r="Z126" s="863">
        <v>5.09</v>
      </c>
      <c r="AA126" s="863">
        <v>5.08</v>
      </c>
      <c r="AB126" s="863">
        <v>5.08</v>
      </c>
      <c r="AC126" s="863">
        <v>5.0599999999999996</v>
      </c>
      <c r="AD126" s="863">
        <v>5.0599999999999996</v>
      </c>
      <c r="AE126" s="900">
        <v>4.0000000000000001E-3</v>
      </c>
      <c r="AF126" s="863"/>
      <c r="AG126" s="863"/>
      <c r="AH126" s="863"/>
      <c r="AI126" s="863"/>
      <c r="AJ126" s="863"/>
      <c r="AK126" s="863"/>
      <c r="AL126" s="863"/>
      <c r="AM126" s="863"/>
      <c r="AN126" s="863"/>
      <c r="AO126" s="863"/>
      <c r="AP126" s="863"/>
      <c r="AQ126" s="863"/>
      <c r="AR126" s="863"/>
      <c r="AS126" s="863"/>
      <c r="AT126" s="863"/>
      <c r="AU126" s="863"/>
      <c r="AV126" s="863"/>
      <c r="AW126" s="863"/>
      <c r="AX126" s="863"/>
      <c r="AY126" s="863"/>
      <c r="AZ126" s="863"/>
      <c r="BA126" s="863"/>
      <c r="BB126" s="863"/>
      <c r="BC126" s="863"/>
      <c r="BD126" s="863"/>
      <c r="BE126" s="863"/>
      <c r="BF126" s="863"/>
      <c r="BG126" s="863"/>
      <c r="BH126" s="863"/>
      <c r="BI126" s="863"/>
      <c r="BJ126" s="863"/>
      <c r="BK126" s="863"/>
      <c r="BL126" s="863"/>
      <c r="BM126" s="863"/>
      <c r="BN126" s="863"/>
      <c r="BO126" s="863"/>
      <c r="BP126" s="863"/>
      <c r="BQ126" s="863"/>
      <c r="BR126" s="863"/>
      <c r="BS126" s="863"/>
      <c r="BT126" s="863"/>
    </row>
    <row r="127" spans="1:72">
      <c r="A127" s="863" t="s">
        <v>626</v>
      </c>
      <c r="B127" s="863">
        <v>1.84</v>
      </c>
      <c r="C127" s="863">
        <v>2.1</v>
      </c>
      <c r="D127" s="863">
        <v>2.19</v>
      </c>
      <c r="E127" s="863">
        <v>2.0299999999999998</v>
      </c>
      <c r="F127" s="863">
        <v>2.02</v>
      </c>
      <c r="G127" s="863">
        <v>2.0299999999999998</v>
      </c>
      <c r="H127" s="863">
        <v>2.0299999999999998</v>
      </c>
      <c r="I127" s="863">
        <v>2.0299999999999998</v>
      </c>
      <c r="J127" s="863">
        <v>2.0499999999999998</v>
      </c>
      <c r="K127" s="863">
        <v>2.0299999999999998</v>
      </c>
      <c r="L127" s="863">
        <v>2.04</v>
      </c>
      <c r="M127" s="863">
        <v>2.0299999999999998</v>
      </c>
      <c r="N127" s="863">
        <v>2.02</v>
      </c>
      <c r="O127" s="863">
        <v>2.02</v>
      </c>
      <c r="P127" s="863">
        <v>2.02</v>
      </c>
      <c r="Q127" s="863">
        <v>2.0299999999999998</v>
      </c>
      <c r="R127" s="863">
        <v>2.02</v>
      </c>
      <c r="S127" s="863">
        <v>2.02</v>
      </c>
      <c r="T127" s="863">
        <v>2.02</v>
      </c>
      <c r="U127" s="863">
        <v>2.0299999999999998</v>
      </c>
      <c r="V127" s="863">
        <v>2.0299999999999998</v>
      </c>
      <c r="W127" s="863">
        <v>2.04</v>
      </c>
      <c r="X127" s="863">
        <v>2.0499999999999998</v>
      </c>
      <c r="Y127" s="863">
        <v>2.06</v>
      </c>
      <c r="Z127" s="863">
        <v>2.0699999999999998</v>
      </c>
      <c r="AA127" s="863">
        <v>2.08</v>
      </c>
      <c r="AB127" s="863">
        <v>2.09</v>
      </c>
      <c r="AC127" s="863">
        <v>2.1</v>
      </c>
      <c r="AD127" s="863">
        <v>2.12</v>
      </c>
      <c r="AE127" s="900">
        <v>0</v>
      </c>
      <c r="AF127" s="863"/>
      <c r="AG127" s="863"/>
      <c r="AH127" s="863"/>
      <c r="AI127" s="863"/>
      <c r="AJ127" s="863"/>
      <c r="AK127" s="863"/>
      <c r="AL127" s="863"/>
      <c r="AM127" s="863"/>
      <c r="AN127" s="863"/>
      <c r="AO127" s="863"/>
      <c r="AP127" s="863"/>
      <c r="AQ127" s="863"/>
      <c r="AR127" s="863"/>
      <c r="AS127" s="863"/>
      <c r="AT127" s="863"/>
      <c r="AU127" s="863"/>
      <c r="AV127" s="863"/>
      <c r="AW127" s="863"/>
      <c r="AX127" s="863"/>
      <c r="AY127" s="863"/>
      <c r="AZ127" s="863"/>
      <c r="BA127" s="863"/>
      <c r="BB127" s="863"/>
      <c r="BC127" s="863"/>
      <c r="BD127" s="863"/>
      <c r="BE127" s="863"/>
      <c r="BF127" s="863"/>
      <c r="BG127" s="863"/>
      <c r="BH127" s="863"/>
      <c r="BI127" s="863"/>
      <c r="BJ127" s="863"/>
      <c r="BK127" s="863"/>
      <c r="BL127" s="863"/>
      <c r="BM127" s="863"/>
      <c r="BN127" s="863"/>
      <c r="BO127" s="863"/>
      <c r="BP127" s="863"/>
      <c r="BQ127" s="863"/>
      <c r="BR127" s="863"/>
      <c r="BS127" s="863"/>
      <c r="BT127" s="863"/>
    </row>
    <row r="128" spans="1:72">
      <c r="A128" s="863" t="s">
        <v>615</v>
      </c>
      <c r="B128" s="863" t="s">
        <v>787</v>
      </c>
      <c r="C128" s="863" t="s">
        <v>787</v>
      </c>
      <c r="D128" s="863" t="s">
        <v>787</v>
      </c>
      <c r="E128" s="863" t="s">
        <v>787</v>
      </c>
      <c r="F128" s="863">
        <v>1.26</v>
      </c>
      <c r="G128" s="863">
        <v>1.04</v>
      </c>
      <c r="H128" s="863">
        <v>1.04</v>
      </c>
      <c r="I128" s="863">
        <v>1.41</v>
      </c>
      <c r="J128" s="863">
        <v>1.42</v>
      </c>
      <c r="K128" s="863">
        <v>1.46</v>
      </c>
      <c r="L128" s="863">
        <v>1.48</v>
      </c>
      <c r="M128" s="863">
        <v>1.48</v>
      </c>
      <c r="N128" s="863">
        <v>1.47</v>
      </c>
      <c r="O128" s="863">
        <v>1.46</v>
      </c>
      <c r="P128" s="863">
        <v>1.49</v>
      </c>
      <c r="Q128" s="863">
        <v>1.5</v>
      </c>
      <c r="R128" s="863">
        <v>1.52</v>
      </c>
      <c r="S128" s="863">
        <v>1.49</v>
      </c>
      <c r="T128" s="863">
        <v>1.49</v>
      </c>
      <c r="U128" s="863">
        <v>1.47</v>
      </c>
      <c r="V128" s="863">
        <v>1.46</v>
      </c>
      <c r="W128" s="863">
        <v>1.45</v>
      </c>
      <c r="X128" s="863">
        <v>1.44</v>
      </c>
      <c r="Y128" s="863">
        <v>1.44</v>
      </c>
      <c r="Z128" s="863">
        <v>1.44</v>
      </c>
      <c r="AA128" s="863">
        <v>1.44</v>
      </c>
      <c r="AB128" s="863">
        <v>1.46</v>
      </c>
      <c r="AC128" s="863">
        <v>1.48</v>
      </c>
      <c r="AD128" s="863">
        <v>1.51</v>
      </c>
      <c r="AE128" s="863" t="s">
        <v>787</v>
      </c>
      <c r="AF128" s="863"/>
      <c r="AG128" s="863"/>
      <c r="AH128" s="863"/>
      <c r="AI128" s="863"/>
      <c r="AJ128" s="863"/>
      <c r="AK128" s="863"/>
      <c r="AL128" s="863"/>
      <c r="AM128" s="863"/>
      <c r="AN128" s="863"/>
      <c r="AO128" s="863"/>
      <c r="AP128" s="863"/>
      <c r="AQ128" s="863"/>
      <c r="AR128" s="863"/>
      <c r="AS128" s="863"/>
      <c r="AT128" s="863"/>
      <c r="AU128" s="863"/>
      <c r="AV128" s="863"/>
      <c r="AW128" s="863"/>
      <c r="AX128" s="863"/>
      <c r="AY128" s="863"/>
      <c r="AZ128" s="863"/>
      <c r="BA128" s="863"/>
      <c r="BB128" s="863"/>
      <c r="BC128" s="863"/>
      <c r="BD128" s="863"/>
      <c r="BE128" s="863"/>
      <c r="BF128" s="863"/>
      <c r="BG128" s="863"/>
      <c r="BH128" s="863"/>
      <c r="BI128" s="863"/>
      <c r="BJ128" s="863"/>
      <c r="BK128" s="863"/>
      <c r="BL128" s="863"/>
      <c r="BM128" s="863"/>
      <c r="BN128" s="863"/>
      <c r="BO128" s="863"/>
      <c r="BP128" s="863"/>
      <c r="BQ128" s="863"/>
      <c r="BR128" s="863"/>
      <c r="BS128" s="863"/>
      <c r="BT128" s="863"/>
    </row>
    <row r="129" spans="1:72">
      <c r="A129" s="863" t="s">
        <v>478</v>
      </c>
      <c r="B129" s="863">
        <v>27.25</v>
      </c>
      <c r="C129" s="863">
        <v>28.81</v>
      </c>
      <c r="D129" s="863">
        <v>28.07</v>
      </c>
      <c r="E129" s="863">
        <v>26.77</v>
      </c>
      <c r="F129" s="863">
        <v>25.2</v>
      </c>
      <c r="G129" s="863">
        <v>26.1</v>
      </c>
      <c r="H129" s="863">
        <v>26.17</v>
      </c>
      <c r="I129" s="863">
        <v>25.97</v>
      </c>
      <c r="J129" s="863">
        <v>25.95</v>
      </c>
      <c r="K129" s="863">
        <v>26.2</v>
      </c>
      <c r="L129" s="863">
        <v>26.36</v>
      </c>
      <c r="M129" s="863">
        <v>26.37</v>
      </c>
      <c r="N129" s="863">
        <v>26.31</v>
      </c>
      <c r="O129" s="863">
        <v>26.51</v>
      </c>
      <c r="P129" s="863">
        <v>26.7</v>
      </c>
      <c r="Q129" s="863">
        <v>26.84</v>
      </c>
      <c r="R129" s="863">
        <v>27.04</v>
      </c>
      <c r="S129" s="863">
        <v>27.19</v>
      </c>
      <c r="T129" s="863">
        <v>27.17</v>
      </c>
      <c r="U129" s="863">
        <v>27.33</v>
      </c>
      <c r="V129" s="863">
        <v>27.53</v>
      </c>
      <c r="W129" s="863">
        <v>27.74</v>
      </c>
      <c r="X129" s="863">
        <v>28.16</v>
      </c>
      <c r="Y129" s="863">
        <v>28.49</v>
      </c>
      <c r="Z129" s="863">
        <v>28.86</v>
      </c>
      <c r="AA129" s="863">
        <v>29.21</v>
      </c>
      <c r="AB129" s="863">
        <v>29.38</v>
      </c>
      <c r="AC129" s="863">
        <v>29.64</v>
      </c>
      <c r="AD129" s="863">
        <v>29.87</v>
      </c>
      <c r="AE129" s="900">
        <v>1E-3</v>
      </c>
      <c r="AF129" s="863"/>
      <c r="AG129" s="863"/>
      <c r="AH129" s="863"/>
      <c r="AI129" s="863"/>
      <c r="AJ129" s="863"/>
      <c r="AK129" s="863"/>
      <c r="AL129" s="863"/>
      <c r="AM129" s="863"/>
      <c r="AN129" s="863"/>
      <c r="AO129" s="863"/>
      <c r="AP129" s="863"/>
      <c r="AQ129" s="863"/>
      <c r="AR129" s="863"/>
      <c r="AS129" s="863"/>
      <c r="AT129" s="863"/>
      <c r="AU129" s="863"/>
      <c r="AV129" s="863"/>
      <c r="AW129" s="863"/>
      <c r="AX129" s="863"/>
      <c r="AY129" s="863"/>
      <c r="AZ129" s="863"/>
      <c r="BA129" s="863"/>
      <c r="BB129" s="863"/>
      <c r="BC129" s="863"/>
      <c r="BD129" s="863"/>
      <c r="BE129" s="863"/>
      <c r="BF129" s="863"/>
      <c r="BG129" s="863"/>
      <c r="BH129" s="863"/>
      <c r="BI129" s="863"/>
      <c r="BJ129" s="863"/>
      <c r="BK129" s="863"/>
      <c r="BL129" s="863"/>
      <c r="BM129" s="863"/>
      <c r="BN129" s="863"/>
      <c r="BO129" s="863"/>
      <c r="BP129" s="863"/>
      <c r="BQ129" s="863"/>
      <c r="BR129" s="863"/>
      <c r="BS129" s="863"/>
      <c r="BT129" s="863"/>
    </row>
    <row r="130" spans="1:72">
      <c r="A130" s="863"/>
      <c r="B130" s="863"/>
      <c r="C130" s="863"/>
      <c r="D130" s="863"/>
      <c r="E130" s="863"/>
      <c r="F130" s="863"/>
      <c r="G130" s="863"/>
      <c r="H130" s="863"/>
      <c r="I130" s="863"/>
      <c r="J130" s="863"/>
      <c r="K130" s="863"/>
      <c r="L130" s="863"/>
      <c r="M130" s="863"/>
      <c r="N130" s="863"/>
      <c r="O130" s="863"/>
      <c r="P130" s="863"/>
      <c r="Q130" s="863"/>
      <c r="R130" s="863"/>
      <c r="S130" s="863"/>
      <c r="T130" s="863"/>
      <c r="U130" s="863"/>
      <c r="V130" s="863"/>
      <c r="W130" s="863"/>
      <c r="X130" s="863"/>
      <c r="Y130" s="863"/>
      <c r="Z130" s="863"/>
      <c r="AA130" s="863"/>
      <c r="AB130" s="863"/>
      <c r="AC130" s="863"/>
      <c r="AD130" s="863"/>
      <c r="AE130" s="863"/>
      <c r="AF130" s="863"/>
      <c r="AG130" s="863"/>
      <c r="AH130" s="863"/>
      <c r="AI130" s="863"/>
      <c r="AJ130" s="863"/>
      <c r="AK130" s="863"/>
      <c r="AL130" s="863"/>
      <c r="AM130" s="863"/>
      <c r="AN130" s="863"/>
      <c r="AO130" s="863"/>
      <c r="AP130" s="863"/>
      <c r="AQ130" s="863"/>
      <c r="AR130" s="863"/>
      <c r="AS130" s="863"/>
      <c r="AT130" s="863"/>
      <c r="AU130" s="863"/>
      <c r="AV130" s="863"/>
      <c r="AW130" s="863"/>
      <c r="AX130" s="863"/>
      <c r="AY130" s="863"/>
      <c r="AZ130" s="863"/>
      <c r="BA130" s="863"/>
      <c r="BB130" s="863"/>
      <c r="BC130" s="863"/>
      <c r="BD130" s="863"/>
      <c r="BE130" s="863"/>
      <c r="BF130" s="863"/>
      <c r="BG130" s="863"/>
      <c r="BH130" s="863"/>
      <c r="BI130" s="863"/>
      <c r="BJ130" s="863"/>
      <c r="BK130" s="863"/>
      <c r="BL130" s="863"/>
      <c r="BM130" s="863"/>
      <c r="BN130" s="863"/>
      <c r="BO130" s="863"/>
      <c r="BP130" s="863"/>
      <c r="BQ130" s="863"/>
      <c r="BR130" s="863"/>
      <c r="BS130" s="863"/>
      <c r="BT130" s="863"/>
    </row>
    <row r="131" spans="1:72">
      <c r="A131" s="863" t="s">
        <v>512</v>
      </c>
      <c r="B131" s="863"/>
      <c r="C131" s="863"/>
      <c r="D131" s="863"/>
      <c r="E131" s="863"/>
      <c r="F131" s="863"/>
      <c r="G131" s="863"/>
      <c r="H131" s="863"/>
      <c r="I131" s="863"/>
      <c r="J131" s="863"/>
      <c r="K131" s="863"/>
      <c r="L131" s="863"/>
      <c r="M131" s="863"/>
      <c r="N131" s="863"/>
      <c r="O131" s="863"/>
      <c r="P131" s="863"/>
      <c r="Q131" s="863"/>
      <c r="R131" s="863"/>
      <c r="S131" s="863"/>
      <c r="T131" s="863"/>
      <c r="U131" s="863"/>
      <c r="V131" s="863"/>
      <c r="W131" s="863"/>
      <c r="X131" s="863"/>
      <c r="Y131" s="863"/>
      <c r="Z131" s="863"/>
      <c r="AA131" s="863"/>
      <c r="AB131" s="863"/>
      <c r="AC131" s="863"/>
      <c r="AD131" s="863"/>
      <c r="AE131" s="863"/>
      <c r="AF131" s="863"/>
      <c r="AG131" s="863"/>
      <c r="AH131" s="863"/>
      <c r="AI131" s="863"/>
      <c r="AJ131" s="863"/>
      <c r="AK131" s="863"/>
      <c r="AL131" s="863"/>
      <c r="AM131" s="863"/>
      <c r="AN131" s="863"/>
      <c r="AO131" s="863"/>
      <c r="AP131" s="863"/>
      <c r="AQ131" s="863"/>
      <c r="AR131" s="863"/>
      <c r="AS131" s="863"/>
      <c r="AT131" s="863"/>
      <c r="AU131" s="863"/>
      <c r="AV131" s="863"/>
      <c r="AW131" s="863"/>
      <c r="AX131" s="863"/>
      <c r="AY131" s="863"/>
      <c r="AZ131" s="863"/>
      <c r="BA131" s="863"/>
      <c r="BB131" s="863"/>
      <c r="BC131" s="863"/>
      <c r="BD131" s="863"/>
      <c r="BE131" s="863"/>
      <c r="BF131" s="863"/>
      <c r="BG131" s="863"/>
      <c r="BH131" s="863"/>
      <c r="BI131" s="863"/>
      <c r="BJ131" s="863"/>
      <c r="BK131" s="863"/>
      <c r="BL131" s="863"/>
      <c r="BM131" s="863"/>
      <c r="BN131" s="863"/>
      <c r="BO131" s="863"/>
      <c r="BP131" s="863"/>
      <c r="BQ131" s="863"/>
      <c r="BR131" s="863"/>
      <c r="BS131" s="863"/>
      <c r="BT131" s="863"/>
    </row>
    <row r="132" spans="1:72">
      <c r="A132" s="863" t="s">
        <v>788</v>
      </c>
      <c r="B132" s="863"/>
      <c r="C132" s="863"/>
      <c r="D132" s="863"/>
      <c r="E132" s="863"/>
      <c r="F132" s="863"/>
      <c r="G132" s="863"/>
      <c r="H132" s="863"/>
      <c r="I132" s="863"/>
      <c r="J132" s="863"/>
      <c r="K132" s="863"/>
      <c r="L132" s="863"/>
      <c r="M132" s="863"/>
      <c r="N132" s="863"/>
      <c r="O132" s="863"/>
      <c r="P132" s="863"/>
      <c r="Q132" s="863"/>
      <c r="R132" s="863"/>
      <c r="S132" s="863"/>
      <c r="T132" s="863"/>
      <c r="U132" s="863"/>
      <c r="V132" s="863"/>
      <c r="W132" s="863"/>
      <c r="X132" s="863"/>
      <c r="Y132" s="863"/>
      <c r="Z132" s="863"/>
      <c r="AA132" s="863"/>
      <c r="AB132" s="863"/>
      <c r="AC132" s="863"/>
      <c r="AD132" s="863"/>
      <c r="AE132" s="863"/>
      <c r="AF132" s="863"/>
      <c r="AG132" s="863"/>
      <c r="AH132" s="863"/>
      <c r="AI132" s="863"/>
      <c r="AJ132" s="863"/>
      <c r="AK132" s="863"/>
      <c r="AL132" s="863"/>
      <c r="AM132" s="863"/>
      <c r="AN132" s="863"/>
      <c r="AO132" s="863"/>
      <c r="AP132" s="863"/>
      <c r="AQ132" s="863"/>
      <c r="AR132" s="863"/>
      <c r="AS132" s="863"/>
      <c r="AT132" s="863"/>
      <c r="AU132" s="863"/>
      <c r="AV132" s="863"/>
      <c r="AW132" s="863"/>
      <c r="AX132" s="863"/>
      <c r="AY132" s="863"/>
      <c r="AZ132" s="863"/>
      <c r="BA132" s="863"/>
      <c r="BB132" s="863"/>
      <c r="BC132" s="863"/>
      <c r="BD132" s="863"/>
      <c r="BE132" s="863"/>
      <c r="BF132" s="863"/>
      <c r="BG132" s="863"/>
      <c r="BH132" s="863"/>
      <c r="BI132" s="863"/>
      <c r="BJ132" s="863"/>
      <c r="BK132" s="863"/>
      <c r="BL132" s="863"/>
      <c r="BM132" s="863"/>
      <c r="BN132" s="863"/>
      <c r="BO132" s="863"/>
      <c r="BP132" s="863"/>
      <c r="BQ132" s="863"/>
      <c r="BR132" s="863"/>
      <c r="BS132" s="863"/>
      <c r="BT132" s="863"/>
    </row>
    <row r="133" spans="1:72">
      <c r="A133" s="863" t="s">
        <v>472</v>
      </c>
      <c r="B133" s="863">
        <v>241.67</v>
      </c>
      <c r="C133" s="863">
        <v>254.66</v>
      </c>
      <c r="D133" s="863">
        <v>231.65</v>
      </c>
      <c r="E133" s="863">
        <v>223.76</v>
      </c>
      <c r="F133" s="863">
        <v>222.61</v>
      </c>
      <c r="G133" s="863">
        <v>230.62</v>
      </c>
      <c r="H133" s="863">
        <v>228.9</v>
      </c>
      <c r="I133" s="863">
        <v>229.4</v>
      </c>
      <c r="J133" s="863">
        <v>230.89</v>
      </c>
      <c r="K133" s="863">
        <v>234.53</v>
      </c>
      <c r="L133" s="863">
        <v>236.76</v>
      </c>
      <c r="M133" s="863">
        <v>239.14</v>
      </c>
      <c r="N133" s="863">
        <v>241.36</v>
      </c>
      <c r="O133" s="863">
        <v>245.14</v>
      </c>
      <c r="P133" s="863">
        <v>247.96</v>
      </c>
      <c r="Q133" s="863">
        <v>251.14</v>
      </c>
      <c r="R133" s="863">
        <v>253.92</v>
      </c>
      <c r="S133" s="863">
        <v>256.67</v>
      </c>
      <c r="T133" s="863">
        <v>258.7</v>
      </c>
      <c r="U133" s="863">
        <v>262.54000000000002</v>
      </c>
      <c r="V133" s="863">
        <v>266.58999999999997</v>
      </c>
      <c r="W133" s="863">
        <v>271.26</v>
      </c>
      <c r="X133" s="863">
        <v>275.8</v>
      </c>
      <c r="Y133" s="863">
        <v>280.39999999999998</v>
      </c>
      <c r="Z133" s="863">
        <v>285.83</v>
      </c>
      <c r="AA133" s="863">
        <v>290.58999999999997</v>
      </c>
      <c r="AB133" s="863">
        <v>292.89999999999998</v>
      </c>
      <c r="AC133" s="863">
        <v>297.16000000000003</v>
      </c>
      <c r="AD133" s="863">
        <v>301.11</v>
      </c>
      <c r="AE133" s="900">
        <v>6.0000000000000001E-3</v>
      </c>
      <c r="AF133" s="863"/>
      <c r="AG133" s="863"/>
      <c r="AH133" s="863"/>
      <c r="AI133" s="863"/>
      <c r="AJ133" s="863"/>
      <c r="AK133" s="863"/>
      <c r="AL133" s="863"/>
      <c r="AM133" s="863"/>
      <c r="AN133" s="863"/>
      <c r="AO133" s="863"/>
      <c r="AP133" s="863"/>
      <c r="AQ133" s="863"/>
      <c r="AR133" s="863"/>
      <c r="AS133" s="863"/>
      <c r="AT133" s="863"/>
      <c r="AU133" s="863"/>
      <c r="AV133" s="863"/>
      <c r="AW133" s="863"/>
      <c r="AX133" s="863"/>
      <c r="AY133" s="863"/>
      <c r="AZ133" s="863"/>
      <c r="BA133" s="863"/>
      <c r="BB133" s="863"/>
      <c r="BC133" s="863"/>
      <c r="BD133" s="863"/>
      <c r="BE133" s="863"/>
      <c r="BF133" s="863"/>
      <c r="BG133" s="863"/>
      <c r="BH133" s="863"/>
      <c r="BI133" s="863"/>
      <c r="BJ133" s="863"/>
      <c r="BK133" s="863"/>
      <c r="BL133" s="863"/>
      <c r="BM133" s="863"/>
      <c r="BN133" s="863"/>
      <c r="BO133" s="863"/>
      <c r="BP133" s="863"/>
      <c r="BQ133" s="863"/>
      <c r="BR133" s="863"/>
      <c r="BS133" s="863"/>
      <c r="BT133" s="863"/>
    </row>
    <row r="134" spans="1:72">
      <c r="A134" s="863" t="s">
        <v>479</v>
      </c>
      <c r="B134" s="863">
        <v>176.61</v>
      </c>
      <c r="C134" s="863">
        <v>191.19</v>
      </c>
      <c r="D134" s="863">
        <v>168.7</v>
      </c>
      <c r="E134" s="863">
        <v>163.43</v>
      </c>
      <c r="F134" s="863">
        <v>163.69</v>
      </c>
      <c r="G134" s="863">
        <v>172.64</v>
      </c>
      <c r="H134" s="863">
        <v>173.85</v>
      </c>
      <c r="I134" s="863">
        <v>174.18</v>
      </c>
      <c r="J134" s="863">
        <v>176.9</v>
      </c>
      <c r="K134" s="863">
        <v>180.82</v>
      </c>
      <c r="L134" s="863">
        <v>184.11</v>
      </c>
      <c r="M134" s="863">
        <v>186.86</v>
      </c>
      <c r="N134" s="863">
        <v>189.36</v>
      </c>
      <c r="O134" s="863">
        <v>193.15</v>
      </c>
      <c r="P134" s="863">
        <v>196.83</v>
      </c>
      <c r="Q134" s="863">
        <v>200.4</v>
      </c>
      <c r="R134" s="863">
        <v>204.1</v>
      </c>
      <c r="S134" s="863">
        <v>207.27</v>
      </c>
      <c r="T134" s="863">
        <v>210.07</v>
      </c>
      <c r="U134" s="863">
        <v>214.23</v>
      </c>
      <c r="V134" s="863">
        <v>218.63</v>
      </c>
      <c r="W134" s="863">
        <v>223.34</v>
      </c>
      <c r="X134" s="863">
        <v>229.36</v>
      </c>
      <c r="Y134" s="863">
        <v>234.79</v>
      </c>
      <c r="Z134" s="863">
        <v>240.94</v>
      </c>
      <c r="AA134" s="863">
        <v>246.37</v>
      </c>
      <c r="AB134" s="863">
        <v>250.61</v>
      </c>
      <c r="AC134" s="863">
        <v>256.01</v>
      </c>
      <c r="AD134" s="863">
        <v>261.07</v>
      </c>
      <c r="AE134" s="900">
        <v>1.2E-2</v>
      </c>
      <c r="AF134" s="863"/>
      <c r="AG134" s="863"/>
      <c r="AH134" s="863"/>
      <c r="AI134" s="863"/>
      <c r="AJ134" s="863"/>
      <c r="AK134" s="863"/>
      <c r="AL134" s="863"/>
      <c r="AM134" s="863"/>
      <c r="AN134" s="863"/>
      <c r="AO134" s="863"/>
      <c r="AP134" s="863"/>
      <c r="AQ134" s="863"/>
      <c r="AR134" s="863"/>
      <c r="AS134" s="863"/>
      <c r="AT134" s="863"/>
      <c r="AU134" s="863"/>
      <c r="AV134" s="863"/>
      <c r="AW134" s="863"/>
      <c r="AX134" s="863"/>
      <c r="AY134" s="863"/>
      <c r="AZ134" s="863"/>
      <c r="BA134" s="863"/>
      <c r="BB134" s="863"/>
      <c r="BC134" s="863"/>
      <c r="BD134" s="863"/>
      <c r="BE134" s="863"/>
      <c r="BF134" s="863"/>
      <c r="BG134" s="863"/>
      <c r="BH134" s="863"/>
      <c r="BI134" s="863"/>
      <c r="BJ134" s="863"/>
      <c r="BK134" s="863"/>
      <c r="BL134" s="863"/>
      <c r="BM134" s="863"/>
      <c r="BN134" s="863"/>
      <c r="BO134" s="863"/>
      <c r="BP134" s="863"/>
      <c r="BQ134" s="863"/>
      <c r="BR134" s="863"/>
      <c r="BS134" s="863"/>
      <c r="BT134" s="863"/>
    </row>
    <row r="135" spans="1:72">
      <c r="A135" s="863" t="s">
        <v>514</v>
      </c>
      <c r="B135" s="863">
        <v>219.69</v>
      </c>
      <c r="C135" s="863">
        <v>244.81</v>
      </c>
      <c r="D135" s="863">
        <v>175.42</v>
      </c>
      <c r="E135" s="863">
        <v>163.24</v>
      </c>
      <c r="F135" s="863">
        <v>173.51</v>
      </c>
      <c r="G135" s="863">
        <v>191.66</v>
      </c>
      <c r="H135" s="863">
        <v>201.52</v>
      </c>
      <c r="I135" s="863">
        <v>207.49</v>
      </c>
      <c r="J135" s="863">
        <v>213.14</v>
      </c>
      <c r="K135" s="863">
        <v>218.86</v>
      </c>
      <c r="L135" s="863">
        <v>223.15</v>
      </c>
      <c r="M135" s="863">
        <v>228.05</v>
      </c>
      <c r="N135" s="863">
        <v>231.33</v>
      </c>
      <c r="O135" s="863">
        <v>234.86</v>
      </c>
      <c r="P135" s="863">
        <v>236.42</v>
      </c>
      <c r="Q135" s="863">
        <v>237.67</v>
      </c>
      <c r="R135" s="863">
        <v>239.07</v>
      </c>
      <c r="S135" s="863">
        <v>240.3</v>
      </c>
      <c r="T135" s="863">
        <v>241.75</v>
      </c>
      <c r="U135" s="863">
        <v>242.96</v>
      </c>
      <c r="V135" s="863">
        <v>245.17</v>
      </c>
      <c r="W135" s="863">
        <v>247.67</v>
      </c>
      <c r="X135" s="863">
        <v>250.95</v>
      </c>
      <c r="Y135" s="863">
        <v>253.51</v>
      </c>
      <c r="Z135" s="863">
        <v>257.7</v>
      </c>
      <c r="AA135" s="863">
        <v>259.55</v>
      </c>
      <c r="AB135" s="863">
        <v>261.58</v>
      </c>
      <c r="AC135" s="863">
        <v>265.05</v>
      </c>
      <c r="AD135" s="863">
        <v>267.18</v>
      </c>
      <c r="AE135" s="900">
        <v>3.0000000000000001E-3</v>
      </c>
      <c r="AF135" s="863"/>
      <c r="AG135" s="863"/>
      <c r="AH135" s="863"/>
      <c r="AI135" s="863"/>
      <c r="AJ135" s="863"/>
      <c r="AK135" s="863"/>
      <c r="AL135" s="863"/>
      <c r="AM135" s="863"/>
      <c r="AN135" s="863"/>
      <c r="AO135" s="863"/>
      <c r="AP135" s="863"/>
      <c r="AQ135" s="863"/>
      <c r="AR135" s="863"/>
      <c r="AS135" s="863"/>
      <c r="AT135" s="863"/>
      <c r="AU135" s="863"/>
      <c r="AV135" s="863"/>
      <c r="AW135" s="863"/>
      <c r="AX135" s="863"/>
      <c r="AY135" s="863"/>
      <c r="AZ135" s="863"/>
      <c r="BA135" s="863"/>
      <c r="BB135" s="863"/>
      <c r="BC135" s="863"/>
      <c r="BD135" s="863"/>
      <c r="BE135" s="863"/>
      <c r="BF135" s="863"/>
      <c r="BG135" s="863"/>
      <c r="BH135" s="863"/>
      <c r="BI135" s="863"/>
      <c r="BJ135" s="863"/>
      <c r="BK135" s="863"/>
      <c r="BL135" s="863"/>
      <c r="BM135" s="863"/>
      <c r="BN135" s="863"/>
      <c r="BO135" s="863"/>
      <c r="BP135" s="863"/>
      <c r="BQ135" s="863"/>
      <c r="BR135" s="863"/>
      <c r="BS135" s="863"/>
      <c r="BT135" s="863"/>
    </row>
    <row r="136" spans="1:72">
      <c r="A136" s="863" t="s">
        <v>486</v>
      </c>
      <c r="B136" s="863">
        <v>613.37</v>
      </c>
      <c r="C136" s="863">
        <v>705.86</v>
      </c>
      <c r="D136" s="863">
        <v>465.68</v>
      </c>
      <c r="E136" s="863">
        <v>508.22</v>
      </c>
      <c r="F136" s="863">
        <v>528.5</v>
      </c>
      <c r="G136" s="863">
        <v>567.33000000000004</v>
      </c>
      <c r="H136" s="863">
        <v>615.79</v>
      </c>
      <c r="I136" s="863">
        <v>640.91999999999996</v>
      </c>
      <c r="J136" s="863">
        <v>655.77</v>
      </c>
      <c r="K136" s="863">
        <v>671.91</v>
      </c>
      <c r="L136" s="863">
        <v>690.32</v>
      </c>
      <c r="M136" s="863">
        <v>704.34</v>
      </c>
      <c r="N136" s="863">
        <v>717.08</v>
      </c>
      <c r="O136" s="863">
        <v>729.77</v>
      </c>
      <c r="P136" s="863">
        <v>737.71</v>
      </c>
      <c r="Q136" s="863">
        <v>743.52</v>
      </c>
      <c r="R136" s="863">
        <v>757.24</v>
      </c>
      <c r="S136" s="863">
        <v>767.89</v>
      </c>
      <c r="T136" s="863">
        <v>782.71</v>
      </c>
      <c r="U136" s="863">
        <v>795.25</v>
      </c>
      <c r="V136" s="863">
        <v>808.06</v>
      </c>
      <c r="W136" s="863">
        <v>822.03</v>
      </c>
      <c r="X136" s="863">
        <v>834.45</v>
      </c>
      <c r="Y136" s="863">
        <v>846.64</v>
      </c>
      <c r="Z136" s="863">
        <v>856.24</v>
      </c>
      <c r="AA136" s="863">
        <v>869.12</v>
      </c>
      <c r="AB136" s="863">
        <v>883.55</v>
      </c>
      <c r="AC136" s="863">
        <v>894.05</v>
      </c>
      <c r="AD136" s="863">
        <v>908.01</v>
      </c>
      <c r="AE136" s="900">
        <v>8.9999999999999993E-3</v>
      </c>
      <c r="AF136" s="863"/>
      <c r="AG136" s="863"/>
      <c r="AH136" s="863"/>
      <c r="AI136" s="863"/>
      <c r="AJ136" s="863"/>
      <c r="AK136" s="863"/>
      <c r="AL136" s="863"/>
      <c r="AM136" s="863"/>
      <c r="AN136" s="863"/>
      <c r="AO136" s="863"/>
      <c r="AP136" s="863"/>
      <c r="AQ136" s="863"/>
      <c r="AR136" s="863"/>
      <c r="AS136" s="863"/>
      <c r="AT136" s="863"/>
      <c r="AU136" s="863"/>
      <c r="AV136" s="863"/>
      <c r="AW136" s="863"/>
      <c r="AX136" s="863"/>
      <c r="AY136" s="863"/>
      <c r="AZ136" s="863"/>
      <c r="BA136" s="863"/>
      <c r="BB136" s="863"/>
      <c r="BC136" s="863"/>
      <c r="BD136" s="863"/>
      <c r="BE136" s="863"/>
      <c r="BF136" s="863"/>
      <c r="BG136" s="863"/>
      <c r="BH136" s="863"/>
      <c r="BI136" s="863"/>
      <c r="BJ136" s="863"/>
      <c r="BK136" s="863"/>
      <c r="BL136" s="863"/>
      <c r="BM136" s="863"/>
      <c r="BN136" s="863"/>
      <c r="BO136" s="863"/>
      <c r="BP136" s="863"/>
      <c r="BQ136" s="863"/>
      <c r="BR136" s="863"/>
      <c r="BS136" s="863"/>
      <c r="BT136" s="863"/>
    </row>
    <row r="137" spans="1:72">
      <c r="A137" s="863" t="s">
        <v>515</v>
      </c>
      <c r="B137" s="863">
        <v>1251.3499999999999</v>
      </c>
      <c r="C137" s="863">
        <v>1396.52</v>
      </c>
      <c r="D137" s="863">
        <v>1041.45</v>
      </c>
      <c r="E137" s="863">
        <v>1058.6500000000001</v>
      </c>
      <c r="F137" s="863">
        <v>1088.31</v>
      </c>
      <c r="G137" s="863">
        <v>1162.25</v>
      </c>
      <c r="H137" s="863">
        <v>1220.05</v>
      </c>
      <c r="I137" s="863">
        <v>1251.99</v>
      </c>
      <c r="J137" s="863">
        <v>1276.69</v>
      </c>
      <c r="K137" s="863">
        <v>1306.1199999999999</v>
      </c>
      <c r="L137" s="863">
        <v>1334.33</v>
      </c>
      <c r="M137" s="863">
        <v>1358.39</v>
      </c>
      <c r="N137" s="863">
        <v>1379.14</v>
      </c>
      <c r="O137" s="863">
        <v>1402.91</v>
      </c>
      <c r="P137" s="863">
        <v>1418.92</v>
      </c>
      <c r="Q137" s="863">
        <v>1432.73</v>
      </c>
      <c r="R137" s="863">
        <v>1454.32</v>
      </c>
      <c r="S137" s="863">
        <v>1472.13</v>
      </c>
      <c r="T137" s="863">
        <v>1493.23</v>
      </c>
      <c r="U137" s="863">
        <v>1514.98</v>
      </c>
      <c r="V137" s="863">
        <v>1538.45</v>
      </c>
      <c r="W137" s="863">
        <v>1564.3</v>
      </c>
      <c r="X137" s="863">
        <v>1590.55</v>
      </c>
      <c r="Y137" s="863">
        <v>1615.34</v>
      </c>
      <c r="Z137" s="863">
        <v>1640.71</v>
      </c>
      <c r="AA137" s="863">
        <v>1665.62</v>
      </c>
      <c r="AB137" s="863">
        <v>1688.65</v>
      </c>
      <c r="AC137" s="863">
        <v>1712.28</v>
      </c>
      <c r="AD137" s="863">
        <v>1737.37</v>
      </c>
      <c r="AE137" s="900">
        <v>8.0000000000000002E-3</v>
      </c>
      <c r="AF137" s="863"/>
      <c r="AG137" s="863"/>
      <c r="AH137" s="863"/>
      <c r="AI137" s="863"/>
      <c r="AJ137" s="863"/>
      <c r="AK137" s="863"/>
      <c r="AL137" s="863"/>
      <c r="AM137" s="863"/>
      <c r="AN137" s="863"/>
      <c r="AO137" s="863"/>
      <c r="AP137" s="863"/>
      <c r="AQ137" s="863"/>
      <c r="AR137" s="863"/>
      <c r="AS137" s="863"/>
      <c r="AT137" s="863"/>
      <c r="AU137" s="863"/>
      <c r="AV137" s="863"/>
      <c r="AW137" s="863"/>
      <c r="AX137" s="863"/>
      <c r="AY137" s="863"/>
      <c r="AZ137" s="863"/>
      <c r="BA137" s="863"/>
      <c r="BB137" s="863"/>
      <c r="BC137" s="863"/>
      <c r="BD137" s="863"/>
      <c r="BE137" s="863"/>
      <c r="BF137" s="863"/>
      <c r="BG137" s="863"/>
      <c r="BH137" s="863"/>
      <c r="BI137" s="863"/>
      <c r="BJ137" s="863"/>
      <c r="BK137" s="863"/>
      <c r="BL137" s="863"/>
      <c r="BM137" s="863"/>
      <c r="BN137" s="863"/>
      <c r="BO137" s="863"/>
      <c r="BP137" s="863"/>
      <c r="BQ137" s="863"/>
      <c r="BR137" s="863"/>
      <c r="BS137" s="863"/>
      <c r="BT137" s="863"/>
    </row>
    <row r="138" spans="1:72">
      <c r="A138" s="863" t="s">
        <v>628</v>
      </c>
      <c r="B138" s="863">
        <v>0.05</v>
      </c>
      <c r="C138" s="863">
        <v>0.17</v>
      </c>
      <c r="D138" s="863">
        <v>0.04</v>
      </c>
      <c r="E138" s="863">
        <v>0.09</v>
      </c>
      <c r="F138" s="863">
        <v>0.11</v>
      </c>
      <c r="G138" s="863">
        <v>0.13</v>
      </c>
      <c r="H138" s="863">
        <v>0.15</v>
      </c>
      <c r="I138" s="863">
        <v>0.17</v>
      </c>
      <c r="J138" s="863">
        <v>0.21</v>
      </c>
      <c r="K138" s="863">
        <v>2.34</v>
      </c>
      <c r="L138" s="863">
        <v>3.15</v>
      </c>
      <c r="M138" s="863">
        <v>4</v>
      </c>
      <c r="N138" s="863">
        <v>5.31</v>
      </c>
      <c r="O138" s="863">
        <v>7.12</v>
      </c>
      <c r="P138" s="863">
        <v>9.59</v>
      </c>
      <c r="Q138" s="863">
        <v>17.39</v>
      </c>
      <c r="R138" s="863">
        <v>15.56</v>
      </c>
      <c r="S138" s="863">
        <v>14.53</v>
      </c>
      <c r="T138" s="863">
        <v>15.06</v>
      </c>
      <c r="U138" s="863">
        <v>16.98</v>
      </c>
      <c r="V138" s="863">
        <v>18.95</v>
      </c>
      <c r="W138" s="863">
        <v>20.57</v>
      </c>
      <c r="X138" s="863">
        <v>23.66</v>
      </c>
      <c r="Y138" s="863">
        <v>25.05</v>
      </c>
      <c r="Z138" s="863">
        <v>31.91</v>
      </c>
      <c r="AA138" s="863">
        <v>36.74</v>
      </c>
      <c r="AB138" s="863">
        <v>40.74</v>
      </c>
      <c r="AC138" s="863">
        <v>48.35</v>
      </c>
      <c r="AD138" s="863">
        <v>56.42</v>
      </c>
      <c r="AE138" s="900">
        <v>0.24099999999999999</v>
      </c>
      <c r="AF138" s="863"/>
      <c r="AG138" s="863"/>
      <c r="AH138" s="863"/>
      <c r="AI138" s="863"/>
      <c r="AJ138" s="863"/>
      <c r="AK138" s="863"/>
      <c r="AL138" s="863"/>
      <c r="AM138" s="863"/>
      <c r="AN138" s="863"/>
      <c r="AO138" s="863"/>
      <c r="AP138" s="863"/>
      <c r="AQ138" s="863"/>
      <c r="AR138" s="863"/>
      <c r="AS138" s="863"/>
      <c r="AT138" s="863"/>
      <c r="AU138" s="863"/>
      <c r="AV138" s="863"/>
      <c r="AW138" s="863"/>
      <c r="AX138" s="863"/>
      <c r="AY138" s="863"/>
      <c r="AZ138" s="863"/>
      <c r="BA138" s="863"/>
      <c r="BB138" s="863"/>
      <c r="BC138" s="863"/>
      <c r="BD138" s="863"/>
      <c r="BE138" s="863"/>
      <c r="BF138" s="863"/>
      <c r="BG138" s="863"/>
      <c r="BH138" s="863"/>
      <c r="BI138" s="863"/>
      <c r="BJ138" s="863"/>
      <c r="BK138" s="863"/>
      <c r="BL138" s="863"/>
      <c r="BM138" s="863"/>
      <c r="BN138" s="863"/>
      <c r="BO138" s="863"/>
      <c r="BP138" s="863"/>
      <c r="BQ138" s="863"/>
      <c r="BR138" s="863"/>
      <c r="BS138" s="863"/>
      <c r="BT138" s="863"/>
    </row>
    <row r="139" spans="1:72">
      <c r="A139" s="863" t="s">
        <v>517</v>
      </c>
      <c r="B139" s="863">
        <v>1251.3900000000001</v>
      </c>
      <c r="C139" s="863">
        <v>1396.69</v>
      </c>
      <c r="D139" s="863">
        <v>1041.49</v>
      </c>
      <c r="E139" s="863">
        <v>1058.74</v>
      </c>
      <c r="F139" s="863">
        <v>1088.42</v>
      </c>
      <c r="G139" s="863">
        <v>1162.3699999999999</v>
      </c>
      <c r="H139" s="863">
        <v>1220.2</v>
      </c>
      <c r="I139" s="863">
        <v>1252.1600000000001</v>
      </c>
      <c r="J139" s="863">
        <v>1276.9000000000001</v>
      </c>
      <c r="K139" s="863">
        <v>1308.46</v>
      </c>
      <c r="L139" s="863">
        <v>1337.48</v>
      </c>
      <c r="M139" s="863">
        <v>1362.4</v>
      </c>
      <c r="N139" s="863">
        <v>1384.44</v>
      </c>
      <c r="O139" s="863">
        <v>1410.03</v>
      </c>
      <c r="P139" s="863">
        <v>1428.51</v>
      </c>
      <c r="Q139" s="863">
        <v>1450.12</v>
      </c>
      <c r="R139" s="863">
        <v>1469.88</v>
      </c>
      <c r="S139" s="863">
        <v>1486.66</v>
      </c>
      <c r="T139" s="863">
        <v>1508.29</v>
      </c>
      <c r="U139" s="863">
        <v>1531.96</v>
      </c>
      <c r="V139" s="863">
        <v>1557.41</v>
      </c>
      <c r="W139" s="863">
        <v>1584.86</v>
      </c>
      <c r="X139" s="863">
        <v>1614.21</v>
      </c>
      <c r="Y139" s="863">
        <v>1640.39</v>
      </c>
      <c r="Z139" s="863">
        <v>1672.62</v>
      </c>
      <c r="AA139" s="863">
        <v>1702.37</v>
      </c>
      <c r="AB139" s="863">
        <v>1729.39</v>
      </c>
      <c r="AC139" s="863">
        <v>1760.62</v>
      </c>
      <c r="AD139" s="863">
        <v>1793.79</v>
      </c>
      <c r="AE139" s="900">
        <v>8.9999999999999993E-3</v>
      </c>
      <c r="AF139" s="863"/>
      <c r="AG139" s="863"/>
      <c r="AH139" s="863"/>
      <c r="AI139" s="863"/>
      <c r="AJ139" s="863"/>
      <c r="AK139" s="863"/>
      <c r="AL139" s="863"/>
      <c r="AM139" s="863"/>
      <c r="AN139" s="863"/>
      <c r="AO139" s="863"/>
      <c r="AP139" s="863"/>
      <c r="AQ139" s="863"/>
      <c r="AR139" s="863"/>
      <c r="AS139" s="863"/>
      <c r="AT139" s="863"/>
      <c r="AU139" s="863"/>
      <c r="AV139" s="863"/>
      <c r="AW139" s="863"/>
      <c r="AX139" s="863"/>
      <c r="AY139" s="863"/>
      <c r="AZ139" s="863"/>
      <c r="BA139" s="863"/>
      <c r="BB139" s="863"/>
      <c r="BC139" s="863"/>
      <c r="BD139" s="863"/>
      <c r="BE139" s="863"/>
      <c r="BF139" s="863"/>
      <c r="BG139" s="863"/>
      <c r="BH139" s="863"/>
      <c r="BI139" s="863"/>
      <c r="BJ139" s="863"/>
      <c r="BK139" s="863"/>
      <c r="BL139" s="863"/>
      <c r="BM139" s="863"/>
      <c r="BN139" s="863"/>
      <c r="BO139" s="863"/>
      <c r="BP139" s="863"/>
      <c r="BQ139" s="863"/>
      <c r="BR139" s="863"/>
      <c r="BS139" s="863"/>
      <c r="BT139" s="863"/>
    </row>
    <row r="140" spans="1:72">
      <c r="A140" s="863"/>
      <c r="B140" s="863"/>
      <c r="C140" s="863"/>
      <c r="D140" s="863"/>
      <c r="E140" s="863"/>
      <c r="F140" s="863"/>
      <c r="G140" s="863"/>
      <c r="H140" s="863"/>
      <c r="I140" s="863"/>
      <c r="J140" s="863"/>
      <c r="K140" s="863"/>
      <c r="L140" s="863"/>
      <c r="M140" s="863"/>
      <c r="N140" s="863"/>
      <c r="O140" s="863"/>
      <c r="P140" s="863"/>
      <c r="Q140" s="863"/>
      <c r="R140" s="863"/>
      <c r="S140" s="863"/>
      <c r="T140" s="863"/>
      <c r="U140" s="863"/>
      <c r="V140" s="863"/>
      <c r="W140" s="863"/>
      <c r="X140" s="863"/>
      <c r="Y140" s="863"/>
      <c r="Z140" s="863"/>
      <c r="AA140" s="863"/>
      <c r="AB140" s="863"/>
      <c r="AC140" s="863"/>
      <c r="AD140" s="863"/>
      <c r="AE140" s="863"/>
      <c r="AF140" s="863"/>
      <c r="AG140" s="863"/>
      <c r="AH140" s="863"/>
      <c r="AI140" s="863"/>
      <c r="AJ140" s="863"/>
      <c r="AK140" s="863"/>
      <c r="AL140" s="863"/>
      <c r="AM140" s="863"/>
      <c r="AN140" s="863"/>
      <c r="AO140" s="863"/>
      <c r="AP140" s="863"/>
      <c r="AQ140" s="863"/>
      <c r="AR140" s="863"/>
      <c r="AS140" s="863"/>
      <c r="AT140" s="863"/>
      <c r="AU140" s="863"/>
      <c r="AV140" s="863"/>
      <c r="AW140" s="863"/>
      <c r="AX140" s="863"/>
      <c r="AY140" s="863"/>
      <c r="AZ140" s="863"/>
      <c r="BA140" s="863"/>
      <c r="BB140" s="863"/>
      <c r="BC140" s="863"/>
      <c r="BD140" s="863"/>
      <c r="BE140" s="863"/>
      <c r="BF140" s="863"/>
      <c r="BG140" s="863"/>
      <c r="BH140" s="863"/>
      <c r="BI140" s="863"/>
      <c r="BJ140" s="863"/>
      <c r="BK140" s="863"/>
      <c r="BL140" s="863"/>
      <c r="BM140" s="863"/>
      <c r="BN140" s="863"/>
      <c r="BO140" s="863"/>
      <c r="BP140" s="863"/>
      <c r="BQ140" s="863"/>
      <c r="BR140" s="863"/>
      <c r="BS140" s="863"/>
      <c r="BT140" s="863"/>
    </row>
    <row r="141" spans="1:72">
      <c r="A141" s="863"/>
      <c r="B141" s="863"/>
      <c r="C141" s="863"/>
      <c r="D141" s="863"/>
      <c r="E141" s="863"/>
      <c r="F141" s="863"/>
      <c r="G141" s="863"/>
      <c r="H141" s="863"/>
      <c r="I141" s="863"/>
      <c r="J141" s="863"/>
      <c r="K141" s="863"/>
      <c r="L141" s="863"/>
      <c r="M141" s="863"/>
      <c r="N141" s="863"/>
      <c r="O141" s="863"/>
      <c r="P141" s="863"/>
      <c r="Q141" s="863"/>
      <c r="R141" s="863"/>
      <c r="S141" s="863"/>
      <c r="T141" s="863"/>
      <c r="U141" s="863"/>
      <c r="V141" s="863"/>
      <c r="W141" s="863"/>
      <c r="X141" s="863"/>
      <c r="Y141" s="863"/>
      <c r="Z141" s="863"/>
      <c r="AA141" s="863"/>
      <c r="AB141" s="863"/>
      <c r="AC141" s="863"/>
      <c r="AD141" s="863"/>
      <c r="AE141" s="863"/>
      <c r="AF141" s="863"/>
      <c r="AG141" s="863"/>
      <c r="AH141" s="863"/>
      <c r="AI141" s="863"/>
      <c r="AJ141" s="863"/>
      <c r="AK141" s="863"/>
      <c r="AL141" s="863"/>
      <c r="AM141" s="863"/>
      <c r="AN141" s="863"/>
      <c r="AO141" s="863"/>
      <c r="AP141" s="863"/>
      <c r="AQ141" s="863"/>
      <c r="AR141" s="863"/>
      <c r="AS141" s="863"/>
      <c r="AT141" s="863"/>
      <c r="AU141" s="863"/>
      <c r="AV141" s="863"/>
      <c r="AW141" s="863"/>
      <c r="AX141" s="863"/>
      <c r="AY141" s="863"/>
      <c r="AZ141" s="863"/>
      <c r="BA141" s="863"/>
      <c r="BB141" s="863"/>
      <c r="BC141" s="863"/>
      <c r="BD141" s="863"/>
      <c r="BE141" s="863"/>
      <c r="BF141" s="863"/>
      <c r="BG141" s="863"/>
      <c r="BH141" s="863"/>
      <c r="BI141" s="863"/>
      <c r="BJ141" s="863"/>
      <c r="BK141" s="863"/>
      <c r="BL141" s="863"/>
      <c r="BM141" s="863"/>
      <c r="BN141" s="863"/>
      <c r="BO141" s="863"/>
      <c r="BP141" s="863"/>
      <c r="BQ141" s="863"/>
      <c r="BR141" s="863"/>
      <c r="BS141" s="863"/>
      <c r="BT141" s="863"/>
    </row>
    <row r="142" spans="1:72">
      <c r="A142" s="863" t="s">
        <v>725</v>
      </c>
      <c r="B142" s="863"/>
      <c r="C142" s="863"/>
      <c r="D142" s="863"/>
      <c r="E142" s="863"/>
      <c r="F142" s="863"/>
      <c r="G142" s="863"/>
      <c r="H142" s="863"/>
      <c r="I142" s="863"/>
      <c r="J142" s="863"/>
      <c r="K142" s="863"/>
      <c r="L142" s="863"/>
      <c r="M142" s="863"/>
      <c r="N142" s="863"/>
      <c r="O142" s="863"/>
      <c r="P142" s="863"/>
      <c r="Q142" s="863"/>
      <c r="R142" s="863"/>
      <c r="S142" s="863"/>
      <c r="T142" s="863"/>
      <c r="U142" s="863"/>
      <c r="V142" s="863"/>
      <c r="W142" s="863"/>
      <c r="X142" s="863"/>
      <c r="Y142" s="863"/>
      <c r="Z142" s="863"/>
      <c r="AA142" s="863"/>
      <c r="AB142" s="863"/>
      <c r="AC142" s="863"/>
      <c r="AD142" s="863"/>
      <c r="AE142" s="863"/>
      <c r="AF142" s="863"/>
      <c r="AG142" s="863"/>
      <c r="AH142" s="863"/>
      <c r="AI142" s="863"/>
      <c r="AJ142" s="863"/>
      <c r="AK142" s="863"/>
      <c r="AL142" s="863"/>
      <c r="AM142" s="863"/>
      <c r="AN142" s="863"/>
      <c r="AO142" s="863"/>
      <c r="AP142" s="863"/>
      <c r="AQ142" s="863"/>
      <c r="AR142" s="863"/>
      <c r="AS142" s="863"/>
      <c r="AT142" s="863"/>
      <c r="AU142" s="863"/>
      <c r="AV142" s="863"/>
      <c r="AW142" s="863"/>
      <c r="AX142" s="863"/>
      <c r="AY142" s="863"/>
      <c r="AZ142" s="863"/>
      <c r="BA142" s="863"/>
      <c r="BB142" s="863"/>
      <c r="BC142" s="863"/>
      <c r="BD142" s="863"/>
      <c r="BE142" s="863"/>
      <c r="BF142" s="863"/>
      <c r="BG142" s="863"/>
      <c r="BH142" s="863"/>
      <c r="BI142" s="863"/>
      <c r="BJ142" s="863"/>
      <c r="BK142" s="863"/>
      <c r="BL142" s="863"/>
      <c r="BM142" s="863"/>
      <c r="BN142" s="863"/>
      <c r="BO142" s="863"/>
      <c r="BP142" s="863"/>
      <c r="BQ142" s="863"/>
      <c r="BR142" s="863"/>
      <c r="BS142" s="863"/>
      <c r="BT142" s="863"/>
    </row>
    <row r="143" spans="1:72">
      <c r="A143" s="863" t="s">
        <v>472</v>
      </c>
      <c r="B143" s="863"/>
      <c r="C143" s="863"/>
      <c r="D143" s="863"/>
      <c r="E143" s="863"/>
      <c r="F143" s="863"/>
      <c r="G143" s="863"/>
      <c r="H143" s="863"/>
      <c r="I143" s="863"/>
      <c r="J143" s="863"/>
      <c r="K143" s="863"/>
      <c r="L143" s="863"/>
      <c r="M143" s="863"/>
      <c r="N143" s="863"/>
      <c r="O143" s="863"/>
      <c r="P143" s="863"/>
      <c r="Q143" s="863"/>
      <c r="R143" s="863"/>
      <c r="S143" s="863"/>
      <c r="T143" s="863"/>
      <c r="U143" s="863"/>
      <c r="V143" s="863"/>
      <c r="W143" s="863"/>
      <c r="X143" s="863"/>
      <c r="Y143" s="863"/>
      <c r="Z143" s="863"/>
      <c r="AA143" s="863"/>
      <c r="AB143" s="863"/>
      <c r="AC143" s="863"/>
      <c r="AD143" s="863"/>
      <c r="AE143" s="863"/>
      <c r="AF143" s="863"/>
      <c r="AG143" s="863"/>
      <c r="AH143" s="863"/>
      <c r="AI143" s="863"/>
      <c r="AJ143" s="863"/>
      <c r="AK143" s="863"/>
      <c r="AL143" s="863"/>
      <c r="AM143" s="863"/>
      <c r="AN143" s="863"/>
      <c r="AO143" s="863"/>
      <c r="AP143" s="863"/>
      <c r="AQ143" s="863"/>
      <c r="AR143" s="863"/>
      <c r="AS143" s="863"/>
      <c r="AT143" s="863"/>
      <c r="AU143" s="863"/>
      <c r="AV143" s="863"/>
      <c r="AW143" s="863"/>
      <c r="AX143" s="863"/>
      <c r="AY143" s="863"/>
      <c r="AZ143" s="863"/>
      <c r="BA143" s="863"/>
      <c r="BB143" s="863"/>
      <c r="BC143" s="863"/>
      <c r="BD143" s="863"/>
      <c r="BE143" s="863"/>
      <c r="BF143" s="863"/>
      <c r="BG143" s="863"/>
      <c r="BH143" s="863"/>
      <c r="BI143" s="863"/>
      <c r="BJ143" s="863"/>
      <c r="BK143" s="863"/>
      <c r="BL143" s="863"/>
      <c r="BM143" s="863"/>
      <c r="BN143" s="863"/>
      <c r="BO143" s="863"/>
      <c r="BP143" s="863"/>
      <c r="BQ143" s="863"/>
      <c r="BR143" s="863"/>
      <c r="BS143" s="863"/>
      <c r="BT143" s="863"/>
    </row>
    <row r="144" spans="1:72">
      <c r="A144" s="863" t="s">
        <v>608</v>
      </c>
      <c r="B144" s="863">
        <v>25.67</v>
      </c>
      <c r="C144" s="863">
        <v>29.35</v>
      </c>
      <c r="D144" s="863">
        <v>25.28</v>
      </c>
      <c r="E144" s="863">
        <v>24.73</v>
      </c>
      <c r="F144" s="863">
        <v>25.15</v>
      </c>
      <c r="G144" s="863">
        <v>26.73</v>
      </c>
      <c r="H144" s="863">
        <v>28.51</v>
      </c>
      <c r="I144" s="863">
        <v>30.06</v>
      </c>
      <c r="J144" s="863">
        <v>31.23</v>
      </c>
      <c r="K144" s="863">
        <v>32.520000000000003</v>
      </c>
      <c r="L144" s="863">
        <v>33.75</v>
      </c>
      <c r="M144" s="863">
        <v>35.06</v>
      </c>
      <c r="N144" s="863">
        <v>36.020000000000003</v>
      </c>
      <c r="O144" s="863">
        <v>37.020000000000003</v>
      </c>
      <c r="P144" s="863">
        <v>38.1</v>
      </c>
      <c r="Q144" s="863">
        <v>39.200000000000003</v>
      </c>
      <c r="R144" s="863">
        <v>40.409999999999997</v>
      </c>
      <c r="S144" s="863">
        <v>41.61</v>
      </c>
      <c r="T144" s="863">
        <v>42.82</v>
      </c>
      <c r="U144" s="863">
        <v>43.92</v>
      </c>
      <c r="V144" s="863">
        <v>45.24</v>
      </c>
      <c r="W144" s="863">
        <v>46.58</v>
      </c>
      <c r="X144" s="863">
        <v>48.12</v>
      </c>
      <c r="Y144" s="863">
        <v>49.52</v>
      </c>
      <c r="Z144" s="863">
        <v>51.18</v>
      </c>
      <c r="AA144" s="863">
        <v>52.85</v>
      </c>
      <c r="AB144" s="863">
        <v>54.62</v>
      </c>
      <c r="AC144" s="863">
        <v>56.39</v>
      </c>
      <c r="AD144" s="863">
        <v>58.23</v>
      </c>
      <c r="AE144" s="900">
        <v>2.5999999999999999E-2</v>
      </c>
      <c r="AF144" s="863"/>
      <c r="AG144" s="863"/>
      <c r="AH144" s="863"/>
      <c r="AI144" s="863"/>
      <c r="AJ144" s="863"/>
      <c r="AK144" s="863"/>
      <c r="AL144" s="863"/>
      <c r="AM144" s="863"/>
      <c r="AN144" s="863"/>
      <c r="AO144" s="863"/>
      <c r="AP144" s="863"/>
      <c r="AQ144" s="863"/>
      <c r="AR144" s="863"/>
      <c r="AS144" s="863"/>
      <c r="AT144" s="863"/>
      <c r="AU144" s="863"/>
      <c r="AV144" s="863"/>
      <c r="AW144" s="863"/>
      <c r="AX144" s="863"/>
      <c r="AY144" s="863"/>
      <c r="AZ144" s="863"/>
      <c r="BA144" s="863"/>
      <c r="BB144" s="863"/>
      <c r="BC144" s="863"/>
      <c r="BD144" s="863"/>
      <c r="BE144" s="863"/>
      <c r="BF144" s="863"/>
      <c r="BG144" s="863"/>
      <c r="BH144" s="863"/>
      <c r="BI144" s="863"/>
      <c r="BJ144" s="863"/>
      <c r="BK144" s="863"/>
      <c r="BL144" s="863"/>
      <c r="BM144" s="863"/>
      <c r="BN144" s="863"/>
      <c r="BO144" s="863"/>
      <c r="BP144" s="863"/>
      <c r="BQ144" s="863"/>
      <c r="BR144" s="863"/>
      <c r="BS144" s="863"/>
      <c r="BT144" s="863"/>
    </row>
    <row r="145" spans="1:72">
      <c r="A145" s="863" t="s">
        <v>609</v>
      </c>
      <c r="B145" s="863">
        <v>19.86</v>
      </c>
      <c r="C145" s="863">
        <v>24.47</v>
      </c>
      <c r="D145" s="863">
        <v>18.260000000000002</v>
      </c>
      <c r="E145" s="863">
        <v>18.100000000000001</v>
      </c>
      <c r="F145" s="863">
        <v>18.489999999999998</v>
      </c>
      <c r="G145" s="863">
        <v>19.940000000000001</v>
      </c>
      <c r="H145" s="863">
        <v>21.4</v>
      </c>
      <c r="I145" s="863">
        <v>22.55</v>
      </c>
      <c r="J145" s="863">
        <v>23.49</v>
      </c>
      <c r="K145" s="863">
        <v>24.96</v>
      </c>
      <c r="L145" s="863">
        <v>26.17</v>
      </c>
      <c r="M145" s="863">
        <v>27.44</v>
      </c>
      <c r="N145" s="863">
        <v>28.46</v>
      </c>
      <c r="O145" s="863">
        <v>29.45</v>
      </c>
      <c r="P145" s="863">
        <v>30.25</v>
      </c>
      <c r="Q145" s="863">
        <v>31.17</v>
      </c>
      <c r="R145" s="863">
        <v>32.25</v>
      </c>
      <c r="S145" s="863">
        <v>33.17</v>
      </c>
      <c r="T145" s="863">
        <v>34.24</v>
      </c>
      <c r="U145" s="863">
        <v>35.33</v>
      </c>
      <c r="V145" s="863">
        <v>36.380000000000003</v>
      </c>
      <c r="W145" s="863">
        <v>37.630000000000003</v>
      </c>
      <c r="X145" s="863">
        <v>39.049999999999997</v>
      </c>
      <c r="Y145" s="863">
        <v>40.159999999999997</v>
      </c>
      <c r="Z145" s="863">
        <v>41.73</v>
      </c>
      <c r="AA145" s="863">
        <v>43.3</v>
      </c>
      <c r="AB145" s="863">
        <v>44.82</v>
      </c>
      <c r="AC145" s="863">
        <v>46.47</v>
      </c>
      <c r="AD145" s="863">
        <v>48.16</v>
      </c>
      <c r="AE145" s="900">
        <v>2.5000000000000001E-2</v>
      </c>
      <c r="AF145" s="863"/>
      <c r="AG145" s="863"/>
      <c r="AH145" s="863"/>
      <c r="AI145" s="863"/>
      <c r="AJ145" s="863"/>
      <c r="AK145" s="863"/>
      <c r="AL145" s="863"/>
      <c r="AM145" s="863"/>
      <c r="AN145" s="863"/>
      <c r="AO145" s="863"/>
      <c r="AP145" s="863"/>
      <c r="AQ145" s="863"/>
      <c r="AR145" s="863"/>
      <c r="AS145" s="863"/>
      <c r="AT145" s="863"/>
      <c r="AU145" s="863"/>
      <c r="AV145" s="863"/>
      <c r="AW145" s="863"/>
      <c r="AX145" s="863"/>
      <c r="AY145" s="863"/>
      <c r="AZ145" s="863"/>
      <c r="BA145" s="863"/>
      <c r="BB145" s="863"/>
      <c r="BC145" s="863"/>
      <c r="BD145" s="863"/>
      <c r="BE145" s="863"/>
      <c r="BF145" s="863"/>
      <c r="BG145" s="863"/>
      <c r="BH145" s="863"/>
      <c r="BI145" s="863"/>
      <c r="BJ145" s="863"/>
      <c r="BK145" s="863"/>
      <c r="BL145" s="863"/>
      <c r="BM145" s="863"/>
      <c r="BN145" s="863"/>
      <c r="BO145" s="863"/>
      <c r="BP145" s="863"/>
      <c r="BQ145" s="863"/>
      <c r="BR145" s="863"/>
      <c r="BS145" s="863"/>
      <c r="BT145" s="863"/>
    </row>
    <row r="146" spans="1:72">
      <c r="A146" s="863" t="s">
        <v>509</v>
      </c>
      <c r="B146" s="863">
        <v>12.66</v>
      </c>
      <c r="C146" s="863">
        <v>13.48</v>
      </c>
      <c r="D146" s="863">
        <v>11.57</v>
      </c>
      <c r="E146" s="863">
        <v>11.22</v>
      </c>
      <c r="F146" s="863">
        <v>12.29</v>
      </c>
      <c r="G146" s="863">
        <v>12.56</v>
      </c>
      <c r="H146" s="863">
        <v>12.36</v>
      </c>
      <c r="I146" s="863">
        <v>12.51</v>
      </c>
      <c r="J146" s="863">
        <v>12.88</v>
      </c>
      <c r="K146" s="863">
        <v>13.22</v>
      </c>
      <c r="L146" s="863">
        <v>13.5</v>
      </c>
      <c r="M146" s="863">
        <v>13.83</v>
      </c>
      <c r="N146" s="863">
        <v>14.18</v>
      </c>
      <c r="O146" s="863">
        <v>14.61</v>
      </c>
      <c r="P146" s="863">
        <v>15.06</v>
      </c>
      <c r="Q146" s="863">
        <v>15.64</v>
      </c>
      <c r="R146" s="863">
        <v>16.010000000000002</v>
      </c>
      <c r="S146" s="863">
        <v>16.22</v>
      </c>
      <c r="T146" s="863">
        <v>16.68</v>
      </c>
      <c r="U146" s="863">
        <v>17.260000000000002</v>
      </c>
      <c r="V146" s="863">
        <v>17.91</v>
      </c>
      <c r="W146" s="863">
        <v>18.649999999999999</v>
      </c>
      <c r="X146" s="863">
        <v>19.440000000000001</v>
      </c>
      <c r="Y146" s="863">
        <v>20.29</v>
      </c>
      <c r="Z146" s="863">
        <v>21.26</v>
      </c>
      <c r="AA146" s="863">
        <v>21.98</v>
      </c>
      <c r="AB146" s="863">
        <v>22.61</v>
      </c>
      <c r="AC146" s="863">
        <v>23.44</v>
      </c>
      <c r="AD146" s="863">
        <v>24.2</v>
      </c>
      <c r="AE146" s="900">
        <v>2.1999999999999999E-2</v>
      </c>
      <c r="AF146" s="863"/>
      <c r="AG146" s="863"/>
      <c r="AH146" s="863"/>
      <c r="AI146" s="863"/>
      <c r="AJ146" s="863"/>
      <c r="AK146" s="863"/>
      <c r="AL146" s="863"/>
      <c r="AM146" s="863"/>
      <c r="AN146" s="863"/>
      <c r="AO146" s="863"/>
      <c r="AP146" s="863"/>
      <c r="AQ146" s="863"/>
      <c r="AR146" s="863"/>
      <c r="AS146" s="863"/>
      <c r="AT146" s="863"/>
      <c r="AU146" s="863"/>
      <c r="AV146" s="863"/>
      <c r="AW146" s="863"/>
      <c r="AX146" s="863"/>
      <c r="AY146" s="863"/>
      <c r="AZ146" s="863"/>
      <c r="BA146" s="863"/>
      <c r="BB146" s="863"/>
      <c r="BC146" s="863"/>
      <c r="BD146" s="863"/>
      <c r="BE146" s="863"/>
      <c r="BF146" s="863"/>
      <c r="BG146" s="863"/>
      <c r="BH146" s="863"/>
      <c r="BI146" s="863"/>
      <c r="BJ146" s="863"/>
      <c r="BK146" s="863"/>
      <c r="BL146" s="863"/>
      <c r="BM146" s="863"/>
      <c r="BN146" s="863"/>
      <c r="BO146" s="863"/>
      <c r="BP146" s="863"/>
      <c r="BQ146" s="863"/>
      <c r="BR146" s="863"/>
      <c r="BS146" s="863"/>
      <c r="BT146" s="863"/>
    </row>
    <row r="147" spans="1:72">
      <c r="A147" s="863" t="s">
        <v>478</v>
      </c>
      <c r="B147" s="863">
        <v>31.12</v>
      </c>
      <c r="C147" s="863">
        <v>33.29</v>
      </c>
      <c r="D147" s="863">
        <v>32.83</v>
      </c>
      <c r="E147" s="863">
        <v>31.88</v>
      </c>
      <c r="F147" s="863">
        <v>31.21</v>
      </c>
      <c r="G147" s="863">
        <v>32.9</v>
      </c>
      <c r="H147" s="863">
        <v>33.9</v>
      </c>
      <c r="I147" s="863">
        <v>34.5</v>
      </c>
      <c r="J147" s="863">
        <v>35.020000000000003</v>
      </c>
      <c r="K147" s="863">
        <v>35.89</v>
      </c>
      <c r="L147" s="863">
        <v>36.74</v>
      </c>
      <c r="M147" s="863">
        <v>37.39</v>
      </c>
      <c r="N147" s="863">
        <v>37.97</v>
      </c>
      <c r="O147" s="863">
        <v>38.92</v>
      </c>
      <c r="P147" s="863">
        <v>39.950000000000003</v>
      </c>
      <c r="Q147" s="863">
        <v>40.92</v>
      </c>
      <c r="R147" s="863">
        <v>41.95</v>
      </c>
      <c r="S147" s="863">
        <v>42.94</v>
      </c>
      <c r="T147" s="863">
        <v>43.78</v>
      </c>
      <c r="U147" s="863">
        <v>44.88</v>
      </c>
      <c r="V147" s="863">
        <v>46.07</v>
      </c>
      <c r="W147" s="863">
        <v>47.3</v>
      </c>
      <c r="X147" s="863">
        <v>48.93</v>
      </c>
      <c r="Y147" s="863">
        <v>50.5</v>
      </c>
      <c r="Z147" s="863">
        <v>52.16</v>
      </c>
      <c r="AA147" s="863">
        <v>53.81</v>
      </c>
      <c r="AB147" s="863">
        <v>55.2</v>
      </c>
      <c r="AC147" s="863">
        <v>56.77</v>
      </c>
      <c r="AD147" s="863">
        <v>58.33</v>
      </c>
      <c r="AE147" s="900">
        <v>2.1000000000000001E-2</v>
      </c>
      <c r="AF147" s="863"/>
      <c r="AG147" s="863"/>
      <c r="AH147" s="863"/>
      <c r="AI147" s="863"/>
      <c r="AJ147" s="863"/>
      <c r="AK147" s="863"/>
      <c r="AL147" s="863"/>
      <c r="AM147" s="863"/>
      <c r="AN147" s="863"/>
      <c r="AO147" s="863"/>
      <c r="AP147" s="863"/>
      <c r="AQ147" s="863"/>
      <c r="AR147" s="863"/>
      <c r="AS147" s="863"/>
      <c r="AT147" s="863"/>
      <c r="AU147" s="863"/>
      <c r="AV147" s="863"/>
      <c r="AW147" s="863"/>
      <c r="AX147" s="863"/>
      <c r="AY147" s="863"/>
      <c r="AZ147" s="863"/>
      <c r="BA147" s="863"/>
      <c r="BB147" s="863"/>
      <c r="BC147" s="863"/>
      <c r="BD147" s="863"/>
      <c r="BE147" s="863"/>
      <c r="BF147" s="863"/>
      <c r="BG147" s="863"/>
      <c r="BH147" s="863"/>
      <c r="BI147" s="863"/>
      <c r="BJ147" s="863"/>
      <c r="BK147" s="863"/>
      <c r="BL147" s="863"/>
      <c r="BM147" s="863"/>
      <c r="BN147" s="863"/>
      <c r="BO147" s="863"/>
      <c r="BP147" s="863"/>
      <c r="BQ147" s="863"/>
      <c r="BR147" s="863"/>
      <c r="BS147" s="863"/>
      <c r="BT147" s="863"/>
    </row>
    <row r="148" spans="1:72">
      <c r="A148" s="863"/>
      <c r="B148" s="863"/>
      <c r="C148" s="863"/>
      <c r="D148" s="863"/>
      <c r="E148" s="863"/>
      <c r="F148" s="863"/>
      <c r="G148" s="863"/>
      <c r="H148" s="863"/>
      <c r="I148" s="863"/>
      <c r="J148" s="863"/>
      <c r="K148" s="863"/>
      <c r="L148" s="863"/>
      <c r="M148" s="863"/>
      <c r="N148" s="863"/>
      <c r="O148" s="863"/>
      <c r="P148" s="863"/>
      <c r="Q148" s="863"/>
      <c r="R148" s="863"/>
      <c r="S148" s="863"/>
      <c r="T148" s="863"/>
      <c r="U148" s="863"/>
      <c r="V148" s="863"/>
      <c r="W148" s="863"/>
      <c r="X148" s="863"/>
      <c r="Y148" s="863"/>
      <c r="Z148" s="863"/>
      <c r="AA148" s="863"/>
      <c r="AB148" s="863"/>
      <c r="AC148" s="863"/>
      <c r="AD148" s="863"/>
      <c r="AE148" s="863"/>
      <c r="AF148" s="863"/>
      <c r="AG148" s="863"/>
      <c r="AH148" s="863"/>
      <c r="AI148" s="863"/>
      <c r="AJ148" s="863"/>
      <c r="AK148" s="863"/>
      <c r="AL148" s="863"/>
      <c r="AM148" s="863"/>
      <c r="AN148" s="863"/>
      <c r="AO148" s="863"/>
      <c r="AP148" s="863"/>
      <c r="AQ148" s="863"/>
      <c r="AR148" s="863"/>
      <c r="AS148" s="863"/>
      <c r="AT148" s="863"/>
      <c r="AU148" s="863"/>
      <c r="AV148" s="863"/>
      <c r="AW148" s="863"/>
      <c r="AX148" s="863"/>
      <c r="AY148" s="863"/>
      <c r="AZ148" s="863"/>
      <c r="BA148" s="863"/>
      <c r="BB148" s="863"/>
      <c r="BC148" s="863"/>
      <c r="BD148" s="863"/>
      <c r="BE148" s="863"/>
      <c r="BF148" s="863"/>
      <c r="BG148" s="863"/>
      <c r="BH148" s="863"/>
      <c r="BI148" s="863"/>
      <c r="BJ148" s="863"/>
      <c r="BK148" s="863"/>
      <c r="BL148" s="863"/>
      <c r="BM148" s="863"/>
      <c r="BN148" s="863"/>
      <c r="BO148" s="863"/>
      <c r="BP148" s="863"/>
      <c r="BQ148" s="863"/>
      <c r="BR148" s="863"/>
      <c r="BS148" s="863"/>
      <c r="BT148" s="863"/>
    </row>
    <row r="149" spans="1:72">
      <c r="A149" s="863" t="s">
        <v>479</v>
      </c>
      <c r="B149" s="863"/>
      <c r="C149" s="863"/>
      <c r="D149" s="863"/>
      <c r="E149" s="863"/>
      <c r="F149" s="863"/>
      <c r="G149" s="863"/>
      <c r="H149" s="863"/>
      <c r="I149" s="863"/>
      <c r="J149" s="863"/>
      <c r="K149" s="863"/>
      <c r="L149" s="863"/>
      <c r="M149" s="863"/>
      <c r="N149" s="863"/>
      <c r="O149" s="863"/>
      <c r="P149" s="863"/>
      <c r="Q149" s="863"/>
      <c r="R149" s="863"/>
      <c r="S149" s="863"/>
      <c r="T149" s="863"/>
      <c r="U149" s="863"/>
      <c r="V149" s="863"/>
      <c r="W149" s="863"/>
      <c r="X149" s="863"/>
      <c r="Y149" s="863"/>
      <c r="Z149" s="863"/>
      <c r="AA149" s="863"/>
      <c r="AB149" s="863"/>
      <c r="AC149" s="863"/>
      <c r="AD149" s="863"/>
      <c r="AE149" s="863"/>
      <c r="AF149" s="863"/>
      <c r="AG149" s="863"/>
      <c r="AH149" s="863"/>
      <c r="AI149" s="863"/>
      <c r="AJ149" s="863"/>
      <c r="AK149" s="863"/>
      <c r="AL149" s="863"/>
      <c r="AM149" s="863"/>
      <c r="AN149" s="863"/>
      <c r="AO149" s="863"/>
      <c r="AP149" s="863"/>
      <c r="AQ149" s="863"/>
      <c r="AR149" s="863"/>
      <c r="AS149" s="863"/>
      <c r="AT149" s="863"/>
      <c r="AU149" s="863"/>
      <c r="AV149" s="863"/>
      <c r="AW149" s="863"/>
      <c r="AX149" s="863"/>
      <c r="AY149" s="863"/>
      <c r="AZ149" s="863"/>
      <c r="BA149" s="863"/>
      <c r="BB149" s="863"/>
      <c r="BC149" s="863"/>
      <c r="BD149" s="863"/>
      <c r="BE149" s="863"/>
      <c r="BF149" s="863"/>
      <c r="BG149" s="863"/>
      <c r="BH149" s="863"/>
      <c r="BI149" s="863"/>
      <c r="BJ149" s="863"/>
      <c r="BK149" s="863"/>
      <c r="BL149" s="863"/>
      <c r="BM149" s="863"/>
      <c r="BN149" s="863"/>
      <c r="BO149" s="863"/>
      <c r="BP149" s="863"/>
      <c r="BQ149" s="863"/>
      <c r="BR149" s="863"/>
      <c r="BS149" s="863"/>
      <c r="BT149" s="863"/>
    </row>
    <row r="150" spans="1:72">
      <c r="A150" s="863" t="s">
        <v>608</v>
      </c>
      <c r="B150" s="863">
        <v>20.2</v>
      </c>
      <c r="C150" s="863">
        <v>26.15</v>
      </c>
      <c r="D150" s="863">
        <v>20.12</v>
      </c>
      <c r="E150" s="863">
        <v>21.4</v>
      </c>
      <c r="F150" s="863">
        <v>21.77</v>
      </c>
      <c r="G150" s="863">
        <v>23.3</v>
      </c>
      <c r="H150" s="863">
        <v>25.02</v>
      </c>
      <c r="I150" s="863">
        <v>26.51</v>
      </c>
      <c r="J150" s="863">
        <v>27.61</v>
      </c>
      <c r="K150" s="863">
        <v>28.83</v>
      </c>
      <c r="L150" s="863">
        <v>29.98</v>
      </c>
      <c r="M150" s="863">
        <v>31.22</v>
      </c>
      <c r="N150" s="863">
        <v>32.11</v>
      </c>
      <c r="O150" s="863">
        <v>33.020000000000003</v>
      </c>
      <c r="P150" s="863">
        <v>34.01</v>
      </c>
      <c r="Q150" s="863">
        <v>35.020000000000003</v>
      </c>
      <c r="R150" s="863">
        <v>36.130000000000003</v>
      </c>
      <c r="S150" s="863">
        <v>37.24</v>
      </c>
      <c r="T150" s="863">
        <v>38.35</v>
      </c>
      <c r="U150" s="863">
        <v>39.36</v>
      </c>
      <c r="V150" s="863">
        <v>40.57</v>
      </c>
      <c r="W150" s="863">
        <v>41.81</v>
      </c>
      <c r="X150" s="863">
        <v>43.24</v>
      </c>
      <c r="Y150" s="863">
        <v>44.53</v>
      </c>
      <c r="Z150" s="863">
        <v>46.07</v>
      </c>
      <c r="AA150" s="863">
        <v>47.62</v>
      </c>
      <c r="AB150" s="863">
        <v>49.27</v>
      </c>
      <c r="AC150" s="863">
        <v>50.92</v>
      </c>
      <c r="AD150" s="863">
        <v>52.64</v>
      </c>
      <c r="AE150" s="900">
        <v>2.5999999999999999E-2</v>
      </c>
      <c r="AF150" s="863"/>
      <c r="AG150" s="863"/>
      <c r="AH150" s="863"/>
      <c r="AI150" s="863"/>
      <c r="AJ150" s="863"/>
      <c r="AK150" s="863"/>
      <c r="AL150" s="863"/>
      <c r="AM150" s="863"/>
      <c r="AN150" s="863"/>
      <c r="AO150" s="863"/>
      <c r="AP150" s="863"/>
      <c r="AQ150" s="863"/>
      <c r="AR150" s="863"/>
      <c r="AS150" s="863"/>
      <c r="AT150" s="863"/>
      <c r="AU150" s="863"/>
      <c r="AV150" s="863"/>
      <c r="AW150" s="863"/>
      <c r="AX150" s="863"/>
      <c r="AY150" s="863"/>
      <c r="AZ150" s="863"/>
      <c r="BA150" s="863"/>
      <c r="BB150" s="863"/>
      <c r="BC150" s="863"/>
      <c r="BD150" s="863"/>
      <c r="BE150" s="863"/>
      <c r="BF150" s="863"/>
      <c r="BG150" s="863"/>
      <c r="BH150" s="863"/>
      <c r="BI150" s="863"/>
      <c r="BJ150" s="863"/>
      <c r="BK150" s="863"/>
      <c r="BL150" s="863"/>
      <c r="BM150" s="863"/>
      <c r="BN150" s="863"/>
      <c r="BO150" s="863"/>
      <c r="BP150" s="863"/>
      <c r="BQ150" s="863"/>
      <c r="BR150" s="863"/>
      <c r="BS150" s="863"/>
      <c r="BT150" s="863"/>
    </row>
    <row r="151" spans="1:72">
      <c r="A151" s="863" t="s">
        <v>609</v>
      </c>
      <c r="B151" s="863">
        <v>17.100000000000001</v>
      </c>
      <c r="C151" s="863">
        <v>21.5</v>
      </c>
      <c r="D151" s="863">
        <v>16.04</v>
      </c>
      <c r="E151" s="863">
        <v>15.27</v>
      </c>
      <c r="F151" s="863">
        <v>15.91</v>
      </c>
      <c r="G151" s="863">
        <v>17.34</v>
      </c>
      <c r="H151" s="863">
        <v>18.739999999999998</v>
      </c>
      <c r="I151" s="863">
        <v>19.850000000000001</v>
      </c>
      <c r="J151" s="863">
        <v>20.86</v>
      </c>
      <c r="K151" s="863">
        <v>22.18</v>
      </c>
      <c r="L151" s="863">
        <v>23.33</v>
      </c>
      <c r="M151" s="863">
        <v>24.52</v>
      </c>
      <c r="N151" s="863">
        <v>25.47</v>
      </c>
      <c r="O151" s="863">
        <v>26.39</v>
      </c>
      <c r="P151" s="863">
        <v>27.18</v>
      </c>
      <c r="Q151" s="863">
        <v>28.11</v>
      </c>
      <c r="R151" s="863">
        <v>29.04</v>
      </c>
      <c r="S151" s="863">
        <v>29.83</v>
      </c>
      <c r="T151" s="863">
        <v>30.83</v>
      </c>
      <c r="U151" s="863">
        <v>31.82</v>
      </c>
      <c r="V151" s="863">
        <v>32.83</v>
      </c>
      <c r="W151" s="863">
        <v>34.01</v>
      </c>
      <c r="X151" s="863">
        <v>35.340000000000003</v>
      </c>
      <c r="Y151" s="863">
        <v>36.380000000000003</v>
      </c>
      <c r="Z151" s="863">
        <v>37.86</v>
      </c>
      <c r="AA151" s="863">
        <v>39.340000000000003</v>
      </c>
      <c r="AB151" s="863">
        <v>40.74</v>
      </c>
      <c r="AC151" s="863">
        <v>42.29</v>
      </c>
      <c r="AD151" s="863">
        <v>43.92</v>
      </c>
      <c r="AE151" s="900">
        <v>2.7E-2</v>
      </c>
      <c r="AF151" s="863"/>
      <c r="AG151" s="863"/>
      <c r="AH151" s="863"/>
      <c r="AI151" s="863"/>
      <c r="AJ151" s="863"/>
      <c r="AK151" s="863"/>
      <c r="AL151" s="863"/>
      <c r="AM151" s="863"/>
      <c r="AN151" s="863"/>
      <c r="AO151" s="863"/>
      <c r="AP151" s="863"/>
      <c r="AQ151" s="863"/>
      <c r="AR151" s="863"/>
      <c r="AS151" s="863"/>
      <c r="AT151" s="863"/>
      <c r="AU151" s="863"/>
      <c r="AV151" s="863"/>
      <c r="AW151" s="863"/>
      <c r="AX151" s="863"/>
      <c r="AY151" s="863"/>
      <c r="AZ151" s="863"/>
      <c r="BA151" s="863"/>
      <c r="BB151" s="863"/>
      <c r="BC151" s="863"/>
      <c r="BD151" s="863"/>
      <c r="BE151" s="863"/>
      <c r="BF151" s="863"/>
      <c r="BG151" s="863"/>
      <c r="BH151" s="863"/>
      <c r="BI151" s="863"/>
      <c r="BJ151" s="863"/>
      <c r="BK151" s="863"/>
      <c r="BL151" s="863"/>
      <c r="BM151" s="863"/>
      <c r="BN151" s="863"/>
      <c r="BO151" s="863"/>
      <c r="BP151" s="863"/>
      <c r="BQ151" s="863"/>
      <c r="BR151" s="863"/>
      <c r="BS151" s="863"/>
      <c r="BT151" s="863"/>
    </row>
    <row r="152" spans="1:72">
      <c r="A152" s="863" t="s">
        <v>722</v>
      </c>
      <c r="B152" s="863">
        <v>8.2100000000000009</v>
      </c>
      <c r="C152" s="863">
        <v>15.52</v>
      </c>
      <c r="D152" s="863">
        <v>9.41</v>
      </c>
      <c r="E152" s="863">
        <v>9.74</v>
      </c>
      <c r="F152" s="863">
        <v>10.050000000000001</v>
      </c>
      <c r="G152" s="863">
        <v>11.48</v>
      </c>
      <c r="H152" s="863">
        <v>12.9</v>
      </c>
      <c r="I152" s="863">
        <v>13.98</v>
      </c>
      <c r="J152" s="863">
        <v>14.63</v>
      </c>
      <c r="K152" s="863">
        <v>15.52</v>
      </c>
      <c r="L152" s="863">
        <v>16.37</v>
      </c>
      <c r="M152" s="863">
        <v>17.29</v>
      </c>
      <c r="N152" s="863">
        <v>18.29</v>
      </c>
      <c r="O152" s="863">
        <v>18.899999999999999</v>
      </c>
      <c r="P152" s="863">
        <v>19.57</v>
      </c>
      <c r="Q152" s="863">
        <v>20.27</v>
      </c>
      <c r="R152" s="863">
        <v>21.01</v>
      </c>
      <c r="S152" s="863">
        <v>21.73</v>
      </c>
      <c r="T152" s="863">
        <v>22.45</v>
      </c>
      <c r="U152" s="863">
        <v>23.04</v>
      </c>
      <c r="V152" s="863">
        <v>23.8</v>
      </c>
      <c r="W152" s="863">
        <v>24.66</v>
      </c>
      <c r="X152" s="863">
        <v>25.52</v>
      </c>
      <c r="Y152" s="863">
        <v>26.47</v>
      </c>
      <c r="Z152" s="863">
        <v>27.6</v>
      </c>
      <c r="AA152" s="863">
        <v>28.58</v>
      </c>
      <c r="AB152" s="863">
        <v>29.4</v>
      </c>
      <c r="AC152" s="863">
        <v>30.75</v>
      </c>
      <c r="AD152" s="863">
        <v>31.66</v>
      </c>
      <c r="AE152" s="900">
        <v>2.7E-2</v>
      </c>
      <c r="AF152" s="863"/>
      <c r="AG152" s="863"/>
      <c r="AH152" s="863"/>
      <c r="AI152" s="863"/>
      <c r="AJ152" s="863"/>
      <c r="AK152" s="863"/>
      <c r="AL152" s="863"/>
      <c r="AM152" s="863"/>
      <c r="AN152" s="863"/>
      <c r="AO152" s="863"/>
      <c r="AP152" s="863"/>
      <c r="AQ152" s="863"/>
      <c r="AR152" s="863"/>
      <c r="AS152" s="863"/>
      <c r="AT152" s="863"/>
      <c r="AU152" s="863"/>
      <c r="AV152" s="863"/>
      <c r="AW152" s="863"/>
      <c r="AX152" s="863"/>
      <c r="AY152" s="863"/>
      <c r="AZ152" s="863"/>
      <c r="BA152" s="863"/>
      <c r="BB152" s="863"/>
      <c r="BC152" s="863"/>
      <c r="BD152" s="863"/>
      <c r="BE152" s="863"/>
      <c r="BF152" s="863"/>
      <c r="BG152" s="863"/>
      <c r="BH152" s="863"/>
      <c r="BI152" s="863"/>
      <c r="BJ152" s="863"/>
      <c r="BK152" s="863"/>
      <c r="BL152" s="863"/>
      <c r="BM152" s="863"/>
      <c r="BN152" s="863"/>
      <c r="BO152" s="863"/>
      <c r="BP152" s="863"/>
      <c r="BQ152" s="863"/>
      <c r="BR152" s="863"/>
      <c r="BS152" s="863"/>
      <c r="BT152" s="863"/>
    </row>
    <row r="153" spans="1:72">
      <c r="A153" s="863" t="s">
        <v>509</v>
      </c>
      <c r="B153" s="863">
        <v>10.96</v>
      </c>
      <c r="C153" s="863">
        <v>11.94</v>
      </c>
      <c r="D153" s="863">
        <v>9.18</v>
      </c>
      <c r="E153" s="863">
        <v>8.93</v>
      </c>
      <c r="F153" s="863">
        <v>10.15</v>
      </c>
      <c r="G153" s="863">
        <v>10.65</v>
      </c>
      <c r="H153" s="863">
        <v>10.68</v>
      </c>
      <c r="I153" s="863">
        <v>10.8</v>
      </c>
      <c r="J153" s="863">
        <v>11.14</v>
      </c>
      <c r="K153" s="863">
        <v>11.44</v>
      </c>
      <c r="L153" s="863">
        <v>11.67</v>
      </c>
      <c r="M153" s="863">
        <v>11.96</v>
      </c>
      <c r="N153" s="863">
        <v>12.27</v>
      </c>
      <c r="O153" s="863">
        <v>12.65</v>
      </c>
      <c r="P153" s="863">
        <v>13.05</v>
      </c>
      <c r="Q153" s="863">
        <v>13.58</v>
      </c>
      <c r="R153" s="863">
        <v>13.92</v>
      </c>
      <c r="S153" s="863">
        <v>14.13</v>
      </c>
      <c r="T153" s="863">
        <v>14.53</v>
      </c>
      <c r="U153" s="863">
        <v>15.05</v>
      </c>
      <c r="V153" s="863">
        <v>15.62</v>
      </c>
      <c r="W153" s="863">
        <v>16.3</v>
      </c>
      <c r="X153" s="863">
        <v>17.010000000000002</v>
      </c>
      <c r="Y153" s="863">
        <v>17.78</v>
      </c>
      <c r="Z153" s="863">
        <v>18.690000000000001</v>
      </c>
      <c r="AA153" s="863">
        <v>19.329999999999998</v>
      </c>
      <c r="AB153" s="863">
        <v>19.86</v>
      </c>
      <c r="AC153" s="863">
        <v>20.61</v>
      </c>
      <c r="AD153" s="863">
        <v>21.27</v>
      </c>
      <c r="AE153" s="900">
        <v>2.1999999999999999E-2</v>
      </c>
      <c r="AF153" s="863"/>
      <c r="AG153" s="863"/>
      <c r="AH153" s="863"/>
      <c r="AI153" s="863"/>
      <c r="AJ153" s="863"/>
      <c r="AK153" s="863"/>
      <c r="AL153" s="863"/>
      <c r="AM153" s="863"/>
      <c r="AN153" s="863"/>
      <c r="AO153" s="863"/>
      <c r="AP153" s="863"/>
      <c r="AQ153" s="863"/>
      <c r="AR153" s="863"/>
      <c r="AS153" s="863"/>
      <c r="AT153" s="863"/>
      <c r="AU153" s="863"/>
      <c r="AV153" s="863"/>
      <c r="AW153" s="863"/>
      <c r="AX153" s="863"/>
      <c r="AY153" s="863"/>
      <c r="AZ153" s="863"/>
      <c r="BA153" s="863"/>
      <c r="BB153" s="863"/>
      <c r="BC153" s="863"/>
      <c r="BD153" s="863"/>
      <c r="BE153" s="863"/>
      <c r="BF153" s="863"/>
      <c r="BG153" s="863"/>
      <c r="BH153" s="863"/>
      <c r="BI153" s="863"/>
      <c r="BJ153" s="863"/>
      <c r="BK153" s="863"/>
      <c r="BL153" s="863"/>
      <c r="BM153" s="863"/>
      <c r="BN153" s="863"/>
      <c r="BO153" s="863"/>
      <c r="BP153" s="863"/>
      <c r="BQ153" s="863"/>
      <c r="BR153" s="863"/>
      <c r="BS153" s="863"/>
      <c r="BT153" s="863"/>
    </row>
    <row r="154" spans="1:72">
      <c r="A154" s="863" t="s">
        <v>478</v>
      </c>
      <c r="B154" s="863">
        <v>28.18</v>
      </c>
      <c r="C154" s="863">
        <v>30.47</v>
      </c>
      <c r="D154" s="863">
        <v>29.38</v>
      </c>
      <c r="E154" s="863">
        <v>28.19</v>
      </c>
      <c r="F154" s="863">
        <v>26.85</v>
      </c>
      <c r="G154" s="863">
        <v>28.28</v>
      </c>
      <c r="H154" s="863">
        <v>28.88</v>
      </c>
      <c r="I154" s="863">
        <v>29.09</v>
      </c>
      <c r="J154" s="863">
        <v>29.58</v>
      </c>
      <c r="K154" s="863">
        <v>30.41</v>
      </c>
      <c r="L154" s="863">
        <v>31.16</v>
      </c>
      <c r="M154" s="863">
        <v>31.75</v>
      </c>
      <c r="N154" s="863">
        <v>32.270000000000003</v>
      </c>
      <c r="O154" s="863">
        <v>33.15</v>
      </c>
      <c r="P154" s="863">
        <v>34.090000000000003</v>
      </c>
      <c r="Q154" s="863">
        <v>34.97</v>
      </c>
      <c r="R154" s="863">
        <v>35.99</v>
      </c>
      <c r="S154" s="863">
        <v>36.94</v>
      </c>
      <c r="T154" s="863">
        <v>37.619999999999997</v>
      </c>
      <c r="U154" s="863">
        <v>38.61</v>
      </c>
      <c r="V154" s="863">
        <v>39.68</v>
      </c>
      <c r="W154" s="863">
        <v>40.82</v>
      </c>
      <c r="X154" s="863">
        <v>42.33</v>
      </c>
      <c r="Y154" s="863">
        <v>43.75</v>
      </c>
      <c r="Z154" s="863">
        <v>45.32</v>
      </c>
      <c r="AA154" s="863">
        <v>46.89</v>
      </c>
      <c r="AB154" s="863">
        <v>48.18</v>
      </c>
      <c r="AC154" s="863">
        <v>49.63</v>
      </c>
      <c r="AD154" s="863">
        <v>51.04</v>
      </c>
      <c r="AE154" s="900">
        <v>1.9E-2</v>
      </c>
      <c r="AF154" s="863"/>
      <c r="AG154" s="863"/>
      <c r="AH154" s="863"/>
      <c r="AI154" s="863"/>
      <c r="AJ154" s="863"/>
      <c r="AK154" s="863"/>
      <c r="AL154" s="863"/>
      <c r="AM154" s="863"/>
      <c r="AN154" s="863"/>
      <c r="AO154" s="863"/>
      <c r="AP154" s="863"/>
      <c r="AQ154" s="863"/>
      <c r="AR154" s="863"/>
      <c r="AS154" s="863"/>
      <c r="AT154" s="863"/>
      <c r="AU154" s="863"/>
      <c r="AV154" s="863"/>
      <c r="AW154" s="863"/>
      <c r="AX154" s="863"/>
      <c r="AY154" s="863"/>
      <c r="AZ154" s="863"/>
      <c r="BA154" s="863"/>
      <c r="BB154" s="863"/>
      <c r="BC154" s="863"/>
      <c r="BD154" s="863"/>
      <c r="BE154" s="863"/>
      <c r="BF154" s="863"/>
      <c r="BG154" s="863"/>
      <c r="BH154" s="863"/>
      <c r="BI154" s="863"/>
      <c r="BJ154" s="863"/>
      <c r="BK154" s="863"/>
      <c r="BL154" s="863"/>
      <c r="BM154" s="863"/>
      <c r="BN154" s="863"/>
      <c r="BO154" s="863"/>
      <c r="BP154" s="863"/>
      <c r="BQ154" s="863"/>
      <c r="BR154" s="863"/>
      <c r="BS154" s="863"/>
      <c r="BT154" s="863"/>
    </row>
    <row r="155" spans="1:72">
      <c r="A155" s="863"/>
      <c r="B155" s="863"/>
      <c r="C155" s="863"/>
      <c r="D155" s="863"/>
      <c r="E155" s="863"/>
      <c r="F155" s="863"/>
      <c r="G155" s="863"/>
      <c r="H155" s="863"/>
      <c r="I155" s="863"/>
      <c r="J155" s="863"/>
      <c r="K155" s="863"/>
      <c r="L155" s="863"/>
      <c r="M155" s="863"/>
      <c r="N155" s="863"/>
      <c r="O155" s="863"/>
      <c r="P155" s="863"/>
      <c r="Q155" s="863"/>
      <c r="R155" s="863"/>
      <c r="S155" s="863"/>
      <c r="T155" s="863"/>
      <c r="U155" s="863"/>
      <c r="V155" s="863"/>
      <c r="W155" s="863"/>
      <c r="X155" s="863"/>
      <c r="Y155" s="863"/>
      <c r="Z155" s="863"/>
      <c r="AA155" s="863"/>
      <c r="AB155" s="863"/>
      <c r="AC155" s="863"/>
      <c r="AD155" s="863"/>
      <c r="AE155" s="863"/>
      <c r="AF155" s="863"/>
      <c r="AG155" s="863"/>
      <c r="AH155" s="863"/>
      <c r="AI155" s="863"/>
      <c r="AJ155" s="863"/>
      <c r="AK155" s="863"/>
      <c r="AL155" s="863"/>
      <c r="AM155" s="863"/>
      <c r="AN155" s="863"/>
      <c r="AO155" s="863"/>
      <c r="AP155" s="863"/>
      <c r="AQ155" s="863"/>
      <c r="AR155" s="863"/>
      <c r="AS155" s="863"/>
      <c r="AT155" s="863"/>
      <c r="AU155" s="863"/>
      <c r="AV155" s="863"/>
      <c r="AW155" s="863"/>
      <c r="AX155" s="863"/>
      <c r="AY155" s="863"/>
      <c r="AZ155" s="863"/>
      <c r="BA155" s="863"/>
      <c r="BB155" s="863"/>
      <c r="BC155" s="863"/>
      <c r="BD155" s="863"/>
      <c r="BE155" s="863"/>
      <c r="BF155" s="863"/>
      <c r="BG155" s="863"/>
      <c r="BH155" s="863"/>
      <c r="BI155" s="863"/>
      <c r="BJ155" s="863"/>
      <c r="BK155" s="863"/>
      <c r="BL155" s="863"/>
      <c r="BM155" s="863"/>
      <c r="BN155" s="863"/>
      <c r="BO155" s="863"/>
      <c r="BP155" s="863"/>
      <c r="BQ155" s="863"/>
      <c r="BR155" s="863"/>
      <c r="BS155" s="863"/>
      <c r="BT155" s="863"/>
    </row>
    <row r="156" spans="1:72">
      <c r="A156" s="863" t="s">
        <v>611</v>
      </c>
      <c r="B156" s="863"/>
      <c r="C156" s="863"/>
      <c r="D156" s="863"/>
      <c r="E156" s="863"/>
      <c r="F156" s="863"/>
      <c r="G156" s="863"/>
      <c r="H156" s="863"/>
      <c r="I156" s="863"/>
      <c r="J156" s="863"/>
      <c r="K156" s="863"/>
      <c r="L156" s="863"/>
      <c r="M156" s="863"/>
      <c r="N156" s="863"/>
      <c r="O156" s="863"/>
      <c r="P156" s="863"/>
      <c r="Q156" s="863"/>
      <c r="R156" s="863"/>
      <c r="S156" s="863"/>
      <c r="T156" s="863"/>
      <c r="U156" s="863"/>
      <c r="V156" s="863"/>
      <c r="W156" s="863"/>
      <c r="X156" s="863"/>
      <c r="Y156" s="863"/>
      <c r="Z156" s="863"/>
      <c r="AA156" s="863"/>
      <c r="AB156" s="863"/>
      <c r="AC156" s="863"/>
      <c r="AD156" s="863"/>
      <c r="AE156" s="863"/>
      <c r="AF156" s="863"/>
      <c r="AG156" s="863"/>
      <c r="AH156" s="863"/>
      <c r="AI156" s="863"/>
      <c r="AJ156" s="863"/>
      <c r="AK156" s="863"/>
      <c r="AL156" s="863"/>
      <c r="AM156" s="863"/>
      <c r="AN156" s="863"/>
      <c r="AO156" s="863"/>
      <c r="AP156" s="863"/>
      <c r="AQ156" s="863"/>
      <c r="AR156" s="863"/>
      <c r="AS156" s="863"/>
      <c r="AT156" s="863"/>
      <c r="AU156" s="863"/>
      <c r="AV156" s="863"/>
      <c r="AW156" s="863"/>
      <c r="AX156" s="863"/>
      <c r="AY156" s="863"/>
      <c r="AZ156" s="863"/>
      <c r="BA156" s="863"/>
      <c r="BB156" s="863"/>
      <c r="BC156" s="863"/>
      <c r="BD156" s="863"/>
      <c r="BE156" s="863"/>
      <c r="BF156" s="863"/>
      <c r="BG156" s="863"/>
      <c r="BH156" s="863"/>
      <c r="BI156" s="863"/>
      <c r="BJ156" s="863"/>
      <c r="BK156" s="863"/>
      <c r="BL156" s="863"/>
      <c r="BM156" s="863"/>
      <c r="BN156" s="863"/>
      <c r="BO156" s="863"/>
      <c r="BP156" s="863"/>
      <c r="BQ156" s="863"/>
      <c r="BR156" s="863"/>
      <c r="BS156" s="863"/>
      <c r="BT156" s="863"/>
    </row>
    <row r="157" spans="1:72">
      <c r="A157" s="863" t="s">
        <v>608</v>
      </c>
      <c r="B157" s="863">
        <v>21.53</v>
      </c>
      <c r="C157" s="863">
        <v>24.2</v>
      </c>
      <c r="D157" s="863">
        <v>18.920000000000002</v>
      </c>
      <c r="E157" s="863">
        <v>18.920000000000002</v>
      </c>
      <c r="F157" s="863">
        <v>19.260000000000002</v>
      </c>
      <c r="G157" s="863">
        <v>20.76</v>
      </c>
      <c r="H157" s="863">
        <v>22.51</v>
      </c>
      <c r="I157" s="863">
        <v>24</v>
      </c>
      <c r="J157" s="863">
        <v>25.06</v>
      </c>
      <c r="K157" s="863">
        <v>26.38</v>
      </c>
      <c r="L157" s="863">
        <v>27.45</v>
      </c>
      <c r="M157" s="863">
        <v>28.6</v>
      </c>
      <c r="N157" s="863">
        <v>29.51</v>
      </c>
      <c r="O157" s="863">
        <v>30.38</v>
      </c>
      <c r="P157" s="863">
        <v>31.31</v>
      </c>
      <c r="Q157" s="863">
        <v>32.270000000000003</v>
      </c>
      <c r="R157" s="863">
        <v>33.340000000000003</v>
      </c>
      <c r="S157" s="863">
        <v>34.39</v>
      </c>
      <c r="T157" s="863">
        <v>35.450000000000003</v>
      </c>
      <c r="U157" s="863">
        <v>36.4</v>
      </c>
      <c r="V157" s="863">
        <v>37.549999999999997</v>
      </c>
      <c r="W157" s="863">
        <v>38.729999999999997</v>
      </c>
      <c r="X157" s="863">
        <v>40.1</v>
      </c>
      <c r="Y157" s="863">
        <v>41.33</v>
      </c>
      <c r="Z157" s="863">
        <v>42.81</v>
      </c>
      <c r="AA157" s="863">
        <v>44.29</v>
      </c>
      <c r="AB157" s="863">
        <v>45.9</v>
      </c>
      <c r="AC157" s="863">
        <v>47.5</v>
      </c>
      <c r="AD157" s="863">
        <v>49.15</v>
      </c>
      <c r="AE157" s="900">
        <v>2.7E-2</v>
      </c>
      <c r="AF157" s="863"/>
      <c r="AG157" s="863"/>
      <c r="AH157" s="863"/>
      <c r="AI157" s="863"/>
      <c r="AJ157" s="863"/>
      <c r="AK157" s="863"/>
      <c r="AL157" s="863"/>
      <c r="AM157" s="863"/>
      <c r="AN157" s="863"/>
      <c r="AO157" s="863"/>
      <c r="AP157" s="863"/>
      <c r="AQ157" s="863"/>
      <c r="AR157" s="863"/>
      <c r="AS157" s="863"/>
      <c r="AT157" s="863"/>
      <c r="AU157" s="863"/>
      <c r="AV157" s="863"/>
      <c r="AW157" s="863"/>
      <c r="AX157" s="863"/>
      <c r="AY157" s="863"/>
      <c r="AZ157" s="863"/>
      <c r="BA157" s="863"/>
      <c r="BB157" s="863"/>
      <c r="BC157" s="863"/>
      <c r="BD157" s="863"/>
      <c r="BE157" s="863"/>
      <c r="BF157" s="863"/>
      <c r="BG157" s="863"/>
      <c r="BH157" s="863"/>
      <c r="BI157" s="863"/>
      <c r="BJ157" s="863"/>
      <c r="BK157" s="863"/>
      <c r="BL157" s="863"/>
      <c r="BM157" s="863"/>
      <c r="BN157" s="863"/>
      <c r="BO157" s="863"/>
      <c r="BP157" s="863"/>
      <c r="BQ157" s="863"/>
      <c r="BR157" s="863"/>
      <c r="BS157" s="863"/>
      <c r="BT157" s="863"/>
    </row>
    <row r="158" spans="1:72">
      <c r="A158" s="863" t="s">
        <v>609</v>
      </c>
      <c r="B158" s="863">
        <v>17.68</v>
      </c>
      <c r="C158" s="863">
        <v>22.31</v>
      </c>
      <c r="D158" s="863">
        <v>16.649999999999999</v>
      </c>
      <c r="E158" s="863">
        <v>14.82</v>
      </c>
      <c r="F158" s="863">
        <v>16.05</v>
      </c>
      <c r="G158" s="863">
        <v>17.52</v>
      </c>
      <c r="H158" s="863">
        <v>18.95</v>
      </c>
      <c r="I158" s="863">
        <v>20.07</v>
      </c>
      <c r="J158" s="863">
        <v>21.18</v>
      </c>
      <c r="K158" s="863">
        <v>22.46</v>
      </c>
      <c r="L158" s="863">
        <v>23.62</v>
      </c>
      <c r="M158" s="863">
        <v>24.81</v>
      </c>
      <c r="N158" s="863">
        <v>25.76</v>
      </c>
      <c r="O158" s="863">
        <v>26.68</v>
      </c>
      <c r="P158" s="863">
        <v>27.5</v>
      </c>
      <c r="Q158" s="863">
        <v>28.52</v>
      </c>
      <c r="R158" s="863">
        <v>29.39</v>
      </c>
      <c r="S158" s="863">
        <v>30.15</v>
      </c>
      <c r="T158" s="863">
        <v>31.18</v>
      </c>
      <c r="U158" s="863">
        <v>32.159999999999997</v>
      </c>
      <c r="V158" s="863">
        <v>33.21</v>
      </c>
      <c r="W158" s="863">
        <v>34.409999999999997</v>
      </c>
      <c r="X158" s="863">
        <v>35.770000000000003</v>
      </c>
      <c r="Y158" s="863">
        <v>36.83</v>
      </c>
      <c r="Z158" s="863">
        <v>38.33</v>
      </c>
      <c r="AA158" s="863">
        <v>39.83</v>
      </c>
      <c r="AB158" s="863">
        <v>41.25</v>
      </c>
      <c r="AC158" s="863">
        <v>42.82</v>
      </c>
      <c r="AD158" s="863">
        <v>44.51</v>
      </c>
      <c r="AE158" s="900">
        <v>2.5999999999999999E-2</v>
      </c>
      <c r="AF158" s="863"/>
      <c r="AG158" s="863"/>
      <c r="AH158" s="863"/>
      <c r="AI158" s="863"/>
      <c r="AJ158" s="863"/>
      <c r="AK158" s="863"/>
      <c r="AL158" s="863"/>
      <c r="AM158" s="863"/>
      <c r="AN158" s="863"/>
      <c r="AO158" s="863"/>
      <c r="AP158" s="863"/>
      <c r="AQ158" s="863"/>
      <c r="AR158" s="863"/>
      <c r="AS158" s="863"/>
      <c r="AT158" s="863"/>
      <c r="AU158" s="863"/>
      <c r="AV158" s="863"/>
      <c r="AW158" s="863"/>
      <c r="AX158" s="863"/>
      <c r="AY158" s="863"/>
      <c r="AZ158" s="863"/>
      <c r="BA158" s="863"/>
      <c r="BB158" s="863"/>
      <c r="BC158" s="863"/>
      <c r="BD158" s="863"/>
      <c r="BE158" s="863"/>
      <c r="BF158" s="863"/>
      <c r="BG158" s="863"/>
      <c r="BH158" s="863"/>
      <c r="BI158" s="863"/>
      <c r="BJ158" s="863"/>
      <c r="BK158" s="863"/>
      <c r="BL158" s="863"/>
      <c r="BM158" s="863"/>
      <c r="BN158" s="863"/>
      <c r="BO158" s="863"/>
      <c r="BP158" s="863"/>
      <c r="BQ158" s="863"/>
      <c r="BR158" s="863"/>
      <c r="BS158" s="863"/>
      <c r="BT158" s="863"/>
    </row>
    <row r="159" spans="1:72">
      <c r="A159" s="863" t="s">
        <v>610</v>
      </c>
      <c r="B159" s="863">
        <v>8.65</v>
      </c>
      <c r="C159" s="863">
        <v>16.309999999999999</v>
      </c>
      <c r="D159" s="863">
        <v>9.89</v>
      </c>
      <c r="E159" s="863">
        <v>13.52</v>
      </c>
      <c r="F159" s="863">
        <v>13.82</v>
      </c>
      <c r="G159" s="863">
        <v>15.16</v>
      </c>
      <c r="H159" s="863">
        <v>16.489999999999998</v>
      </c>
      <c r="I159" s="863">
        <v>17.62</v>
      </c>
      <c r="J159" s="863">
        <v>18.350000000000001</v>
      </c>
      <c r="K159" s="863">
        <v>19.239999999999998</v>
      </c>
      <c r="L159" s="863">
        <v>20.059999999999999</v>
      </c>
      <c r="M159" s="863">
        <v>20.97</v>
      </c>
      <c r="N159" s="863">
        <v>21.68</v>
      </c>
      <c r="O159" s="863">
        <v>22.24</v>
      </c>
      <c r="P159" s="863">
        <v>23</v>
      </c>
      <c r="Q159" s="863">
        <v>23.74</v>
      </c>
      <c r="R159" s="863">
        <v>24.52</v>
      </c>
      <c r="S159" s="863">
        <v>25.31</v>
      </c>
      <c r="T159" s="863">
        <v>26.1</v>
      </c>
      <c r="U159" s="863">
        <v>26.74</v>
      </c>
      <c r="V159" s="863">
        <v>27.57</v>
      </c>
      <c r="W159" s="863">
        <v>28.51</v>
      </c>
      <c r="X159" s="863">
        <v>29.51</v>
      </c>
      <c r="Y159" s="863">
        <v>30.6</v>
      </c>
      <c r="Z159" s="863">
        <v>31.8</v>
      </c>
      <c r="AA159" s="863">
        <v>32.92</v>
      </c>
      <c r="AB159" s="863">
        <v>34.03</v>
      </c>
      <c r="AC159" s="863">
        <v>35.29</v>
      </c>
      <c r="AD159" s="863">
        <v>36.5</v>
      </c>
      <c r="AE159" s="900">
        <v>0.03</v>
      </c>
      <c r="AF159" s="863"/>
      <c r="AG159" s="863"/>
      <c r="AH159" s="863"/>
      <c r="AI159" s="863"/>
      <c r="AJ159" s="863"/>
      <c r="AK159" s="863"/>
      <c r="AL159" s="863"/>
      <c r="AM159" s="863"/>
      <c r="AN159" s="863"/>
      <c r="AO159" s="863"/>
      <c r="AP159" s="863"/>
      <c r="AQ159" s="863"/>
      <c r="AR159" s="863"/>
      <c r="AS159" s="863"/>
      <c r="AT159" s="863"/>
      <c r="AU159" s="863"/>
      <c r="AV159" s="863"/>
      <c r="AW159" s="863"/>
      <c r="AX159" s="863"/>
      <c r="AY159" s="863"/>
      <c r="AZ159" s="863"/>
      <c r="BA159" s="863"/>
      <c r="BB159" s="863"/>
      <c r="BC159" s="863"/>
      <c r="BD159" s="863"/>
      <c r="BE159" s="863"/>
      <c r="BF159" s="863"/>
      <c r="BG159" s="863"/>
      <c r="BH159" s="863"/>
      <c r="BI159" s="863"/>
      <c r="BJ159" s="863"/>
      <c r="BK159" s="863"/>
      <c r="BL159" s="863"/>
      <c r="BM159" s="863"/>
      <c r="BN159" s="863"/>
      <c r="BO159" s="863"/>
      <c r="BP159" s="863"/>
      <c r="BQ159" s="863"/>
      <c r="BR159" s="863"/>
      <c r="BS159" s="863"/>
      <c r="BT159" s="863"/>
    </row>
    <row r="160" spans="1:72">
      <c r="A160" s="863" t="s">
        <v>612</v>
      </c>
      <c r="B160" s="863">
        <v>7.41</v>
      </c>
      <c r="C160" s="863">
        <v>9.11</v>
      </c>
      <c r="D160" s="863">
        <v>4.26</v>
      </c>
      <c r="E160" s="863">
        <v>5.0199999999999996</v>
      </c>
      <c r="F160" s="863">
        <v>6.23</v>
      </c>
      <c r="G160" s="863">
        <v>6.76</v>
      </c>
      <c r="H160" s="863">
        <v>6.82</v>
      </c>
      <c r="I160" s="863">
        <v>6.89</v>
      </c>
      <c r="J160" s="863">
        <v>7.18</v>
      </c>
      <c r="K160" s="863">
        <v>7.39</v>
      </c>
      <c r="L160" s="863">
        <v>7.52</v>
      </c>
      <c r="M160" s="863">
        <v>7.71</v>
      </c>
      <c r="N160" s="863">
        <v>7.91</v>
      </c>
      <c r="O160" s="863">
        <v>8.19</v>
      </c>
      <c r="P160" s="863">
        <v>8.4700000000000006</v>
      </c>
      <c r="Q160" s="863">
        <v>8.8800000000000008</v>
      </c>
      <c r="R160" s="863">
        <v>9.14</v>
      </c>
      <c r="S160" s="863">
        <v>9.26</v>
      </c>
      <c r="T160" s="863">
        <v>9.52</v>
      </c>
      <c r="U160" s="863">
        <v>9.9</v>
      </c>
      <c r="V160" s="863">
        <v>10.31</v>
      </c>
      <c r="W160" s="863">
        <v>10.85</v>
      </c>
      <c r="X160" s="863">
        <v>11.41</v>
      </c>
      <c r="Y160" s="863">
        <v>12.04</v>
      </c>
      <c r="Z160" s="863">
        <v>12.79</v>
      </c>
      <c r="AA160" s="863">
        <v>13.25</v>
      </c>
      <c r="AB160" s="863">
        <v>13.56</v>
      </c>
      <c r="AC160" s="863">
        <v>14.17</v>
      </c>
      <c r="AD160" s="863">
        <v>14.67</v>
      </c>
      <c r="AE160" s="900">
        <v>1.7999999999999999E-2</v>
      </c>
      <c r="AF160" s="863"/>
      <c r="AG160" s="863"/>
      <c r="AH160" s="863"/>
      <c r="AI160" s="863"/>
      <c r="AJ160" s="863"/>
      <c r="AK160" s="863"/>
      <c r="AL160" s="863"/>
      <c r="AM160" s="863"/>
      <c r="AN160" s="863"/>
      <c r="AO160" s="863"/>
      <c r="AP160" s="863"/>
      <c r="AQ160" s="863"/>
      <c r="AR160" s="863"/>
      <c r="AS160" s="863"/>
      <c r="AT160" s="863"/>
      <c r="AU160" s="863"/>
      <c r="AV160" s="863"/>
      <c r="AW160" s="863"/>
      <c r="AX160" s="863"/>
      <c r="AY160" s="863"/>
      <c r="AZ160" s="863"/>
      <c r="BA160" s="863"/>
      <c r="BB160" s="863"/>
      <c r="BC160" s="863"/>
      <c r="BD160" s="863"/>
      <c r="BE160" s="863"/>
      <c r="BF160" s="863"/>
      <c r="BG160" s="863"/>
      <c r="BH160" s="863"/>
      <c r="BI160" s="863"/>
      <c r="BJ160" s="863"/>
      <c r="BK160" s="863"/>
      <c r="BL160" s="863"/>
      <c r="BM160" s="863"/>
      <c r="BN160" s="863"/>
      <c r="BO160" s="863"/>
      <c r="BP160" s="863"/>
      <c r="BQ160" s="863"/>
      <c r="BR160" s="863"/>
      <c r="BS160" s="863"/>
      <c r="BT160" s="863"/>
    </row>
    <row r="161" spans="1:72">
      <c r="A161" s="863" t="s">
        <v>613</v>
      </c>
      <c r="B161" s="863">
        <v>3.61</v>
      </c>
      <c r="C161" s="863">
        <v>4.49</v>
      </c>
      <c r="D161" s="863">
        <v>4.79</v>
      </c>
      <c r="E161" s="863">
        <v>4.9400000000000004</v>
      </c>
      <c r="F161" s="863">
        <v>5.07</v>
      </c>
      <c r="G161" s="863">
        <v>5.31</v>
      </c>
      <c r="H161" s="863">
        <v>5.44</v>
      </c>
      <c r="I161" s="863">
        <v>5.56</v>
      </c>
      <c r="J161" s="863">
        <v>5.66</v>
      </c>
      <c r="K161" s="863">
        <v>5.77</v>
      </c>
      <c r="L161" s="863">
        <v>5.97</v>
      </c>
      <c r="M161" s="863">
        <v>6.14</v>
      </c>
      <c r="N161" s="863">
        <v>6.34</v>
      </c>
      <c r="O161" s="863">
        <v>6.5</v>
      </c>
      <c r="P161" s="863">
        <v>6.68</v>
      </c>
      <c r="Q161" s="863">
        <v>6.84</v>
      </c>
      <c r="R161" s="863">
        <v>6.98</v>
      </c>
      <c r="S161" s="863">
        <v>7.07</v>
      </c>
      <c r="T161" s="863">
        <v>7.11</v>
      </c>
      <c r="U161" s="863">
        <v>7.15</v>
      </c>
      <c r="V161" s="863">
        <v>7.27</v>
      </c>
      <c r="W161" s="863">
        <v>7.43</v>
      </c>
      <c r="X161" s="863">
        <v>7.55</v>
      </c>
      <c r="Y161" s="863">
        <v>7.72</v>
      </c>
      <c r="Z161" s="863">
        <v>7.86</v>
      </c>
      <c r="AA161" s="863">
        <v>8.02</v>
      </c>
      <c r="AB161" s="863">
        <v>8.18</v>
      </c>
      <c r="AC161" s="863">
        <v>8.33</v>
      </c>
      <c r="AD161" s="863">
        <v>8.5</v>
      </c>
      <c r="AE161" s="900">
        <v>2.4E-2</v>
      </c>
      <c r="AF161" s="863"/>
      <c r="AG161" s="863"/>
      <c r="AH161" s="863"/>
      <c r="AI161" s="863"/>
      <c r="AJ161" s="863"/>
      <c r="AK161" s="863"/>
      <c r="AL161" s="863"/>
      <c r="AM161" s="863"/>
      <c r="AN161" s="863"/>
      <c r="AO161" s="863"/>
      <c r="AP161" s="863"/>
      <c r="AQ161" s="863"/>
      <c r="AR161" s="863"/>
      <c r="AS161" s="863"/>
      <c r="AT161" s="863"/>
      <c r="AU161" s="863"/>
      <c r="AV161" s="863"/>
      <c r="AW161" s="863"/>
      <c r="AX161" s="863"/>
      <c r="AY161" s="863"/>
      <c r="AZ161" s="863"/>
      <c r="BA161" s="863"/>
      <c r="BB161" s="863"/>
      <c r="BC161" s="863"/>
      <c r="BD161" s="863"/>
      <c r="BE161" s="863"/>
      <c r="BF161" s="863"/>
      <c r="BG161" s="863"/>
      <c r="BH161" s="863"/>
      <c r="BI161" s="863"/>
      <c r="BJ161" s="863"/>
      <c r="BK161" s="863"/>
      <c r="BL161" s="863"/>
      <c r="BM161" s="863"/>
      <c r="BN161" s="863"/>
      <c r="BO161" s="863"/>
      <c r="BP161" s="863"/>
      <c r="BQ161" s="863"/>
      <c r="BR161" s="863"/>
      <c r="BS161" s="863"/>
      <c r="BT161" s="863"/>
    </row>
    <row r="162" spans="1:72">
      <c r="A162" s="863" t="s">
        <v>614</v>
      </c>
      <c r="B162" s="863">
        <v>2.4300000000000002</v>
      </c>
      <c r="C162" s="863">
        <v>2.84</v>
      </c>
      <c r="D162" s="863">
        <v>2.83</v>
      </c>
      <c r="E162" s="863">
        <v>2.77</v>
      </c>
      <c r="F162" s="863">
        <v>2.81</v>
      </c>
      <c r="G162" s="863">
        <v>2.85</v>
      </c>
      <c r="H162" s="863">
        <v>2.86</v>
      </c>
      <c r="I162" s="863">
        <v>2.93</v>
      </c>
      <c r="J162" s="863">
        <v>3</v>
      </c>
      <c r="K162" s="863">
        <v>3.04</v>
      </c>
      <c r="L162" s="863">
        <v>3.11</v>
      </c>
      <c r="M162" s="863">
        <v>3.16</v>
      </c>
      <c r="N162" s="863">
        <v>3.2</v>
      </c>
      <c r="O162" s="863">
        <v>3.26</v>
      </c>
      <c r="P162" s="863">
        <v>3.31</v>
      </c>
      <c r="Q162" s="863">
        <v>3.38</v>
      </c>
      <c r="R162" s="863">
        <v>3.43</v>
      </c>
      <c r="S162" s="863">
        <v>3.5</v>
      </c>
      <c r="T162" s="863">
        <v>3.56</v>
      </c>
      <c r="U162" s="863">
        <v>3.65</v>
      </c>
      <c r="V162" s="863">
        <v>3.72</v>
      </c>
      <c r="W162" s="863">
        <v>3.82</v>
      </c>
      <c r="X162" s="863">
        <v>3.91</v>
      </c>
      <c r="Y162" s="863">
        <v>4.01</v>
      </c>
      <c r="Z162" s="863">
        <v>4.12</v>
      </c>
      <c r="AA162" s="863">
        <v>4.21</v>
      </c>
      <c r="AB162" s="863">
        <v>4.33</v>
      </c>
      <c r="AC162" s="863">
        <v>4.4400000000000004</v>
      </c>
      <c r="AD162" s="863">
        <v>4.55</v>
      </c>
      <c r="AE162" s="900">
        <v>1.7999999999999999E-2</v>
      </c>
      <c r="AF162" s="863"/>
      <c r="AG162" s="863"/>
      <c r="AH162" s="863"/>
      <c r="AI162" s="863"/>
      <c r="AJ162" s="863"/>
      <c r="AK162" s="863"/>
      <c r="AL162" s="863"/>
      <c r="AM162" s="863"/>
      <c r="AN162" s="863"/>
      <c r="AO162" s="863"/>
      <c r="AP162" s="863"/>
      <c r="AQ162" s="863"/>
      <c r="AR162" s="863"/>
      <c r="AS162" s="863"/>
      <c r="AT162" s="863"/>
      <c r="AU162" s="863"/>
      <c r="AV162" s="863"/>
      <c r="AW162" s="863"/>
      <c r="AX162" s="863"/>
      <c r="AY162" s="863"/>
      <c r="AZ162" s="863"/>
      <c r="BA162" s="863"/>
      <c r="BB162" s="863"/>
      <c r="BC162" s="863"/>
      <c r="BD162" s="863"/>
      <c r="BE162" s="863"/>
      <c r="BF162" s="863"/>
      <c r="BG162" s="863"/>
      <c r="BH162" s="863"/>
      <c r="BI162" s="863"/>
      <c r="BJ162" s="863"/>
      <c r="BK162" s="863"/>
      <c r="BL162" s="863"/>
      <c r="BM162" s="863"/>
      <c r="BN162" s="863"/>
      <c r="BO162" s="863"/>
      <c r="BP162" s="863"/>
      <c r="BQ162" s="863"/>
      <c r="BR162" s="863"/>
      <c r="BS162" s="863"/>
      <c r="BT162" s="863"/>
    </row>
    <row r="163" spans="1:72">
      <c r="A163" s="863" t="s">
        <v>615</v>
      </c>
      <c r="B163" s="863" t="s">
        <v>787</v>
      </c>
      <c r="C163" s="863" t="s">
        <v>787</v>
      </c>
      <c r="D163" s="863" t="s">
        <v>787</v>
      </c>
      <c r="E163" s="863" t="s">
        <v>787</v>
      </c>
      <c r="F163" s="863">
        <v>1.32</v>
      </c>
      <c r="G163" s="863">
        <v>1.1000000000000001</v>
      </c>
      <c r="H163" s="863">
        <v>1.1200000000000001</v>
      </c>
      <c r="I163" s="863">
        <v>1.55</v>
      </c>
      <c r="J163" s="863">
        <v>1.58</v>
      </c>
      <c r="K163" s="863">
        <v>1.65</v>
      </c>
      <c r="L163" s="863">
        <v>1.72</v>
      </c>
      <c r="M163" s="863">
        <v>1.74</v>
      </c>
      <c r="N163" s="863">
        <v>1.76</v>
      </c>
      <c r="O163" s="863">
        <v>1.79</v>
      </c>
      <c r="P163" s="863">
        <v>1.86</v>
      </c>
      <c r="Q163" s="863">
        <v>1.91</v>
      </c>
      <c r="R163" s="863">
        <v>1.98</v>
      </c>
      <c r="S163" s="863">
        <v>1.99</v>
      </c>
      <c r="T163" s="863">
        <v>2.02</v>
      </c>
      <c r="U163" s="863">
        <v>2.04</v>
      </c>
      <c r="V163" s="863">
        <v>2.0699999999999998</v>
      </c>
      <c r="W163" s="863">
        <v>2.1</v>
      </c>
      <c r="X163" s="863">
        <v>2.13</v>
      </c>
      <c r="Y163" s="863">
        <v>2.1800000000000002</v>
      </c>
      <c r="Z163" s="863">
        <v>2.2200000000000002</v>
      </c>
      <c r="AA163" s="863">
        <v>2.2799999999999998</v>
      </c>
      <c r="AB163" s="863">
        <v>2.35</v>
      </c>
      <c r="AC163" s="863">
        <v>2.44</v>
      </c>
      <c r="AD163" s="863">
        <v>2.5299999999999998</v>
      </c>
      <c r="AE163" s="863" t="s">
        <v>787</v>
      </c>
      <c r="AF163" s="863"/>
      <c r="AG163" s="863"/>
      <c r="AH163" s="863"/>
      <c r="AI163" s="863"/>
      <c r="AJ163" s="863"/>
      <c r="AK163" s="863"/>
      <c r="AL163" s="863"/>
      <c r="AM163" s="863"/>
      <c r="AN163" s="863"/>
      <c r="AO163" s="863"/>
      <c r="AP163" s="863"/>
      <c r="AQ163" s="863"/>
      <c r="AR163" s="863"/>
      <c r="AS163" s="863"/>
      <c r="AT163" s="863"/>
      <c r="AU163" s="863"/>
      <c r="AV163" s="863"/>
      <c r="AW163" s="863"/>
      <c r="AX163" s="863"/>
      <c r="AY163" s="863"/>
      <c r="AZ163" s="863"/>
      <c r="BA163" s="863"/>
      <c r="BB163" s="863"/>
      <c r="BC163" s="863"/>
      <c r="BD163" s="863"/>
      <c r="BE163" s="863"/>
      <c r="BF163" s="863"/>
      <c r="BG163" s="863"/>
      <c r="BH163" s="863"/>
      <c r="BI163" s="863"/>
      <c r="BJ163" s="863"/>
      <c r="BK163" s="863"/>
      <c r="BL163" s="863"/>
      <c r="BM163" s="863"/>
      <c r="BN163" s="863"/>
      <c r="BO163" s="863"/>
      <c r="BP163" s="863"/>
      <c r="BQ163" s="863"/>
      <c r="BR163" s="863"/>
      <c r="BS163" s="863"/>
      <c r="BT163" s="863"/>
    </row>
    <row r="164" spans="1:72">
      <c r="A164" s="863" t="s">
        <v>478</v>
      </c>
      <c r="B164" s="863">
        <v>18.600000000000001</v>
      </c>
      <c r="C164" s="863">
        <v>20.21</v>
      </c>
      <c r="D164" s="863">
        <v>20.350000000000001</v>
      </c>
      <c r="E164" s="863">
        <v>19.73</v>
      </c>
      <c r="F164" s="863">
        <v>17.86</v>
      </c>
      <c r="G164" s="863">
        <v>18.77</v>
      </c>
      <c r="H164" s="863">
        <v>18.98</v>
      </c>
      <c r="I164" s="863">
        <v>19.010000000000002</v>
      </c>
      <c r="J164" s="863">
        <v>19.36</v>
      </c>
      <c r="K164" s="863">
        <v>19.989999999999998</v>
      </c>
      <c r="L164" s="863">
        <v>20.51</v>
      </c>
      <c r="M164" s="863">
        <v>20.91</v>
      </c>
      <c r="N164" s="863">
        <v>21.27</v>
      </c>
      <c r="O164" s="863">
        <v>21.9</v>
      </c>
      <c r="P164" s="863">
        <v>22.56</v>
      </c>
      <c r="Q164" s="863">
        <v>23.2</v>
      </c>
      <c r="R164" s="863">
        <v>23.95</v>
      </c>
      <c r="S164" s="863">
        <v>24.64</v>
      </c>
      <c r="T164" s="863">
        <v>25.11</v>
      </c>
      <c r="U164" s="863">
        <v>25.79</v>
      </c>
      <c r="V164" s="863">
        <v>26.57</v>
      </c>
      <c r="W164" s="863">
        <v>27.41</v>
      </c>
      <c r="X164" s="863">
        <v>28.5</v>
      </c>
      <c r="Y164" s="863">
        <v>29.55</v>
      </c>
      <c r="Z164" s="863">
        <v>30.67</v>
      </c>
      <c r="AA164" s="863">
        <v>31.8</v>
      </c>
      <c r="AB164" s="863">
        <v>32.71</v>
      </c>
      <c r="AC164" s="863">
        <v>33.76</v>
      </c>
      <c r="AD164" s="863">
        <v>34.799999999999997</v>
      </c>
      <c r="AE164" s="900">
        <v>0.02</v>
      </c>
      <c r="AF164" s="863"/>
      <c r="AG164" s="863"/>
      <c r="AH164" s="863"/>
      <c r="AI164" s="863"/>
      <c r="AJ164" s="863"/>
      <c r="AK164" s="863"/>
      <c r="AL164" s="863"/>
      <c r="AM164" s="863"/>
      <c r="AN164" s="863"/>
      <c r="AO164" s="863"/>
      <c r="AP164" s="863"/>
      <c r="AQ164" s="863"/>
      <c r="AR164" s="863"/>
      <c r="AS164" s="863"/>
      <c r="AT164" s="863"/>
      <c r="AU164" s="863"/>
      <c r="AV164" s="863"/>
      <c r="AW164" s="863"/>
      <c r="AX164" s="863"/>
      <c r="AY164" s="863"/>
      <c r="AZ164" s="863"/>
      <c r="BA164" s="863"/>
      <c r="BB164" s="863"/>
      <c r="BC164" s="863"/>
      <c r="BD164" s="863"/>
      <c r="BE164" s="863"/>
      <c r="BF164" s="863"/>
      <c r="BG164" s="863"/>
      <c r="BH164" s="863"/>
      <c r="BI164" s="863"/>
      <c r="BJ164" s="863"/>
      <c r="BK164" s="863"/>
      <c r="BL164" s="863"/>
      <c r="BM164" s="863"/>
      <c r="BN164" s="863"/>
      <c r="BO164" s="863"/>
      <c r="BP164" s="863"/>
      <c r="BQ164" s="863"/>
      <c r="BR164" s="863"/>
      <c r="BS164" s="863"/>
      <c r="BT164" s="863"/>
    </row>
    <row r="165" spans="1:72">
      <c r="A165" s="863"/>
      <c r="B165" s="863"/>
      <c r="C165" s="863"/>
      <c r="D165" s="863"/>
      <c r="E165" s="863"/>
      <c r="F165" s="863"/>
      <c r="G165" s="863"/>
      <c r="H165" s="863"/>
      <c r="I165" s="863"/>
      <c r="J165" s="863"/>
      <c r="K165" s="863"/>
      <c r="L165" s="863"/>
      <c r="M165" s="863"/>
      <c r="N165" s="863"/>
      <c r="O165" s="863"/>
      <c r="P165" s="863"/>
      <c r="Q165" s="863"/>
      <c r="R165" s="863"/>
      <c r="S165" s="863"/>
      <c r="T165" s="863"/>
      <c r="U165" s="863"/>
      <c r="V165" s="863"/>
      <c r="W165" s="863"/>
      <c r="X165" s="863"/>
      <c r="Y165" s="863"/>
      <c r="Z165" s="863"/>
      <c r="AA165" s="863"/>
      <c r="AB165" s="863"/>
      <c r="AC165" s="863"/>
      <c r="AD165" s="863"/>
      <c r="AE165" s="863"/>
      <c r="AF165" s="863"/>
      <c r="AG165" s="863"/>
      <c r="AH165" s="863"/>
      <c r="AI165" s="863"/>
      <c r="AJ165" s="863"/>
      <c r="AK165" s="863"/>
      <c r="AL165" s="863"/>
      <c r="AM165" s="863"/>
      <c r="AN165" s="863"/>
      <c r="AO165" s="863"/>
      <c r="AP165" s="863"/>
      <c r="AQ165" s="863"/>
      <c r="AR165" s="863"/>
      <c r="AS165" s="863"/>
      <c r="AT165" s="863"/>
      <c r="AU165" s="863"/>
      <c r="AV165" s="863"/>
      <c r="AW165" s="863"/>
      <c r="AX165" s="863"/>
      <c r="AY165" s="863"/>
      <c r="AZ165" s="863"/>
      <c r="BA165" s="863"/>
      <c r="BB165" s="863"/>
      <c r="BC165" s="863"/>
      <c r="BD165" s="863"/>
      <c r="BE165" s="863"/>
      <c r="BF165" s="863"/>
      <c r="BG165" s="863"/>
      <c r="BH165" s="863"/>
      <c r="BI165" s="863"/>
      <c r="BJ165" s="863"/>
      <c r="BK165" s="863"/>
      <c r="BL165" s="863"/>
      <c r="BM165" s="863"/>
      <c r="BN165" s="863"/>
      <c r="BO165" s="863"/>
      <c r="BP165" s="863"/>
      <c r="BQ165" s="863"/>
      <c r="BR165" s="863"/>
      <c r="BS165" s="863"/>
      <c r="BT165" s="863"/>
    </row>
    <row r="166" spans="1:72">
      <c r="A166" s="863" t="s">
        <v>486</v>
      </c>
      <c r="B166" s="863"/>
      <c r="C166" s="863"/>
      <c r="D166" s="863"/>
      <c r="E166" s="863"/>
      <c r="F166" s="863"/>
      <c r="G166" s="863"/>
      <c r="H166" s="863"/>
      <c r="I166" s="863"/>
      <c r="J166" s="863"/>
      <c r="K166" s="863"/>
      <c r="L166" s="863"/>
      <c r="M166" s="863"/>
      <c r="N166" s="863"/>
      <c r="O166" s="863"/>
      <c r="P166" s="863"/>
      <c r="Q166" s="863"/>
      <c r="R166" s="863"/>
      <c r="S166" s="863"/>
      <c r="T166" s="863"/>
      <c r="U166" s="863"/>
      <c r="V166" s="863"/>
      <c r="W166" s="863"/>
      <c r="X166" s="863"/>
      <c r="Y166" s="863"/>
      <c r="Z166" s="863"/>
      <c r="AA166" s="863"/>
      <c r="AB166" s="863"/>
      <c r="AC166" s="863"/>
      <c r="AD166" s="863"/>
      <c r="AE166" s="863"/>
      <c r="AF166" s="863"/>
      <c r="AG166" s="863"/>
      <c r="AH166" s="863"/>
      <c r="AI166" s="863"/>
      <c r="AJ166" s="863"/>
      <c r="AK166" s="863"/>
      <c r="AL166" s="863"/>
      <c r="AM166" s="863"/>
      <c r="AN166" s="863"/>
      <c r="AO166" s="863"/>
      <c r="AP166" s="863"/>
      <c r="AQ166" s="863"/>
      <c r="AR166" s="863"/>
      <c r="AS166" s="863"/>
      <c r="AT166" s="863"/>
      <c r="AU166" s="863"/>
      <c r="AV166" s="863"/>
      <c r="AW166" s="863"/>
      <c r="AX166" s="863"/>
      <c r="AY166" s="863"/>
      <c r="AZ166" s="863"/>
      <c r="BA166" s="863"/>
      <c r="BB166" s="863"/>
      <c r="BC166" s="863"/>
      <c r="BD166" s="863"/>
      <c r="BE166" s="863"/>
      <c r="BF166" s="863"/>
      <c r="BG166" s="863"/>
      <c r="BH166" s="863"/>
      <c r="BI166" s="863"/>
      <c r="BJ166" s="863"/>
      <c r="BK166" s="863"/>
      <c r="BL166" s="863"/>
      <c r="BM166" s="863"/>
      <c r="BN166" s="863"/>
      <c r="BO166" s="863"/>
      <c r="BP166" s="863"/>
      <c r="BQ166" s="863"/>
      <c r="BR166" s="863"/>
      <c r="BS166" s="863"/>
      <c r="BT166" s="863"/>
    </row>
    <row r="167" spans="1:72">
      <c r="A167" s="863" t="s">
        <v>616</v>
      </c>
      <c r="B167" s="863">
        <v>23.31</v>
      </c>
      <c r="C167" s="863">
        <v>29.93</v>
      </c>
      <c r="D167" s="863">
        <v>25.58</v>
      </c>
      <c r="E167" s="863">
        <v>24.61</v>
      </c>
      <c r="F167" s="863">
        <v>25.02</v>
      </c>
      <c r="G167" s="863">
        <v>26.61</v>
      </c>
      <c r="H167" s="863">
        <v>28.36</v>
      </c>
      <c r="I167" s="863">
        <v>29.9</v>
      </c>
      <c r="J167" s="863">
        <v>31.07</v>
      </c>
      <c r="K167" s="863">
        <v>32.36</v>
      </c>
      <c r="L167" s="863">
        <v>33.58</v>
      </c>
      <c r="M167" s="863">
        <v>34.89</v>
      </c>
      <c r="N167" s="863">
        <v>35.840000000000003</v>
      </c>
      <c r="O167" s="863">
        <v>36.82</v>
      </c>
      <c r="P167" s="863">
        <v>37.89</v>
      </c>
      <c r="Q167" s="863">
        <v>38.979999999999997</v>
      </c>
      <c r="R167" s="863">
        <v>40.17</v>
      </c>
      <c r="S167" s="863">
        <v>41.36</v>
      </c>
      <c r="T167" s="863">
        <v>42.56</v>
      </c>
      <c r="U167" s="863">
        <v>43.64</v>
      </c>
      <c r="V167" s="863">
        <v>44.94</v>
      </c>
      <c r="W167" s="863">
        <v>46.27</v>
      </c>
      <c r="X167" s="863">
        <v>47.79</v>
      </c>
      <c r="Y167" s="863">
        <v>49.17</v>
      </c>
      <c r="Z167" s="863">
        <v>50.81</v>
      </c>
      <c r="AA167" s="863">
        <v>52.46</v>
      </c>
      <c r="AB167" s="863">
        <v>54.21</v>
      </c>
      <c r="AC167" s="863">
        <v>55.95</v>
      </c>
      <c r="AD167" s="863">
        <v>57.77</v>
      </c>
      <c r="AE167" s="900">
        <v>2.5000000000000001E-2</v>
      </c>
      <c r="AF167" s="863"/>
      <c r="AG167" s="863"/>
      <c r="AH167" s="863"/>
      <c r="AI167" s="863"/>
      <c r="AJ167" s="863"/>
      <c r="AK167" s="863"/>
      <c r="AL167" s="863"/>
      <c r="AM167" s="863"/>
      <c r="AN167" s="863"/>
      <c r="AO167" s="863"/>
      <c r="AP167" s="863"/>
      <c r="AQ167" s="863"/>
      <c r="AR167" s="863"/>
      <c r="AS167" s="863"/>
      <c r="AT167" s="863"/>
      <c r="AU167" s="863"/>
      <c r="AV167" s="863"/>
      <c r="AW167" s="863"/>
      <c r="AX167" s="863"/>
      <c r="AY167" s="863"/>
      <c r="AZ167" s="863"/>
      <c r="BA167" s="863"/>
      <c r="BB167" s="863"/>
      <c r="BC167" s="863"/>
      <c r="BD167" s="863"/>
      <c r="BE167" s="863"/>
      <c r="BF167" s="863"/>
      <c r="BG167" s="863"/>
      <c r="BH167" s="863"/>
      <c r="BI167" s="863"/>
      <c r="BJ167" s="863"/>
      <c r="BK167" s="863"/>
      <c r="BL167" s="863"/>
      <c r="BM167" s="863"/>
      <c r="BN167" s="863"/>
      <c r="BO167" s="863"/>
      <c r="BP167" s="863"/>
      <c r="BQ167" s="863"/>
      <c r="BR167" s="863"/>
      <c r="BS167" s="863"/>
      <c r="BT167" s="863"/>
    </row>
    <row r="168" spans="1:72">
      <c r="A168" s="863" t="s">
        <v>617</v>
      </c>
      <c r="B168" s="863">
        <v>26.83</v>
      </c>
      <c r="C168" s="863">
        <v>26.93</v>
      </c>
      <c r="D168" s="863">
        <v>23.64</v>
      </c>
      <c r="E168" s="863">
        <v>21.26</v>
      </c>
      <c r="F168" s="863">
        <v>21.89</v>
      </c>
      <c r="G168" s="863">
        <v>23.43</v>
      </c>
      <c r="H168" s="863">
        <v>26.07</v>
      </c>
      <c r="I168" s="863">
        <v>27.64</v>
      </c>
      <c r="J168" s="863">
        <v>28.47</v>
      </c>
      <c r="K168" s="863">
        <v>28.45</v>
      </c>
      <c r="L168" s="863">
        <v>29.92</v>
      </c>
      <c r="M168" s="863">
        <v>31.23</v>
      </c>
      <c r="N168" s="863">
        <v>31.97</v>
      </c>
      <c r="O168" s="863">
        <v>32.94</v>
      </c>
      <c r="P168" s="863">
        <v>34.090000000000003</v>
      </c>
      <c r="Q168" s="863">
        <v>35.479999999999997</v>
      </c>
      <c r="R168" s="863">
        <v>36.880000000000003</v>
      </c>
      <c r="S168" s="863">
        <v>37.979999999999997</v>
      </c>
      <c r="T168" s="863">
        <v>39.17</v>
      </c>
      <c r="U168" s="863">
        <v>40.479999999999997</v>
      </c>
      <c r="V168" s="863">
        <v>41.72</v>
      </c>
      <c r="W168" s="863">
        <v>43.4</v>
      </c>
      <c r="X168" s="863">
        <v>44.96</v>
      </c>
      <c r="Y168" s="863">
        <v>46.25</v>
      </c>
      <c r="Z168" s="863">
        <v>47.62</v>
      </c>
      <c r="AA168" s="863">
        <v>49.36</v>
      </c>
      <c r="AB168" s="863">
        <v>50.75</v>
      </c>
      <c r="AC168" s="863">
        <v>52.29</v>
      </c>
      <c r="AD168" s="863">
        <v>54.17</v>
      </c>
      <c r="AE168" s="900">
        <v>2.5999999999999999E-2</v>
      </c>
      <c r="AF168" s="863"/>
      <c r="AG168" s="863"/>
      <c r="AH168" s="863"/>
      <c r="AI168" s="863"/>
      <c r="AJ168" s="863"/>
      <c r="AK168" s="863"/>
      <c r="AL168" s="863"/>
      <c r="AM168" s="863"/>
      <c r="AN168" s="863"/>
      <c r="AO168" s="863"/>
      <c r="AP168" s="863"/>
      <c r="AQ168" s="863"/>
      <c r="AR168" s="863"/>
      <c r="AS168" s="863"/>
      <c r="AT168" s="863"/>
      <c r="AU168" s="863"/>
      <c r="AV168" s="863"/>
      <c r="AW168" s="863"/>
      <c r="AX168" s="863"/>
      <c r="AY168" s="863"/>
      <c r="AZ168" s="863"/>
      <c r="BA168" s="863"/>
      <c r="BB168" s="863"/>
      <c r="BC168" s="863"/>
      <c r="BD168" s="863"/>
      <c r="BE168" s="863"/>
      <c r="BF168" s="863"/>
      <c r="BG168" s="863"/>
      <c r="BH168" s="863"/>
      <c r="BI168" s="863"/>
      <c r="BJ168" s="863"/>
      <c r="BK168" s="863"/>
      <c r="BL168" s="863"/>
      <c r="BM168" s="863"/>
      <c r="BN168" s="863"/>
      <c r="BO168" s="863"/>
      <c r="BP168" s="863"/>
      <c r="BQ168" s="863"/>
      <c r="BR168" s="863"/>
      <c r="BS168" s="863"/>
      <c r="BT168" s="863"/>
    </row>
    <row r="169" spans="1:72">
      <c r="A169" s="863" t="s">
        <v>618</v>
      </c>
      <c r="B169" s="863">
        <v>23.15</v>
      </c>
      <c r="C169" s="863">
        <v>26.76</v>
      </c>
      <c r="D169" s="863">
        <v>19.43</v>
      </c>
      <c r="E169" s="863">
        <v>21.17</v>
      </c>
      <c r="F169" s="863">
        <v>21.79</v>
      </c>
      <c r="G169" s="863">
        <v>23.32</v>
      </c>
      <c r="H169" s="863">
        <v>25.87</v>
      </c>
      <c r="I169" s="863">
        <v>27.33</v>
      </c>
      <c r="J169" s="863">
        <v>28.27</v>
      </c>
      <c r="K169" s="863">
        <v>29.42</v>
      </c>
      <c r="L169" s="863">
        <v>30.58</v>
      </c>
      <c r="M169" s="863">
        <v>31.65</v>
      </c>
      <c r="N169" s="863">
        <v>32.6</v>
      </c>
      <c r="O169" s="863">
        <v>33.72</v>
      </c>
      <c r="P169" s="863">
        <v>34.72</v>
      </c>
      <c r="Q169" s="863">
        <v>35.94</v>
      </c>
      <c r="R169" s="863">
        <v>37.020000000000003</v>
      </c>
      <c r="S169" s="863">
        <v>37.96</v>
      </c>
      <c r="T169" s="863">
        <v>39.18</v>
      </c>
      <c r="U169" s="863">
        <v>40.44</v>
      </c>
      <c r="V169" s="863">
        <v>41.69</v>
      </c>
      <c r="W169" s="863">
        <v>43.21</v>
      </c>
      <c r="X169" s="863">
        <v>44.7</v>
      </c>
      <c r="Y169" s="863">
        <v>45.91</v>
      </c>
      <c r="Z169" s="863">
        <v>47.47</v>
      </c>
      <c r="AA169" s="863">
        <v>49.16</v>
      </c>
      <c r="AB169" s="863">
        <v>50.66</v>
      </c>
      <c r="AC169" s="863">
        <v>52.36</v>
      </c>
      <c r="AD169" s="863">
        <v>54.33</v>
      </c>
      <c r="AE169" s="900">
        <v>2.7E-2</v>
      </c>
      <c r="AF169" s="863"/>
      <c r="AG169" s="863"/>
      <c r="AH169" s="863"/>
      <c r="AI169" s="863"/>
      <c r="AJ169" s="863"/>
      <c r="AK169" s="863"/>
      <c r="AL169" s="863"/>
      <c r="AM169" s="863"/>
      <c r="AN169" s="863"/>
      <c r="AO169" s="863"/>
      <c r="AP169" s="863"/>
      <c r="AQ169" s="863"/>
      <c r="AR169" s="863"/>
      <c r="AS169" s="863"/>
      <c r="AT169" s="863"/>
      <c r="AU169" s="863"/>
      <c r="AV169" s="863"/>
      <c r="AW169" s="863"/>
      <c r="AX169" s="863"/>
      <c r="AY169" s="863"/>
      <c r="AZ169" s="863"/>
      <c r="BA169" s="863"/>
      <c r="BB169" s="863"/>
      <c r="BC169" s="863"/>
      <c r="BD169" s="863"/>
      <c r="BE169" s="863"/>
      <c r="BF169" s="863"/>
      <c r="BG169" s="863"/>
      <c r="BH169" s="863"/>
      <c r="BI169" s="863"/>
      <c r="BJ169" s="863"/>
      <c r="BK169" s="863"/>
      <c r="BL169" s="863"/>
      <c r="BM169" s="863"/>
      <c r="BN169" s="863"/>
      <c r="BO169" s="863"/>
      <c r="BP169" s="863"/>
      <c r="BQ169" s="863"/>
      <c r="BR169" s="863"/>
      <c r="BS169" s="863"/>
      <c r="BT169" s="863"/>
    </row>
    <row r="170" spans="1:72">
      <c r="A170" s="863" t="s">
        <v>619</v>
      </c>
      <c r="B170" s="863">
        <v>15.42</v>
      </c>
      <c r="C170" s="863">
        <v>22.71</v>
      </c>
      <c r="D170" s="863">
        <v>12.92</v>
      </c>
      <c r="E170" s="863">
        <v>15.23</v>
      </c>
      <c r="F170" s="863">
        <v>15.82</v>
      </c>
      <c r="G170" s="863">
        <v>17.510000000000002</v>
      </c>
      <c r="H170" s="863">
        <v>19.05</v>
      </c>
      <c r="I170" s="863">
        <v>20.23</v>
      </c>
      <c r="J170" s="863">
        <v>21.21</v>
      </c>
      <c r="K170" s="863">
        <v>22.42</v>
      </c>
      <c r="L170" s="863">
        <v>23.58</v>
      </c>
      <c r="M170" s="863">
        <v>24.67</v>
      </c>
      <c r="N170" s="863">
        <v>25.58</v>
      </c>
      <c r="O170" s="863">
        <v>26.51</v>
      </c>
      <c r="P170" s="863">
        <v>27.27</v>
      </c>
      <c r="Q170" s="863">
        <v>28.18</v>
      </c>
      <c r="R170" s="863">
        <v>29.2</v>
      </c>
      <c r="S170" s="863">
        <v>30.07</v>
      </c>
      <c r="T170" s="863">
        <v>31.1</v>
      </c>
      <c r="U170" s="863">
        <v>32.130000000000003</v>
      </c>
      <c r="V170" s="863">
        <v>33.21</v>
      </c>
      <c r="W170" s="863">
        <v>34.54</v>
      </c>
      <c r="X170" s="863">
        <v>35.83</v>
      </c>
      <c r="Y170" s="863">
        <v>36.99</v>
      </c>
      <c r="Z170" s="863">
        <v>38.42</v>
      </c>
      <c r="AA170" s="863">
        <v>39.92</v>
      </c>
      <c r="AB170" s="863">
        <v>41.32</v>
      </c>
      <c r="AC170" s="863">
        <v>42.87</v>
      </c>
      <c r="AD170" s="863">
        <v>44.51</v>
      </c>
      <c r="AE170" s="900">
        <v>2.5000000000000001E-2</v>
      </c>
      <c r="AF170" s="863"/>
      <c r="AG170" s="863"/>
      <c r="AH170" s="863"/>
      <c r="AI170" s="863"/>
      <c r="AJ170" s="863"/>
      <c r="AK170" s="863"/>
      <c r="AL170" s="863"/>
      <c r="AM170" s="863"/>
      <c r="AN170" s="863"/>
      <c r="AO170" s="863"/>
      <c r="AP170" s="863"/>
      <c r="AQ170" s="863"/>
      <c r="AR170" s="863"/>
      <c r="AS170" s="863"/>
      <c r="AT170" s="863"/>
      <c r="AU170" s="863"/>
      <c r="AV170" s="863"/>
      <c r="AW170" s="863"/>
      <c r="AX170" s="863"/>
      <c r="AY170" s="863"/>
      <c r="AZ170" s="863"/>
      <c r="BA170" s="863"/>
      <c r="BB170" s="863"/>
      <c r="BC170" s="863"/>
      <c r="BD170" s="863"/>
      <c r="BE170" s="863"/>
      <c r="BF170" s="863"/>
      <c r="BG170" s="863"/>
      <c r="BH170" s="863"/>
      <c r="BI170" s="863"/>
      <c r="BJ170" s="863"/>
      <c r="BK170" s="863"/>
      <c r="BL170" s="863"/>
      <c r="BM170" s="863"/>
      <c r="BN170" s="863"/>
      <c r="BO170" s="863"/>
      <c r="BP170" s="863"/>
      <c r="BQ170" s="863"/>
      <c r="BR170" s="863"/>
      <c r="BS170" s="863"/>
      <c r="BT170" s="863"/>
    </row>
    <row r="171" spans="1:72">
      <c r="A171" s="863" t="s">
        <v>723</v>
      </c>
      <c r="B171" s="863">
        <v>21.08</v>
      </c>
      <c r="C171" s="863">
        <v>27.65</v>
      </c>
      <c r="D171" s="863">
        <v>18.04</v>
      </c>
      <c r="E171" s="863">
        <v>19.7</v>
      </c>
      <c r="F171" s="863">
        <v>20.149999999999999</v>
      </c>
      <c r="G171" s="863">
        <v>21.71</v>
      </c>
      <c r="H171" s="863">
        <v>23.2</v>
      </c>
      <c r="I171" s="863">
        <v>24.38</v>
      </c>
      <c r="J171" s="863">
        <v>25.56</v>
      </c>
      <c r="K171" s="863">
        <v>26.86</v>
      </c>
      <c r="L171" s="863">
        <v>28.03</v>
      </c>
      <c r="M171" s="863">
        <v>29.31</v>
      </c>
      <c r="N171" s="863">
        <v>30.31</v>
      </c>
      <c r="O171" s="863">
        <v>31.28</v>
      </c>
      <c r="P171" s="863">
        <v>32.19</v>
      </c>
      <c r="Q171" s="863">
        <v>33.32</v>
      </c>
      <c r="R171" s="863">
        <v>34.22</v>
      </c>
      <c r="S171" s="863">
        <v>35.03</v>
      </c>
      <c r="T171" s="863">
        <v>36.130000000000003</v>
      </c>
      <c r="U171" s="863">
        <v>37.17</v>
      </c>
      <c r="V171" s="863">
        <v>38.32</v>
      </c>
      <c r="W171" s="863">
        <v>39.61</v>
      </c>
      <c r="X171" s="863">
        <v>41.05</v>
      </c>
      <c r="Y171" s="863">
        <v>42.2</v>
      </c>
      <c r="Z171" s="863">
        <v>43.79</v>
      </c>
      <c r="AA171" s="863">
        <v>45.41</v>
      </c>
      <c r="AB171" s="863">
        <v>46.88</v>
      </c>
      <c r="AC171" s="863">
        <v>48.53</v>
      </c>
      <c r="AD171" s="863">
        <v>50.35</v>
      </c>
      <c r="AE171" s="900">
        <v>2.1999999999999999E-2</v>
      </c>
      <c r="AF171" s="863"/>
      <c r="AG171" s="863"/>
      <c r="AH171" s="863"/>
      <c r="AI171" s="863"/>
      <c r="AJ171" s="863"/>
      <c r="AK171" s="863"/>
      <c r="AL171" s="863"/>
      <c r="AM171" s="863"/>
      <c r="AN171" s="863"/>
      <c r="AO171" s="863"/>
      <c r="AP171" s="863"/>
      <c r="AQ171" s="863"/>
      <c r="AR171" s="863"/>
      <c r="AS171" s="863"/>
      <c r="AT171" s="863"/>
      <c r="AU171" s="863"/>
      <c r="AV171" s="863"/>
      <c r="AW171" s="863"/>
      <c r="AX171" s="863"/>
      <c r="AY171" s="863"/>
      <c r="AZ171" s="863"/>
      <c r="BA171" s="863"/>
      <c r="BB171" s="863"/>
      <c r="BC171" s="863"/>
      <c r="BD171" s="863"/>
      <c r="BE171" s="863"/>
      <c r="BF171" s="863"/>
      <c r="BG171" s="863"/>
      <c r="BH171" s="863"/>
      <c r="BI171" s="863"/>
      <c r="BJ171" s="863"/>
      <c r="BK171" s="863"/>
      <c r="BL171" s="863"/>
      <c r="BM171" s="863"/>
      <c r="BN171" s="863"/>
      <c r="BO171" s="863"/>
      <c r="BP171" s="863"/>
      <c r="BQ171" s="863"/>
      <c r="BR171" s="863"/>
      <c r="BS171" s="863"/>
      <c r="BT171" s="863"/>
    </row>
    <row r="172" spans="1:72">
      <c r="A172" s="863" t="s">
        <v>610</v>
      </c>
      <c r="B172" s="863">
        <v>8.99</v>
      </c>
      <c r="C172" s="863">
        <v>14.49</v>
      </c>
      <c r="D172" s="863">
        <v>9</v>
      </c>
      <c r="E172" s="863">
        <v>10.51</v>
      </c>
      <c r="F172" s="863">
        <v>10.77</v>
      </c>
      <c r="G172" s="863">
        <v>12.17</v>
      </c>
      <c r="H172" s="863">
        <v>13.4</v>
      </c>
      <c r="I172" s="863">
        <v>14.45</v>
      </c>
      <c r="J172" s="863">
        <v>15.13</v>
      </c>
      <c r="K172" s="863">
        <v>15.77</v>
      </c>
      <c r="L172" s="863">
        <v>16.670000000000002</v>
      </c>
      <c r="M172" s="863">
        <v>17.43</v>
      </c>
      <c r="N172" s="863">
        <v>17.940000000000001</v>
      </c>
      <c r="O172" s="863">
        <v>18.32</v>
      </c>
      <c r="P172" s="863">
        <v>19</v>
      </c>
      <c r="Q172" s="863">
        <v>19.57</v>
      </c>
      <c r="R172" s="863">
        <v>20.260000000000002</v>
      </c>
      <c r="S172" s="863">
        <v>20.94</v>
      </c>
      <c r="T172" s="863">
        <v>21.63</v>
      </c>
      <c r="U172" s="863">
        <v>22.13</v>
      </c>
      <c r="V172" s="863">
        <v>23.02</v>
      </c>
      <c r="W172" s="863">
        <v>23.85</v>
      </c>
      <c r="X172" s="863">
        <v>24.8</v>
      </c>
      <c r="Y172" s="863">
        <v>25.81</v>
      </c>
      <c r="Z172" s="863">
        <v>26.88</v>
      </c>
      <c r="AA172" s="863">
        <v>27.91</v>
      </c>
      <c r="AB172" s="863">
        <v>28.9</v>
      </c>
      <c r="AC172" s="863">
        <v>30.02</v>
      </c>
      <c r="AD172" s="863">
        <v>31.26</v>
      </c>
      <c r="AE172" s="900">
        <v>2.9000000000000001E-2</v>
      </c>
      <c r="AF172" s="863"/>
      <c r="AG172" s="863"/>
      <c r="AH172" s="863"/>
      <c r="AI172" s="863"/>
      <c r="AJ172" s="863"/>
      <c r="AK172" s="863"/>
      <c r="AL172" s="863"/>
      <c r="AM172" s="863"/>
      <c r="AN172" s="863"/>
      <c r="AO172" s="863"/>
      <c r="AP172" s="863"/>
      <c r="AQ172" s="863"/>
      <c r="AR172" s="863"/>
      <c r="AS172" s="863"/>
      <c r="AT172" s="863"/>
      <c r="AU172" s="863"/>
      <c r="AV172" s="863"/>
      <c r="AW172" s="863"/>
      <c r="AX172" s="863"/>
      <c r="AY172" s="863"/>
      <c r="AZ172" s="863"/>
      <c r="BA172" s="863"/>
      <c r="BB172" s="863"/>
      <c r="BC172" s="863"/>
      <c r="BD172" s="863"/>
      <c r="BE172" s="863"/>
      <c r="BF172" s="863"/>
      <c r="BG172" s="863"/>
      <c r="BH172" s="863"/>
      <c r="BI172" s="863"/>
      <c r="BJ172" s="863"/>
      <c r="BK172" s="863"/>
      <c r="BL172" s="863"/>
      <c r="BM172" s="863"/>
      <c r="BN172" s="863"/>
      <c r="BO172" s="863"/>
      <c r="BP172" s="863"/>
      <c r="BQ172" s="863"/>
      <c r="BR172" s="863"/>
      <c r="BS172" s="863"/>
      <c r="BT172" s="863"/>
    </row>
    <row r="173" spans="1:72">
      <c r="A173" s="863" t="s">
        <v>621</v>
      </c>
      <c r="B173" s="863">
        <v>13.54</v>
      </c>
      <c r="C173" s="863">
        <v>15.96</v>
      </c>
      <c r="D173" s="863">
        <v>11.54</v>
      </c>
      <c r="E173" s="863">
        <v>12.36</v>
      </c>
      <c r="F173" s="863">
        <v>13.66</v>
      </c>
      <c r="G173" s="863">
        <v>14.28</v>
      </c>
      <c r="H173" s="863">
        <v>14.39</v>
      </c>
      <c r="I173" s="863">
        <v>14.52</v>
      </c>
      <c r="J173" s="863">
        <v>14.9</v>
      </c>
      <c r="K173" s="863">
        <v>15.21</v>
      </c>
      <c r="L173" s="863">
        <v>15.46</v>
      </c>
      <c r="M173" s="863">
        <v>15.74</v>
      </c>
      <c r="N173" s="863">
        <v>16.04</v>
      </c>
      <c r="O173" s="863">
        <v>16.43</v>
      </c>
      <c r="P173" s="863">
        <v>16.8</v>
      </c>
      <c r="Q173" s="863">
        <v>17.32</v>
      </c>
      <c r="R173" s="863">
        <v>17.64</v>
      </c>
      <c r="S173" s="863">
        <v>17.829999999999998</v>
      </c>
      <c r="T173" s="863">
        <v>18.23</v>
      </c>
      <c r="U173" s="863">
        <v>18.760000000000002</v>
      </c>
      <c r="V173" s="863">
        <v>19.309999999999999</v>
      </c>
      <c r="W173" s="863">
        <v>19.98</v>
      </c>
      <c r="X173" s="863">
        <v>20.67</v>
      </c>
      <c r="Y173" s="863">
        <v>21.42</v>
      </c>
      <c r="Z173" s="863">
        <v>22.31</v>
      </c>
      <c r="AA173" s="863">
        <v>22.94</v>
      </c>
      <c r="AB173" s="863">
        <v>23.44</v>
      </c>
      <c r="AC173" s="863">
        <v>24.19</v>
      </c>
      <c r="AD173" s="863">
        <v>24.84</v>
      </c>
      <c r="AE173" s="900">
        <v>1.7000000000000001E-2</v>
      </c>
      <c r="AF173" s="863"/>
      <c r="AG173" s="863"/>
      <c r="AH173" s="863"/>
      <c r="AI173" s="863"/>
      <c r="AJ173" s="863"/>
      <c r="AK173" s="863"/>
      <c r="AL173" s="863"/>
      <c r="AM173" s="863"/>
      <c r="AN173" s="863"/>
      <c r="AO173" s="863"/>
      <c r="AP173" s="863"/>
      <c r="AQ173" s="863"/>
      <c r="AR173" s="863"/>
      <c r="AS173" s="863"/>
      <c r="AT173" s="863"/>
      <c r="AU173" s="863"/>
      <c r="AV173" s="863"/>
      <c r="AW173" s="863"/>
      <c r="AX173" s="863"/>
      <c r="AY173" s="863"/>
      <c r="AZ173" s="863"/>
      <c r="BA173" s="863"/>
      <c r="BB173" s="863"/>
      <c r="BC173" s="863"/>
      <c r="BD173" s="863"/>
      <c r="BE173" s="863"/>
      <c r="BF173" s="863"/>
      <c r="BG173" s="863"/>
      <c r="BH173" s="863"/>
      <c r="BI173" s="863"/>
      <c r="BJ173" s="863"/>
      <c r="BK173" s="863"/>
      <c r="BL173" s="863"/>
      <c r="BM173" s="863"/>
      <c r="BN173" s="863"/>
      <c r="BO173" s="863"/>
      <c r="BP173" s="863"/>
      <c r="BQ173" s="863"/>
      <c r="BR173" s="863"/>
      <c r="BS173" s="863"/>
      <c r="BT173" s="863"/>
    </row>
    <row r="174" spans="1:72">
      <c r="A174" s="863" t="s">
        <v>478</v>
      </c>
      <c r="B174" s="863">
        <v>31.32</v>
      </c>
      <c r="C174" s="863">
        <v>33.729999999999997</v>
      </c>
      <c r="D174" s="863">
        <v>32.79</v>
      </c>
      <c r="E174" s="863">
        <v>31.2</v>
      </c>
      <c r="F174" s="863">
        <v>28.83</v>
      </c>
      <c r="G174" s="863">
        <v>31.39</v>
      </c>
      <c r="H174" s="863">
        <v>32.01</v>
      </c>
      <c r="I174" s="863">
        <v>31.85</v>
      </c>
      <c r="J174" s="863">
        <v>32.08</v>
      </c>
      <c r="K174" s="863">
        <v>32.909999999999997</v>
      </c>
      <c r="L174" s="863">
        <v>33.549999999999997</v>
      </c>
      <c r="M174" s="863">
        <v>33.97</v>
      </c>
      <c r="N174" s="863">
        <v>34.26</v>
      </c>
      <c r="O174" s="863">
        <v>34.89</v>
      </c>
      <c r="P174" s="863">
        <v>35.61</v>
      </c>
      <c r="Q174" s="863">
        <v>36.26</v>
      </c>
      <c r="R174" s="863">
        <v>37.11</v>
      </c>
      <c r="S174" s="863">
        <v>38.1</v>
      </c>
      <c r="T174" s="863">
        <v>38.86</v>
      </c>
      <c r="U174" s="863">
        <v>40</v>
      </c>
      <c r="V174" s="863">
        <v>41.47</v>
      </c>
      <c r="W174" s="863">
        <v>43.05</v>
      </c>
      <c r="X174" s="863">
        <v>45.05</v>
      </c>
      <c r="Y174" s="863">
        <v>46.8</v>
      </c>
      <c r="Z174" s="863">
        <v>48.78</v>
      </c>
      <c r="AA174" s="863">
        <v>50.72</v>
      </c>
      <c r="AB174" s="863">
        <v>52.33</v>
      </c>
      <c r="AC174" s="863">
        <v>54.13</v>
      </c>
      <c r="AD174" s="863">
        <v>55.89</v>
      </c>
      <c r="AE174" s="900">
        <v>1.9E-2</v>
      </c>
      <c r="AF174" s="863"/>
      <c r="AG174" s="863"/>
      <c r="AH174" s="863"/>
      <c r="AI174" s="863"/>
      <c r="AJ174" s="863"/>
      <c r="AK174" s="863"/>
      <c r="AL174" s="863"/>
      <c r="AM174" s="863"/>
      <c r="AN174" s="863"/>
      <c r="AO174" s="863"/>
      <c r="AP174" s="863"/>
      <c r="AQ174" s="863"/>
      <c r="AR174" s="863"/>
      <c r="AS174" s="863"/>
      <c r="AT174" s="863"/>
      <c r="AU174" s="863"/>
      <c r="AV174" s="863"/>
      <c r="AW174" s="863"/>
      <c r="AX174" s="863"/>
      <c r="AY174" s="863"/>
      <c r="AZ174" s="863"/>
      <c r="BA174" s="863"/>
      <c r="BB174" s="863"/>
      <c r="BC174" s="863"/>
      <c r="BD174" s="863"/>
      <c r="BE174" s="863"/>
      <c r="BF174" s="863"/>
      <c r="BG174" s="863"/>
      <c r="BH174" s="863"/>
      <c r="BI174" s="863"/>
      <c r="BJ174" s="863"/>
      <c r="BK174" s="863"/>
      <c r="BL174" s="863"/>
      <c r="BM174" s="863"/>
      <c r="BN174" s="863"/>
      <c r="BO174" s="863"/>
      <c r="BP174" s="863"/>
      <c r="BQ174" s="863"/>
      <c r="BR174" s="863"/>
      <c r="BS174" s="863"/>
      <c r="BT174" s="863"/>
    </row>
    <row r="175" spans="1:72">
      <c r="A175" s="863"/>
      <c r="B175" s="863"/>
      <c r="C175" s="863"/>
      <c r="D175" s="863"/>
      <c r="E175" s="863"/>
      <c r="F175" s="863"/>
      <c r="G175" s="863"/>
      <c r="H175" s="863"/>
      <c r="I175" s="863"/>
      <c r="J175" s="863"/>
      <c r="K175" s="863"/>
      <c r="L175" s="863"/>
      <c r="M175" s="863"/>
      <c r="N175" s="863"/>
      <c r="O175" s="863"/>
      <c r="P175" s="863"/>
      <c r="Q175" s="863"/>
      <c r="R175" s="863"/>
      <c r="S175" s="863"/>
      <c r="T175" s="863"/>
      <c r="U175" s="863"/>
      <c r="V175" s="863"/>
      <c r="W175" s="863"/>
      <c r="X175" s="863"/>
      <c r="Y175" s="863"/>
      <c r="Z175" s="863"/>
      <c r="AA175" s="863"/>
      <c r="AB175" s="863"/>
      <c r="AC175" s="863"/>
      <c r="AD175" s="863"/>
      <c r="AE175" s="863"/>
      <c r="AF175" s="863"/>
      <c r="AG175" s="863"/>
      <c r="AH175" s="863"/>
      <c r="AI175" s="863"/>
      <c r="AJ175" s="863"/>
      <c r="AK175" s="863"/>
      <c r="AL175" s="863"/>
      <c r="AM175" s="863"/>
      <c r="AN175" s="863"/>
      <c r="AO175" s="863"/>
      <c r="AP175" s="863"/>
      <c r="AQ175" s="863"/>
      <c r="AR175" s="863"/>
      <c r="AS175" s="863"/>
      <c r="AT175" s="863"/>
      <c r="AU175" s="863"/>
      <c r="AV175" s="863"/>
      <c r="AW175" s="863"/>
      <c r="AX175" s="863"/>
      <c r="AY175" s="863"/>
      <c r="AZ175" s="863"/>
      <c r="BA175" s="863"/>
      <c r="BB175" s="863"/>
      <c r="BC175" s="863"/>
      <c r="BD175" s="863"/>
      <c r="BE175" s="863"/>
      <c r="BF175" s="863"/>
      <c r="BG175" s="863"/>
      <c r="BH175" s="863"/>
      <c r="BI175" s="863"/>
      <c r="BJ175" s="863"/>
      <c r="BK175" s="863"/>
      <c r="BL175" s="863"/>
      <c r="BM175" s="863"/>
      <c r="BN175" s="863"/>
      <c r="BO175" s="863"/>
      <c r="BP175" s="863"/>
      <c r="BQ175" s="863"/>
      <c r="BR175" s="863"/>
      <c r="BS175" s="863"/>
      <c r="BT175" s="863"/>
    </row>
    <row r="176" spans="1:72">
      <c r="A176" s="863" t="s">
        <v>622</v>
      </c>
      <c r="B176" s="863"/>
      <c r="C176" s="863"/>
      <c r="D176" s="863"/>
      <c r="E176" s="863"/>
      <c r="F176" s="863"/>
      <c r="G176" s="863"/>
      <c r="H176" s="863"/>
      <c r="I176" s="863"/>
      <c r="J176" s="863"/>
      <c r="K176" s="863"/>
      <c r="L176" s="863"/>
      <c r="M176" s="863"/>
      <c r="N176" s="863"/>
      <c r="O176" s="863"/>
      <c r="P176" s="863"/>
      <c r="Q176" s="863"/>
      <c r="R176" s="863"/>
      <c r="S176" s="863"/>
      <c r="T176" s="863"/>
      <c r="U176" s="863"/>
      <c r="V176" s="863"/>
      <c r="W176" s="863"/>
      <c r="X176" s="863"/>
      <c r="Y176" s="863"/>
      <c r="Z176" s="863"/>
      <c r="AA176" s="863"/>
      <c r="AB176" s="863"/>
      <c r="AC176" s="863"/>
      <c r="AD176" s="863"/>
      <c r="AE176" s="863"/>
      <c r="AF176" s="863"/>
      <c r="AG176" s="863"/>
      <c r="AH176" s="863"/>
      <c r="AI176" s="863"/>
      <c r="AJ176" s="863"/>
      <c r="AK176" s="863"/>
      <c r="AL176" s="863"/>
      <c r="AM176" s="863"/>
      <c r="AN176" s="863"/>
      <c r="AO176" s="863"/>
      <c r="AP176" s="863"/>
      <c r="AQ176" s="863"/>
      <c r="AR176" s="863"/>
      <c r="AS176" s="863"/>
      <c r="AT176" s="863"/>
      <c r="AU176" s="863"/>
      <c r="AV176" s="863"/>
      <c r="AW176" s="863"/>
      <c r="AX176" s="863"/>
      <c r="AY176" s="863"/>
      <c r="AZ176" s="863"/>
      <c r="BA176" s="863"/>
      <c r="BB176" s="863"/>
      <c r="BC176" s="863"/>
      <c r="BD176" s="863"/>
      <c r="BE176" s="863"/>
      <c r="BF176" s="863"/>
      <c r="BG176" s="863"/>
      <c r="BH176" s="863"/>
      <c r="BI176" s="863"/>
      <c r="BJ176" s="863"/>
      <c r="BK176" s="863"/>
      <c r="BL176" s="863"/>
      <c r="BM176" s="863"/>
      <c r="BN176" s="863"/>
      <c r="BO176" s="863"/>
      <c r="BP176" s="863"/>
      <c r="BQ176" s="863"/>
      <c r="BR176" s="863"/>
      <c r="BS176" s="863"/>
      <c r="BT176" s="863"/>
    </row>
    <row r="177" spans="1:72">
      <c r="A177" s="863" t="s">
        <v>609</v>
      </c>
      <c r="B177" s="863">
        <v>15.41</v>
      </c>
      <c r="C177" s="863">
        <v>19.37</v>
      </c>
      <c r="D177" s="863">
        <v>14.46</v>
      </c>
      <c r="E177" s="863">
        <v>14.33</v>
      </c>
      <c r="F177" s="863">
        <v>14.68</v>
      </c>
      <c r="G177" s="863">
        <v>16.09</v>
      </c>
      <c r="H177" s="863">
        <v>17.46</v>
      </c>
      <c r="I177" s="863">
        <v>18.510000000000002</v>
      </c>
      <c r="J177" s="863">
        <v>19.350000000000001</v>
      </c>
      <c r="K177" s="863">
        <v>20.67</v>
      </c>
      <c r="L177" s="863">
        <v>21.81</v>
      </c>
      <c r="M177" s="863">
        <v>22.96</v>
      </c>
      <c r="N177" s="863">
        <v>23.88</v>
      </c>
      <c r="O177" s="863">
        <v>24.75</v>
      </c>
      <c r="P177" s="863">
        <v>25.46</v>
      </c>
      <c r="Q177" s="863">
        <v>26.24</v>
      </c>
      <c r="R177" s="863">
        <v>27.22</v>
      </c>
      <c r="S177" s="863">
        <v>28.03</v>
      </c>
      <c r="T177" s="863">
        <v>28.98</v>
      </c>
      <c r="U177" s="863">
        <v>29.93</v>
      </c>
      <c r="V177" s="863">
        <v>30.88</v>
      </c>
      <c r="W177" s="863">
        <v>32</v>
      </c>
      <c r="X177" s="863">
        <v>33.28</v>
      </c>
      <c r="Y177" s="863">
        <v>34.28</v>
      </c>
      <c r="Z177" s="863">
        <v>35.71</v>
      </c>
      <c r="AA177" s="863">
        <v>37.130000000000003</v>
      </c>
      <c r="AB177" s="863">
        <v>38.46</v>
      </c>
      <c r="AC177" s="863">
        <v>39.950000000000003</v>
      </c>
      <c r="AD177" s="863">
        <v>41.52</v>
      </c>
      <c r="AE177" s="900">
        <v>2.9000000000000001E-2</v>
      </c>
      <c r="AF177" s="863"/>
      <c r="AG177" s="863"/>
      <c r="AH177" s="863"/>
      <c r="AI177" s="863"/>
      <c r="AJ177" s="863"/>
      <c r="AK177" s="863"/>
      <c r="AL177" s="863"/>
      <c r="AM177" s="863"/>
      <c r="AN177" s="863"/>
      <c r="AO177" s="863"/>
      <c r="AP177" s="863"/>
      <c r="AQ177" s="863"/>
      <c r="AR177" s="863"/>
      <c r="AS177" s="863"/>
      <c r="AT177" s="863"/>
      <c r="AU177" s="863"/>
      <c r="AV177" s="863"/>
      <c r="AW177" s="863"/>
      <c r="AX177" s="863"/>
      <c r="AY177" s="863"/>
      <c r="AZ177" s="863"/>
      <c r="BA177" s="863"/>
      <c r="BB177" s="863"/>
      <c r="BC177" s="863"/>
      <c r="BD177" s="863"/>
      <c r="BE177" s="863"/>
      <c r="BF177" s="863"/>
      <c r="BG177" s="863"/>
      <c r="BH177" s="863"/>
      <c r="BI177" s="863"/>
      <c r="BJ177" s="863"/>
      <c r="BK177" s="863"/>
      <c r="BL177" s="863"/>
      <c r="BM177" s="863"/>
      <c r="BN177" s="863"/>
      <c r="BO177" s="863"/>
      <c r="BP177" s="863"/>
      <c r="BQ177" s="863"/>
      <c r="BR177" s="863"/>
      <c r="BS177" s="863"/>
      <c r="BT177" s="863"/>
    </row>
    <row r="178" spans="1:72">
      <c r="A178" s="863" t="s">
        <v>610</v>
      </c>
      <c r="B178" s="863">
        <v>8.84</v>
      </c>
      <c r="C178" s="863">
        <v>14.56</v>
      </c>
      <c r="D178" s="863">
        <v>8.92</v>
      </c>
      <c r="E178" s="863">
        <v>12.37</v>
      </c>
      <c r="F178" s="863">
        <v>12.7</v>
      </c>
      <c r="G178" s="863">
        <v>14.13</v>
      </c>
      <c r="H178" s="863">
        <v>15.48</v>
      </c>
      <c r="I178" s="863">
        <v>16.55</v>
      </c>
      <c r="J178" s="863">
        <v>17.3</v>
      </c>
      <c r="K178" s="863">
        <v>18.07</v>
      </c>
      <c r="L178" s="863">
        <v>19.010000000000002</v>
      </c>
      <c r="M178" s="863">
        <v>19.88</v>
      </c>
      <c r="N178" s="863">
        <v>20.54</v>
      </c>
      <c r="O178" s="863">
        <v>21.05</v>
      </c>
      <c r="P178" s="863">
        <v>21.8</v>
      </c>
      <c r="Q178" s="863">
        <v>22.48</v>
      </c>
      <c r="R178" s="863">
        <v>23.26</v>
      </c>
      <c r="S178" s="863">
        <v>24.05</v>
      </c>
      <c r="T178" s="863">
        <v>24.83</v>
      </c>
      <c r="U178" s="863">
        <v>25.46</v>
      </c>
      <c r="V178" s="863">
        <v>26.42</v>
      </c>
      <c r="W178" s="863">
        <v>27.37</v>
      </c>
      <c r="X178" s="863">
        <v>28.4</v>
      </c>
      <c r="Y178" s="863">
        <v>29.5</v>
      </c>
      <c r="Z178" s="863">
        <v>30.7</v>
      </c>
      <c r="AA178" s="863">
        <v>31.85</v>
      </c>
      <c r="AB178" s="863">
        <v>32.92</v>
      </c>
      <c r="AC178" s="863">
        <v>34.19</v>
      </c>
      <c r="AD178" s="863">
        <v>35.49</v>
      </c>
      <c r="AE178" s="900">
        <v>3.4000000000000002E-2</v>
      </c>
      <c r="AF178" s="863"/>
      <c r="AG178" s="863"/>
      <c r="AH178" s="863"/>
      <c r="AI178" s="863"/>
      <c r="AJ178" s="863"/>
      <c r="AK178" s="863"/>
      <c r="AL178" s="863"/>
      <c r="AM178" s="863"/>
      <c r="AN178" s="863"/>
      <c r="AO178" s="863"/>
      <c r="AP178" s="863"/>
      <c r="AQ178" s="863"/>
      <c r="AR178" s="863"/>
      <c r="AS178" s="863"/>
      <c r="AT178" s="863"/>
      <c r="AU178" s="863"/>
      <c r="AV178" s="863"/>
      <c r="AW178" s="863"/>
      <c r="AX178" s="863"/>
      <c r="AY178" s="863"/>
      <c r="AZ178" s="863"/>
      <c r="BA178" s="863"/>
      <c r="BB178" s="863"/>
      <c r="BC178" s="863"/>
      <c r="BD178" s="863"/>
      <c r="BE178" s="863"/>
      <c r="BF178" s="863"/>
      <c r="BG178" s="863"/>
      <c r="BH178" s="863"/>
      <c r="BI178" s="863"/>
      <c r="BJ178" s="863"/>
      <c r="BK178" s="863"/>
      <c r="BL178" s="863"/>
      <c r="BM178" s="863"/>
      <c r="BN178" s="863"/>
      <c r="BO178" s="863"/>
      <c r="BP178" s="863"/>
      <c r="BQ178" s="863"/>
      <c r="BR178" s="863"/>
      <c r="BS178" s="863"/>
      <c r="BT178" s="863"/>
    </row>
    <row r="179" spans="1:72">
      <c r="A179" s="863" t="s">
        <v>509</v>
      </c>
      <c r="B179" s="863">
        <v>7.1</v>
      </c>
      <c r="C179" s="863">
        <v>9.09</v>
      </c>
      <c r="D179" s="863">
        <v>4.2</v>
      </c>
      <c r="E179" s="863">
        <v>4.99</v>
      </c>
      <c r="F179" s="863">
        <v>6.07</v>
      </c>
      <c r="G179" s="863">
        <v>6.53</v>
      </c>
      <c r="H179" s="863">
        <v>6.4</v>
      </c>
      <c r="I179" s="863">
        <v>6.47</v>
      </c>
      <c r="J179" s="863">
        <v>6.77</v>
      </c>
      <c r="K179" s="863">
        <v>6.99</v>
      </c>
      <c r="L179" s="863">
        <v>7.13</v>
      </c>
      <c r="M179" s="863">
        <v>7.32</v>
      </c>
      <c r="N179" s="863">
        <v>7.53</v>
      </c>
      <c r="O179" s="863">
        <v>7.85</v>
      </c>
      <c r="P179" s="863">
        <v>8.1300000000000008</v>
      </c>
      <c r="Q179" s="863">
        <v>8.5399999999999991</v>
      </c>
      <c r="R179" s="863">
        <v>8.7799999999999994</v>
      </c>
      <c r="S179" s="863">
        <v>8.91</v>
      </c>
      <c r="T179" s="863">
        <v>9.17</v>
      </c>
      <c r="U179" s="863">
        <v>9.57</v>
      </c>
      <c r="V179" s="863">
        <v>9.9700000000000006</v>
      </c>
      <c r="W179" s="863">
        <v>10.51</v>
      </c>
      <c r="X179" s="863">
        <v>11.09</v>
      </c>
      <c r="Y179" s="863">
        <v>11.66</v>
      </c>
      <c r="Z179" s="863">
        <v>12.38</v>
      </c>
      <c r="AA179" s="863">
        <v>12.84</v>
      </c>
      <c r="AB179" s="863">
        <v>13.16</v>
      </c>
      <c r="AC179" s="863">
        <v>13.75</v>
      </c>
      <c r="AD179" s="863">
        <v>14.22</v>
      </c>
      <c r="AE179" s="900">
        <v>1.7000000000000001E-2</v>
      </c>
      <c r="AF179" s="863"/>
      <c r="AG179" s="863"/>
      <c r="AH179" s="863"/>
      <c r="AI179" s="863"/>
      <c r="AJ179" s="863"/>
      <c r="AK179" s="863"/>
      <c r="AL179" s="863"/>
      <c r="AM179" s="863"/>
      <c r="AN179" s="863"/>
      <c r="AO179" s="863"/>
      <c r="AP179" s="863"/>
      <c r="AQ179" s="863"/>
      <c r="AR179" s="863"/>
      <c r="AS179" s="863"/>
      <c r="AT179" s="863"/>
      <c r="AU179" s="863"/>
      <c r="AV179" s="863"/>
      <c r="AW179" s="863"/>
      <c r="AX179" s="863"/>
      <c r="AY179" s="863"/>
      <c r="AZ179" s="863"/>
      <c r="BA179" s="863"/>
      <c r="BB179" s="863"/>
      <c r="BC179" s="863"/>
      <c r="BD179" s="863"/>
      <c r="BE179" s="863"/>
      <c r="BF179" s="863"/>
      <c r="BG179" s="863"/>
      <c r="BH179" s="863"/>
      <c r="BI179" s="863"/>
      <c r="BJ179" s="863"/>
      <c r="BK179" s="863"/>
      <c r="BL179" s="863"/>
      <c r="BM179" s="863"/>
      <c r="BN179" s="863"/>
      <c r="BO179" s="863"/>
      <c r="BP179" s="863"/>
      <c r="BQ179" s="863"/>
      <c r="BR179" s="863"/>
      <c r="BS179" s="863"/>
      <c r="BT179" s="863"/>
    </row>
    <row r="180" spans="1:72">
      <c r="A180" s="863" t="s">
        <v>623</v>
      </c>
      <c r="B180" s="863">
        <v>1.76</v>
      </c>
      <c r="C180" s="863">
        <v>2.0499999999999998</v>
      </c>
      <c r="D180" s="863">
        <v>2.1800000000000002</v>
      </c>
      <c r="E180" s="863">
        <v>2.0499999999999998</v>
      </c>
      <c r="F180" s="863">
        <v>2.0699999999999998</v>
      </c>
      <c r="G180" s="863">
        <v>2.1</v>
      </c>
      <c r="H180" s="863">
        <v>2.15</v>
      </c>
      <c r="I180" s="863">
        <v>2.19</v>
      </c>
      <c r="J180" s="863">
        <v>2.2400000000000002</v>
      </c>
      <c r="K180" s="863">
        <v>2.2599999999999998</v>
      </c>
      <c r="L180" s="863">
        <v>2.31</v>
      </c>
      <c r="M180" s="863">
        <v>2.34</v>
      </c>
      <c r="N180" s="863">
        <v>2.38</v>
      </c>
      <c r="O180" s="863">
        <v>2.42</v>
      </c>
      <c r="P180" s="863">
        <v>2.4700000000000002</v>
      </c>
      <c r="Q180" s="863">
        <v>2.54</v>
      </c>
      <c r="R180" s="863">
        <v>2.59</v>
      </c>
      <c r="S180" s="863">
        <v>2.65</v>
      </c>
      <c r="T180" s="863">
        <v>2.69</v>
      </c>
      <c r="U180" s="863">
        <v>2.77</v>
      </c>
      <c r="V180" s="863">
        <v>2.82</v>
      </c>
      <c r="W180" s="863">
        <v>2.9</v>
      </c>
      <c r="X180" s="863">
        <v>2.98</v>
      </c>
      <c r="Y180" s="863">
        <v>3.06</v>
      </c>
      <c r="Z180" s="863">
        <v>3.15</v>
      </c>
      <c r="AA180" s="863">
        <v>3.23</v>
      </c>
      <c r="AB180" s="863">
        <v>3.32</v>
      </c>
      <c r="AC180" s="863">
        <v>3.41</v>
      </c>
      <c r="AD180" s="863">
        <v>3.51</v>
      </c>
      <c r="AE180" s="900">
        <v>0.02</v>
      </c>
      <c r="AF180" s="863"/>
      <c r="AG180" s="863"/>
      <c r="AH180" s="863"/>
      <c r="AI180" s="863"/>
      <c r="AJ180" s="863"/>
      <c r="AK180" s="863"/>
      <c r="AL180" s="863"/>
      <c r="AM180" s="863"/>
      <c r="AN180" s="863"/>
      <c r="AO180" s="863"/>
      <c r="AP180" s="863"/>
      <c r="AQ180" s="863"/>
      <c r="AR180" s="863"/>
      <c r="AS180" s="863"/>
      <c r="AT180" s="863"/>
      <c r="AU180" s="863"/>
      <c r="AV180" s="863"/>
      <c r="AW180" s="863"/>
      <c r="AX180" s="863"/>
      <c r="AY180" s="863"/>
      <c r="AZ180" s="863"/>
      <c r="BA180" s="863"/>
      <c r="BB180" s="863"/>
      <c r="BC180" s="863"/>
      <c r="BD180" s="863"/>
      <c r="BE180" s="863"/>
      <c r="BF180" s="863"/>
      <c r="BG180" s="863"/>
      <c r="BH180" s="863"/>
      <c r="BI180" s="863"/>
      <c r="BJ180" s="863"/>
      <c r="BK180" s="863"/>
      <c r="BL180" s="863"/>
      <c r="BM180" s="863"/>
      <c r="BN180" s="863"/>
      <c r="BO180" s="863"/>
      <c r="BP180" s="863"/>
      <c r="BQ180" s="863"/>
      <c r="BR180" s="863"/>
      <c r="BS180" s="863"/>
      <c r="BT180" s="863"/>
    </row>
    <row r="181" spans="1:72">
      <c r="A181" s="863"/>
      <c r="B181" s="863"/>
      <c r="C181" s="863"/>
      <c r="D181" s="863"/>
      <c r="E181" s="863"/>
      <c r="F181" s="863"/>
      <c r="G181" s="863"/>
      <c r="H181" s="863"/>
      <c r="I181" s="863"/>
      <c r="J181" s="863"/>
      <c r="K181" s="863"/>
      <c r="L181" s="863"/>
      <c r="M181" s="863"/>
      <c r="N181" s="863"/>
      <c r="O181" s="863"/>
      <c r="P181" s="863"/>
      <c r="Q181" s="863"/>
      <c r="R181" s="863"/>
      <c r="S181" s="863"/>
      <c r="T181" s="863"/>
      <c r="U181" s="863"/>
      <c r="V181" s="863"/>
      <c r="W181" s="863"/>
      <c r="X181" s="863"/>
      <c r="Y181" s="863"/>
      <c r="Z181" s="863"/>
      <c r="AA181" s="863"/>
      <c r="AB181" s="863"/>
      <c r="AC181" s="863"/>
      <c r="AD181" s="863"/>
      <c r="AE181" s="863"/>
      <c r="AF181" s="863"/>
      <c r="AG181" s="863"/>
      <c r="AH181" s="863"/>
      <c r="AI181" s="863"/>
      <c r="AJ181" s="863"/>
      <c r="AK181" s="863"/>
      <c r="AL181" s="863"/>
      <c r="AM181" s="863"/>
      <c r="AN181" s="863"/>
      <c r="AO181" s="863"/>
      <c r="AP181" s="863"/>
      <c r="AQ181" s="863"/>
      <c r="AR181" s="863"/>
      <c r="AS181" s="863"/>
      <c r="AT181" s="863"/>
      <c r="AU181" s="863"/>
      <c r="AV181" s="863"/>
      <c r="AW181" s="863"/>
      <c r="AX181" s="863"/>
      <c r="AY181" s="863"/>
      <c r="AZ181" s="863"/>
      <c r="BA181" s="863"/>
      <c r="BB181" s="863"/>
      <c r="BC181" s="863"/>
      <c r="BD181" s="863"/>
      <c r="BE181" s="863"/>
      <c r="BF181" s="863"/>
      <c r="BG181" s="863"/>
      <c r="BH181" s="863"/>
      <c r="BI181" s="863"/>
      <c r="BJ181" s="863"/>
      <c r="BK181" s="863"/>
      <c r="BL181" s="863"/>
      <c r="BM181" s="863"/>
      <c r="BN181" s="863"/>
      <c r="BO181" s="863"/>
      <c r="BP181" s="863"/>
      <c r="BQ181" s="863"/>
      <c r="BR181" s="863"/>
      <c r="BS181" s="863"/>
      <c r="BT181" s="863"/>
    </row>
    <row r="182" spans="1:72">
      <c r="A182" s="863" t="s">
        <v>624</v>
      </c>
      <c r="B182" s="863"/>
      <c r="C182" s="863"/>
      <c r="D182" s="863"/>
      <c r="E182" s="863"/>
      <c r="F182" s="863"/>
      <c r="G182" s="863"/>
      <c r="H182" s="863"/>
      <c r="I182" s="863"/>
      <c r="J182" s="863"/>
      <c r="K182" s="863"/>
      <c r="L182" s="863"/>
      <c r="M182" s="863"/>
      <c r="N182" s="863"/>
      <c r="O182" s="863"/>
      <c r="P182" s="863"/>
      <c r="Q182" s="863"/>
      <c r="R182" s="863"/>
      <c r="S182" s="863"/>
      <c r="T182" s="863"/>
      <c r="U182" s="863"/>
      <c r="V182" s="863"/>
      <c r="W182" s="863"/>
      <c r="X182" s="863"/>
      <c r="Y182" s="863"/>
      <c r="Z182" s="863"/>
      <c r="AA182" s="863"/>
      <c r="AB182" s="863"/>
      <c r="AC182" s="863"/>
      <c r="AD182" s="863"/>
      <c r="AE182" s="863"/>
      <c r="AF182" s="863"/>
      <c r="AG182" s="863"/>
      <c r="AH182" s="863"/>
      <c r="AI182" s="863"/>
      <c r="AJ182" s="863"/>
      <c r="AK182" s="863"/>
      <c r="AL182" s="863"/>
      <c r="AM182" s="863"/>
      <c r="AN182" s="863"/>
      <c r="AO182" s="863"/>
      <c r="AP182" s="863"/>
      <c r="AQ182" s="863"/>
      <c r="AR182" s="863"/>
      <c r="AS182" s="863"/>
      <c r="AT182" s="863"/>
      <c r="AU182" s="863"/>
      <c r="AV182" s="863"/>
      <c r="AW182" s="863"/>
      <c r="AX182" s="863"/>
      <c r="AY182" s="863"/>
      <c r="AZ182" s="863"/>
      <c r="BA182" s="863"/>
      <c r="BB182" s="863"/>
      <c r="BC182" s="863"/>
      <c r="BD182" s="863"/>
      <c r="BE182" s="863"/>
      <c r="BF182" s="863"/>
      <c r="BG182" s="863"/>
      <c r="BH182" s="863"/>
      <c r="BI182" s="863"/>
      <c r="BJ182" s="863"/>
      <c r="BK182" s="863"/>
      <c r="BL182" s="863"/>
      <c r="BM182" s="863"/>
      <c r="BN182" s="863"/>
      <c r="BO182" s="863"/>
      <c r="BP182" s="863"/>
      <c r="BQ182" s="863"/>
      <c r="BR182" s="863"/>
      <c r="BS182" s="863"/>
      <c r="BT182" s="863"/>
    </row>
    <row r="183" spans="1:72">
      <c r="A183" s="863" t="s">
        <v>608</v>
      </c>
      <c r="B183" s="863">
        <v>18.53</v>
      </c>
      <c r="C183" s="863">
        <v>20.190000000000001</v>
      </c>
      <c r="D183" s="863">
        <v>18.64</v>
      </c>
      <c r="E183" s="863">
        <v>17.36</v>
      </c>
      <c r="F183" s="863">
        <v>17.61</v>
      </c>
      <c r="G183" s="863">
        <v>18.920000000000002</v>
      </c>
      <c r="H183" s="863">
        <v>20.43</v>
      </c>
      <c r="I183" s="863">
        <v>21.72</v>
      </c>
      <c r="J183" s="863">
        <v>22.62</v>
      </c>
      <c r="K183" s="863">
        <v>23.64</v>
      </c>
      <c r="L183" s="863">
        <v>24.56</v>
      </c>
      <c r="M183" s="863">
        <v>25.55</v>
      </c>
      <c r="N183" s="863">
        <v>26.28</v>
      </c>
      <c r="O183" s="863">
        <v>27.06</v>
      </c>
      <c r="P183" s="863">
        <v>27.91</v>
      </c>
      <c r="Q183" s="863">
        <v>28.78</v>
      </c>
      <c r="R183" s="863">
        <v>29.75</v>
      </c>
      <c r="S183" s="863">
        <v>30.7</v>
      </c>
      <c r="T183" s="863">
        <v>31.68</v>
      </c>
      <c r="U183" s="863">
        <v>32.54</v>
      </c>
      <c r="V183" s="863">
        <v>33.6</v>
      </c>
      <c r="W183" s="863">
        <v>34.69</v>
      </c>
      <c r="X183" s="863">
        <v>35.950000000000003</v>
      </c>
      <c r="Y183" s="863">
        <v>37.049999999999997</v>
      </c>
      <c r="Z183" s="863">
        <v>38.44</v>
      </c>
      <c r="AA183" s="863">
        <v>39.83</v>
      </c>
      <c r="AB183" s="863">
        <v>41.29</v>
      </c>
      <c r="AC183" s="863">
        <v>42.77</v>
      </c>
      <c r="AD183" s="863">
        <v>44.32</v>
      </c>
      <c r="AE183" s="900">
        <v>0.03</v>
      </c>
      <c r="AF183" s="863"/>
      <c r="AG183" s="863"/>
      <c r="AH183" s="863"/>
      <c r="AI183" s="863"/>
      <c r="AJ183" s="863"/>
      <c r="AK183" s="863"/>
      <c r="AL183" s="863"/>
      <c r="AM183" s="863"/>
      <c r="AN183" s="863"/>
      <c r="AO183" s="863"/>
      <c r="AP183" s="863"/>
      <c r="AQ183" s="863"/>
      <c r="AR183" s="863"/>
      <c r="AS183" s="863"/>
      <c r="AT183" s="863"/>
      <c r="AU183" s="863"/>
      <c r="AV183" s="863"/>
      <c r="AW183" s="863"/>
      <c r="AX183" s="863"/>
      <c r="AY183" s="863"/>
      <c r="AZ183" s="863"/>
      <c r="BA183" s="863"/>
      <c r="BB183" s="863"/>
      <c r="BC183" s="863"/>
      <c r="BD183" s="863"/>
      <c r="BE183" s="863"/>
      <c r="BF183" s="863"/>
      <c r="BG183" s="863"/>
      <c r="BH183" s="863"/>
      <c r="BI183" s="863"/>
      <c r="BJ183" s="863"/>
      <c r="BK183" s="863"/>
      <c r="BL183" s="863"/>
      <c r="BM183" s="863"/>
      <c r="BN183" s="863"/>
      <c r="BO183" s="863"/>
      <c r="BP183" s="863"/>
      <c r="BQ183" s="863"/>
      <c r="BR183" s="863"/>
      <c r="BS183" s="863"/>
      <c r="BT183" s="863"/>
    </row>
    <row r="184" spans="1:72">
      <c r="A184" s="863" t="s">
        <v>617</v>
      </c>
      <c r="B184" s="863">
        <v>26.83</v>
      </c>
      <c r="C184" s="863">
        <v>26.93</v>
      </c>
      <c r="D184" s="863">
        <v>23.64</v>
      </c>
      <c r="E184" s="863">
        <v>21.26</v>
      </c>
      <c r="F184" s="863">
        <v>21.89</v>
      </c>
      <c r="G184" s="863">
        <v>23.43</v>
      </c>
      <c r="H184" s="863">
        <v>26.07</v>
      </c>
      <c r="I184" s="863">
        <v>27.64</v>
      </c>
      <c r="J184" s="863">
        <v>28.47</v>
      </c>
      <c r="K184" s="863">
        <v>28.45</v>
      </c>
      <c r="L184" s="863">
        <v>29.92</v>
      </c>
      <c r="M184" s="863">
        <v>31.23</v>
      </c>
      <c r="N184" s="863">
        <v>31.97</v>
      </c>
      <c r="O184" s="863">
        <v>32.94</v>
      </c>
      <c r="P184" s="863">
        <v>34.090000000000003</v>
      </c>
      <c r="Q184" s="863">
        <v>35.479999999999997</v>
      </c>
      <c r="R184" s="863">
        <v>36.880000000000003</v>
      </c>
      <c r="S184" s="863">
        <v>37.979999999999997</v>
      </c>
      <c r="T184" s="863">
        <v>39.17</v>
      </c>
      <c r="U184" s="863">
        <v>40.479999999999997</v>
      </c>
      <c r="V184" s="863">
        <v>41.72</v>
      </c>
      <c r="W184" s="863">
        <v>43.4</v>
      </c>
      <c r="X184" s="863">
        <v>44.96</v>
      </c>
      <c r="Y184" s="863">
        <v>46.25</v>
      </c>
      <c r="Z184" s="863">
        <v>47.62</v>
      </c>
      <c r="AA184" s="863">
        <v>49.36</v>
      </c>
      <c r="AB184" s="863">
        <v>50.75</v>
      </c>
      <c r="AC184" s="863">
        <v>52.29</v>
      </c>
      <c r="AD184" s="863">
        <v>54.17</v>
      </c>
      <c r="AE184" s="900">
        <v>2.5999999999999999E-2</v>
      </c>
      <c r="AF184" s="863"/>
      <c r="AG184" s="863"/>
      <c r="AH184" s="863"/>
      <c r="AI184" s="863"/>
      <c r="AJ184" s="863"/>
      <c r="AK184" s="863"/>
      <c r="AL184" s="863"/>
      <c r="AM184" s="863"/>
      <c r="AN184" s="863"/>
      <c r="AO184" s="863"/>
      <c r="AP184" s="863"/>
      <c r="AQ184" s="863"/>
      <c r="AR184" s="863"/>
      <c r="AS184" s="863"/>
      <c r="AT184" s="863"/>
      <c r="AU184" s="863"/>
      <c r="AV184" s="863"/>
      <c r="AW184" s="863"/>
      <c r="AX184" s="863"/>
      <c r="AY184" s="863"/>
      <c r="AZ184" s="863"/>
      <c r="BA184" s="863"/>
      <c r="BB184" s="863"/>
      <c r="BC184" s="863"/>
      <c r="BD184" s="863"/>
      <c r="BE184" s="863"/>
      <c r="BF184" s="863"/>
      <c r="BG184" s="863"/>
      <c r="BH184" s="863"/>
      <c r="BI184" s="863"/>
      <c r="BJ184" s="863"/>
      <c r="BK184" s="863"/>
      <c r="BL184" s="863"/>
      <c r="BM184" s="863"/>
      <c r="BN184" s="863"/>
      <c r="BO184" s="863"/>
      <c r="BP184" s="863"/>
      <c r="BQ184" s="863"/>
      <c r="BR184" s="863"/>
      <c r="BS184" s="863"/>
      <c r="BT184" s="863"/>
    </row>
    <row r="185" spans="1:72">
      <c r="A185" s="863" t="s">
        <v>618</v>
      </c>
      <c r="B185" s="863">
        <v>23.03</v>
      </c>
      <c r="C185" s="863">
        <v>26.54</v>
      </c>
      <c r="D185" s="863">
        <v>19.440000000000001</v>
      </c>
      <c r="E185" s="863">
        <v>21.17</v>
      </c>
      <c r="F185" s="863">
        <v>21.79</v>
      </c>
      <c r="G185" s="863">
        <v>23.32</v>
      </c>
      <c r="H185" s="863">
        <v>25.87</v>
      </c>
      <c r="I185" s="863">
        <v>27.33</v>
      </c>
      <c r="J185" s="863">
        <v>28.27</v>
      </c>
      <c r="K185" s="863">
        <v>29.42</v>
      </c>
      <c r="L185" s="863">
        <v>30.58</v>
      </c>
      <c r="M185" s="863">
        <v>31.64</v>
      </c>
      <c r="N185" s="863">
        <v>32.6</v>
      </c>
      <c r="O185" s="863">
        <v>33.71</v>
      </c>
      <c r="P185" s="863">
        <v>34.71</v>
      </c>
      <c r="Q185" s="863">
        <v>35.93</v>
      </c>
      <c r="R185" s="863">
        <v>37.020000000000003</v>
      </c>
      <c r="S185" s="863">
        <v>37.950000000000003</v>
      </c>
      <c r="T185" s="863">
        <v>39.17</v>
      </c>
      <c r="U185" s="863">
        <v>40.43</v>
      </c>
      <c r="V185" s="863">
        <v>41.68</v>
      </c>
      <c r="W185" s="863">
        <v>43.21</v>
      </c>
      <c r="X185" s="863">
        <v>44.69</v>
      </c>
      <c r="Y185" s="863">
        <v>45.9</v>
      </c>
      <c r="Z185" s="863">
        <v>47.46</v>
      </c>
      <c r="AA185" s="863">
        <v>49.15</v>
      </c>
      <c r="AB185" s="863">
        <v>50.65</v>
      </c>
      <c r="AC185" s="863">
        <v>52.35</v>
      </c>
      <c r="AD185" s="863">
        <v>54.32</v>
      </c>
      <c r="AE185" s="900">
        <v>2.7E-2</v>
      </c>
      <c r="AF185" s="863"/>
      <c r="AG185" s="863"/>
      <c r="AH185" s="863"/>
      <c r="AI185" s="863"/>
      <c r="AJ185" s="863"/>
      <c r="AK185" s="863"/>
      <c r="AL185" s="863"/>
      <c r="AM185" s="863"/>
      <c r="AN185" s="863"/>
      <c r="AO185" s="863"/>
      <c r="AP185" s="863"/>
      <c r="AQ185" s="863"/>
      <c r="AR185" s="863"/>
      <c r="AS185" s="863"/>
      <c r="AT185" s="863"/>
      <c r="AU185" s="863"/>
      <c r="AV185" s="863"/>
      <c r="AW185" s="863"/>
      <c r="AX185" s="863"/>
      <c r="AY185" s="863"/>
      <c r="AZ185" s="863"/>
      <c r="BA185" s="863"/>
      <c r="BB185" s="863"/>
      <c r="BC185" s="863"/>
      <c r="BD185" s="863"/>
      <c r="BE185" s="863"/>
      <c r="BF185" s="863"/>
      <c r="BG185" s="863"/>
      <c r="BH185" s="863"/>
      <c r="BI185" s="863"/>
      <c r="BJ185" s="863"/>
      <c r="BK185" s="863"/>
      <c r="BL185" s="863"/>
      <c r="BM185" s="863"/>
      <c r="BN185" s="863"/>
      <c r="BO185" s="863"/>
      <c r="BP185" s="863"/>
      <c r="BQ185" s="863"/>
      <c r="BR185" s="863"/>
      <c r="BS185" s="863"/>
      <c r="BT185" s="863"/>
    </row>
    <row r="186" spans="1:72">
      <c r="A186" s="863" t="s">
        <v>625</v>
      </c>
      <c r="B186" s="863">
        <v>15.42</v>
      </c>
      <c r="C186" s="863">
        <v>22.71</v>
      </c>
      <c r="D186" s="863">
        <v>12.92</v>
      </c>
      <c r="E186" s="863">
        <v>15.23</v>
      </c>
      <c r="F186" s="863">
        <v>15.82</v>
      </c>
      <c r="G186" s="863">
        <v>17.510000000000002</v>
      </c>
      <c r="H186" s="863">
        <v>19.05</v>
      </c>
      <c r="I186" s="863">
        <v>20.23</v>
      </c>
      <c r="J186" s="863">
        <v>21.21</v>
      </c>
      <c r="K186" s="863">
        <v>22.42</v>
      </c>
      <c r="L186" s="863">
        <v>23.58</v>
      </c>
      <c r="M186" s="863">
        <v>24.67</v>
      </c>
      <c r="N186" s="863">
        <v>25.58</v>
      </c>
      <c r="O186" s="863">
        <v>26.51</v>
      </c>
      <c r="P186" s="863">
        <v>27.27</v>
      </c>
      <c r="Q186" s="863">
        <v>28.18</v>
      </c>
      <c r="R186" s="863">
        <v>29.2</v>
      </c>
      <c r="S186" s="863">
        <v>30.07</v>
      </c>
      <c r="T186" s="863">
        <v>31.1</v>
      </c>
      <c r="U186" s="863">
        <v>32.130000000000003</v>
      </c>
      <c r="V186" s="863">
        <v>33.21</v>
      </c>
      <c r="W186" s="863">
        <v>34.54</v>
      </c>
      <c r="X186" s="863">
        <v>35.83</v>
      </c>
      <c r="Y186" s="863">
        <v>36.99</v>
      </c>
      <c r="Z186" s="863">
        <v>38.42</v>
      </c>
      <c r="AA186" s="863">
        <v>39.92</v>
      </c>
      <c r="AB186" s="863">
        <v>41.32</v>
      </c>
      <c r="AC186" s="863">
        <v>42.87</v>
      </c>
      <c r="AD186" s="863">
        <v>44.51</v>
      </c>
      <c r="AE186" s="900">
        <v>2.5000000000000001E-2</v>
      </c>
      <c r="AF186" s="863"/>
      <c r="AG186" s="863"/>
      <c r="AH186" s="863"/>
      <c r="AI186" s="863"/>
      <c r="AJ186" s="863"/>
      <c r="AK186" s="863"/>
      <c r="AL186" s="863"/>
      <c r="AM186" s="863"/>
      <c r="AN186" s="863"/>
      <c r="AO186" s="863"/>
      <c r="AP186" s="863"/>
      <c r="AQ186" s="863"/>
      <c r="AR186" s="863"/>
      <c r="AS186" s="863"/>
      <c r="AT186" s="863"/>
      <c r="AU186" s="863"/>
      <c r="AV186" s="863"/>
      <c r="AW186" s="863"/>
      <c r="AX186" s="863"/>
      <c r="AY186" s="863"/>
      <c r="AZ186" s="863"/>
      <c r="BA186" s="863"/>
      <c r="BB186" s="863"/>
      <c r="BC186" s="863"/>
      <c r="BD186" s="863"/>
      <c r="BE186" s="863"/>
      <c r="BF186" s="863"/>
      <c r="BG186" s="863"/>
      <c r="BH186" s="863"/>
      <c r="BI186" s="863"/>
      <c r="BJ186" s="863"/>
      <c r="BK186" s="863"/>
      <c r="BL186" s="863"/>
      <c r="BM186" s="863"/>
      <c r="BN186" s="863"/>
      <c r="BO186" s="863"/>
      <c r="BP186" s="863"/>
      <c r="BQ186" s="863"/>
      <c r="BR186" s="863"/>
      <c r="BS186" s="863"/>
      <c r="BT186" s="863"/>
    </row>
    <row r="187" spans="1:72">
      <c r="A187" s="863" t="s">
        <v>609</v>
      </c>
      <c r="B187" s="863">
        <v>20.260000000000002</v>
      </c>
      <c r="C187" s="863">
        <v>26.27</v>
      </c>
      <c r="D187" s="863">
        <v>17.73</v>
      </c>
      <c r="E187" s="863">
        <v>18.260000000000002</v>
      </c>
      <c r="F187" s="863">
        <v>18.940000000000001</v>
      </c>
      <c r="G187" s="863">
        <v>20.58</v>
      </c>
      <c r="H187" s="863">
        <v>22.21</v>
      </c>
      <c r="I187" s="863">
        <v>23.39</v>
      </c>
      <c r="J187" s="863">
        <v>24.55</v>
      </c>
      <c r="K187" s="863">
        <v>25.86</v>
      </c>
      <c r="L187" s="863">
        <v>27.09</v>
      </c>
      <c r="M187" s="863">
        <v>28.33</v>
      </c>
      <c r="N187" s="863">
        <v>29.33</v>
      </c>
      <c r="O187" s="863">
        <v>30.3</v>
      </c>
      <c r="P187" s="863">
        <v>31.19</v>
      </c>
      <c r="Q187" s="863">
        <v>32.29</v>
      </c>
      <c r="R187" s="863">
        <v>33.22</v>
      </c>
      <c r="S187" s="863">
        <v>34.04</v>
      </c>
      <c r="T187" s="863">
        <v>35.14</v>
      </c>
      <c r="U187" s="863">
        <v>36.19</v>
      </c>
      <c r="V187" s="863">
        <v>37.31</v>
      </c>
      <c r="W187" s="863">
        <v>38.6</v>
      </c>
      <c r="X187" s="863">
        <v>40.04</v>
      </c>
      <c r="Y187" s="863">
        <v>41.2</v>
      </c>
      <c r="Z187" s="863">
        <v>42.78</v>
      </c>
      <c r="AA187" s="863">
        <v>44.38</v>
      </c>
      <c r="AB187" s="863">
        <v>45.87</v>
      </c>
      <c r="AC187" s="863">
        <v>47.52</v>
      </c>
      <c r="AD187" s="863">
        <v>49.31</v>
      </c>
      <c r="AE187" s="900">
        <v>2.4E-2</v>
      </c>
      <c r="AF187" s="863"/>
      <c r="AG187" s="863"/>
      <c r="AH187" s="863"/>
      <c r="AI187" s="863"/>
      <c r="AJ187" s="863"/>
      <c r="AK187" s="863"/>
      <c r="AL187" s="863"/>
      <c r="AM187" s="863"/>
      <c r="AN187" s="863"/>
      <c r="AO187" s="863"/>
      <c r="AP187" s="863"/>
      <c r="AQ187" s="863"/>
      <c r="AR187" s="863"/>
      <c r="AS187" s="863"/>
      <c r="AT187" s="863"/>
      <c r="AU187" s="863"/>
      <c r="AV187" s="863"/>
      <c r="AW187" s="863"/>
      <c r="AX187" s="863"/>
      <c r="AY187" s="863"/>
      <c r="AZ187" s="863"/>
      <c r="BA187" s="863"/>
      <c r="BB187" s="863"/>
      <c r="BC187" s="863"/>
      <c r="BD187" s="863"/>
      <c r="BE187" s="863"/>
      <c r="BF187" s="863"/>
      <c r="BG187" s="863"/>
      <c r="BH187" s="863"/>
      <c r="BI187" s="863"/>
      <c r="BJ187" s="863"/>
      <c r="BK187" s="863"/>
      <c r="BL187" s="863"/>
      <c r="BM187" s="863"/>
      <c r="BN187" s="863"/>
      <c r="BO187" s="863"/>
      <c r="BP187" s="863"/>
      <c r="BQ187" s="863"/>
      <c r="BR187" s="863"/>
      <c r="BS187" s="863"/>
      <c r="BT187" s="863"/>
    </row>
    <row r="188" spans="1:72">
      <c r="A188" s="863" t="s">
        <v>610</v>
      </c>
      <c r="B188" s="863">
        <v>8.8699999999999992</v>
      </c>
      <c r="C188" s="863">
        <v>14.77</v>
      </c>
      <c r="D188" s="863">
        <v>9.1</v>
      </c>
      <c r="E188" s="863">
        <v>11.22</v>
      </c>
      <c r="F188" s="863">
        <v>11.49</v>
      </c>
      <c r="G188" s="863">
        <v>12.89</v>
      </c>
      <c r="H188" s="863">
        <v>14.14</v>
      </c>
      <c r="I188" s="863">
        <v>15.19</v>
      </c>
      <c r="J188" s="863">
        <v>15.89</v>
      </c>
      <c r="K188" s="863">
        <v>16.600000000000001</v>
      </c>
      <c r="L188" s="863">
        <v>17.5</v>
      </c>
      <c r="M188" s="863">
        <v>18.3</v>
      </c>
      <c r="N188" s="863">
        <v>18.89</v>
      </c>
      <c r="O188" s="863">
        <v>19.329999999999998</v>
      </c>
      <c r="P188" s="863">
        <v>20.03</v>
      </c>
      <c r="Q188" s="863">
        <v>20.64</v>
      </c>
      <c r="R188" s="863">
        <v>21.36</v>
      </c>
      <c r="S188" s="863">
        <v>22.08</v>
      </c>
      <c r="T188" s="863">
        <v>22.8</v>
      </c>
      <c r="U188" s="863">
        <v>23.35</v>
      </c>
      <c r="V188" s="863">
        <v>24.24</v>
      </c>
      <c r="W188" s="863">
        <v>25.11</v>
      </c>
      <c r="X188" s="863">
        <v>26.08</v>
      </c>
      <c r="Y188" s="863">
        <v>27.11</v>
      </c>
      <c r="Z188" s="863">
        <v>28.23</v>
      </c>
      <c r="AA188" s="863">
        <v>29.29</v>
      </c>
      <c r="AB188" s="863">
        <v>30.29</v>
      </c>
      <c r="AC188" s="863">
        <v>31.46</v>
      </c>
      <c r="AD188" s="863">
        <v>32.700000000000003</v>
      </c>
      <c r="AE188" s="900">
        <v>0.03</v>
      </c>
      <c r="AF188" s="863"/>
      <c r="AG188" s="863"/>
      <c r="AH188" s="863"/>
      <c r="AI188" s="863"/>
      <c r="AJ188" s="863"/>
      <c r="AK188" s="863"/>
      <c r="AL188" s="863"/>
      <c r="AM188" s="863"/>
      <c r="AN188" s="863"/>
      <c r="AO188" s="863"/>
      <c r="AP188" s="863"/>
      <c r="AQ188" s="863"/>
      <c r="AR188" s="863"/>
      <c r="AS188" s="863"/>
      <c r="AT188" s="863"/>
      <c r="AU188" s="863"/>
      <c r="AV188" s="863"/>
      <c r="AW188" s="863"/>
      <c r="AX188" s="863"/>
      <c r="AY188" s="863"/>
      <c r="AZ188" s="863"/>
      <c r="BA188" s="863"/>
      <c r="BB188" s="863"/>
      <c r="BC188" s="863"/>
      <c r="BD188" s="863"/>
      <c r="BE188" s="863"/>
      <c r="BF188" s="863"/>
      <c r="BG188" s="863"/>
      <c r="BH188" s="863"/>
      <c r="BI188" s="863"/>
      <c r="BJ188" s="863"/>
      <c r="BK188" s="863"/>
      <c r="BL188" s="863"/>
      <c r="BM188" s="863"/>
      <c r="BN188" s="863"/>
      <c r="BO188" s="863"/>
      <c r="BP188" s="863"/>
      <c r="BQ188" s="863"/>
      <c r="BR188" s="863"/>
      <c r="BS188" s="863"/>
      <c r="BT188" s="863"/>
    </row>
    <row r="189" spans="1:72">
      <c r="A189" s="863" t="s">
        <v>509</v>
      </c>
      <c r="B189" s="863">
        <v>8.99</v>
      </c>
      <c r="C189" s="863">
        <v>10.53</v>
      </c>
      <c r="D189" s="863">
        <v>6.67</v>
      </c>
      <c r="E189" s="863">
        <v>7.08</v>
      </c>
      <c r="F189" s="863">
        <v>8.2100000000000009</v>
      </c>
      <c r="G189" s="863">
        <v>8.68</v>
      </c>
      <c r="H189" s="863">
        <v>8.67</v>
      </c>
      <c r="I189" s="863">
        <v>8.7799999999999994</v>
      </c>
      <c r="J189" s="863">
        <v>9.07</v>
      </c>
      <c r="K189" s="863">
        <v>9.33</v>
      </c>
      <c r="L189" s="863">
        <v>9.5</v>
      </c>
      <c r="M189" s="863">
        <v>9.73</v>
      </c>
      <c r="N189" s="863">
        <v>9.98</v>
      </c>
      <c r="O189" s="863">
        <v>10.32</v>
      </c>
      <c r="P189" s="863">
        <v>10.67</v>
      </c>
      <c r="Q189" s="863">
        <v>11.14</v>
      </c>
      <c r="R189" s="863">
        <v>11.42</v>
      </c>
      <c r="S189" s="863">
        <v>11.55</v>
      </c>
      <c r="T189" s="863">
        <v>11.88</v>
      </c>
      <c r="U189" s="863">
        <v>12.31</v>
      </c>
      <c r="V189" s="863">
        <v>12.79</v>
      </c>
      <c r="W189" s="863">
        <v>13.39</v>
      </c>
      <c r="X189" s="863">
        <v>14.02</v>
      </c>
      <c r="Y189" s="863">
        <v>14.7</v>
      </c>
      <c r="Z189" s="863">
        <v>15.51</v>
      </c>
      <c r="AA189" s="863">
        <v>16.05</v>
      </c>
      <c r="AB189" s="863">
        <v>16.46</v>
      </c>
      <c r="AC189" s="863">
        <v>17.12</v>
      </c>
      <c r="AD189" s="863">
        <v>17.71</v>
      </c>
      <c r="AE189" s="900">
        <v>1.9E-2</v>
      </c>
      <c r="AF189" s="863"/>
      <c r="AG189" s="863"/>
      <c r="AH189" s="863"/>
      <c r="AI189" s="863"/>
      <c r="AJ189" s="863"/>
      <c r="AK189" s="863"/>
      <c r="AL189" s="863"/>
      <c r="AM189" s="863"/>
      <c r="AN189" s="863"/>
      <c r="AO189" s="863"/>
      <c r="AP189" s="863"/>
      <c r="AQ189" s="863"/>
      <c r="AR189" s="863"/>
      <c r="AS189" s="863"/>
      <c r="AT189" s="863"/>
      <c r="AU189" s="863"/>
      <c r="AV189" s="863"/>
      <c r="AW189" s="863"/>
      <c r="AX189" s="863"/>
      <c r="AY189" s="863"/>
      <c r="AZ189" s="863"/>
      <c r="BA189" s="863"/>
      <c r="BB189" s="863"/>
      <c r="BC189" s="863"/>
      <c r="BD189" s="863"/>
      <c r="BE189" s="863"/>
      <c r="BF189" s="863"/>
      <c r="BG189" s="863"/>
      <c r="BH189" s="863"/>
      <c r="BI189" s="863"/>
      <c r="BJ189" s="863"/>
      <c r="BK189" s="863"/>
      <c r="BL189" s="863"/>
      <c r="BM189" s="863"/>
      <c r="BN189" s="863"/>
      <c r="BO189" s="863"/>
      <c r="BP189" s="863"/>
      <c r="BQ189" s="863"/>
      <c r="BR189" s="863"/>
      <c r="BS189" s="863"/>
      <c r="BT189" s="863"/>
    </row>
    <row r="190" spans="1:72">
      <c r="A190" s="863" t="s">
        <v>613</v>
      </c>
      <c r="B190" s="863">
        <v>3.61</v>
      </c>
      <c r="C190" s="863">
        <v>4.49</v>
      </c>
      <c r="D190" s="863">
        <v>4.79</v>
      </c>
      <c r="E190" s="863">
        <v>4.9400000000000004</v>
      </c>
      <c r="F190" s="863">
        <v>5.07</v>
      </c>
      <c r="G190" s="863">
        <v>5.31</v>
      </c>
      <c r="H190" s="863">
        <v>5.44</v>
      </c>
      <c r="I190" s="863">
        <v>5.56</v>
      </c>
      <c r="J190" s="863">
        <v>5.66</v>
      </c>
      <c r="K190" s="863">
        <v>5.77</v>
      </c>
      <c r="L190" s="863">
        <v>5.97</v>
      </c>
      <c r="M190" s="863">
        <v>6.14</v>
      </c>
      <c r="N190" s="863">
        <v>6.34</v>
      </c>
      <c r="O190" s="863">
        <v>6.5</v>
      </c>
      <c r="P190" s="863">
        <v>6.68</v>
      </c>
      <c r="Q190" s="863">
        <v>6.84</v>
      </c>
      <c r="R190" s="863">
        <v>6.98</v>
      </c>
      <c r="S190" s="863">
        <v>7.07</v>
      </c>
      <c r="T190" s="863">
        <v>7.11</v>
      </c>
      <c r="U190" s="863">
        <v>7.15</v>
      </c>
      <c r="V190" s="863">
        <v>7.27</v>
      </c>
      <c r="W190" s="863">
        <v>7.43</v>
      </c>
      <c r="X190" s="863">
        <v>7.55</v>
      </c>
      <c r="Y190" s="863">
        <v>7.72</v>
      </c>
      <c r="Z190" s="863">
        <v>7.86</v>
      </c>
      <c r="AA190" s="863">
        <v>8.02</v>
      </c>
      <c r="AB190" s="863">
        <v>8.18</v>
      </c>
      <c r="AC190" s="863">
        <v>8.33</v>
      </c>
      <c r="AD190" s="863">
        <v>8.5</v>
      </c>
      <c r="AE190" s="900">
        <v>2.4E-2</v>
      </c>
      <c r="AF190" s="863"/>
      <c r="AG190" s="863"/>
      <c r="AH190" s="863"/>
      <c r="AI190" s="863"/>
      <c r="AJ190" s="863"/>
      <c r="AK190" s="863"/>
      <c r="AL190" s="863"/>
      <c r="AM190" s="863"/>
      <c r="AN190" s="863"/>
      <c r="AO190" s="863"/>
      <c r="AP190" s="863"/>
      <c r="AQ190" s="863"/>
      <c r="AR190" s="863"/>
      <c r="AS190" s="863"/>
      <c r="AT190" s="863"/>
      <c r="AU190" s="863"/>
      <c r="AV190" s="863"/>
      <c r="AW190" s="863"/>
      <c r="AX190" s="863"/>
      <c r="AY190" s="863"/>
      <c r="AZ190" s="863"/>
      <c r="BA190" s="863"/>
      <c r="BB190" s="863"/>
      <c r="BC190" s="863"/>
      <c r="BD190" s="863"/>
      <c r="BE190" s="863"/>
      <c r="BF190" s="863"/>
      <c r="BG190" s="863"/>
      <c r="BH190" s="863"/>
      <c r="BI190" s="863"/>
      <c r="BJ190" s="863"/>
      <c r="BK190" s="863"/>
      <c r="BL190" s="863"/>
      <c r="BM190" s="863"/>
      <c r="BN190" s="863"/>
      <c r="BO190" s="863"/>
      <c r="BP190" s="863"/>
      <c r="BQ190" s="863"/>
      <c r="BR190" s="863"/>
      <c r="BS190" s="863"/>
      <c r="BT190" s="863"/>
    </row>
    <row r="191" spans="1:72">
      <c r="A191" s="863" t="s">
        <v>626</v>
      </c>
      <c r="B191" s="863">
        <v>1.8</v>
      </c>
      <c r="C191" s="863">
        <v>2.1</v>
      </c>
      <c r="D191" s="863">
        <v>2.2200000000000002</v>
      </c>
      <c r="E191" s="863">
        <v>2.09</v>
      </c>
      <c r="F191" s="863">
        <v>2.11</v>
      </c>
      <c r="G191" s="863">
        <v>2.14</v>
      </c>
      <c r="H191" s="863">
        <v>2.19</v>
      </c>
      <c r="I191" s="863">
        <v>2.23</v>
      </c>
      <c r="J191" s="863">
        <v>2.2799999999999998</v>
      </c>
      <c r="K191" s="863">
        <v>2.2999999999999998</v>
      </c>
      <c r="L191" s="863">
        <v>2.35</v>
      </c>
      <c r="M191" s="863">
        <v>2.39</v>
      </c>
      <c r="N191" s="863">
        <v>2.4300000000000002</v>
      </c>
      <c r="O191" s="863">
        <v>2.4700000000000002</v>
      </c>
      <c r="P191" s="863">
        <v>2.52</v>
      </c>
      <c r="Q191" s="863">
        <v>2.58</v>
      </c>
      <c r="R191" s="863">
        <v>2.64</v>
      </c>
      <c r="S191" s="863">
        <v>2.69</v>
      </c>
      <c r="T191" s="863">
        <v>2.74</v>
      </c>
      <c r="U191" s="863">
        <v>2.81</v>
      </c>
      <c r="V191" s="863">
        <v>2.87</v>
      </c>
      <c r="W191" s="863">
        <v>2.95</v>
      </c>
      <c r="X191" s="863">
        <v>3.03</v>
      </c>
      <c r="Y191" s="863">
        <v>3.11</v>
      </c>
      <c r="Z191" s="863">
        <v>3.2</v>
      </c>
      <c r="AA191" s="863">
        <v>3.28</v>
      </c>
      <c r="AB191" s="863">
        <v>3.37</v>
      </c>
      <c r="AC191" s="863">
        <v>3.46</v>
      </c>
      <c r="AD191" s="863">
        <v>3.56</v>
      </c>
      <c r="AE191" s="900">
        <v>0.02</v>
      </c>
      <c r="AF191" s="863"/>
      <c r="AG191" s="863"/>
      <c r="AH191" s="863"/>
      <c r="AI191" s="863"/>
      <c r="AJ191" s="863"/>
      <c r="AK191" s="863"/>
      <c r="AL191" s="863"/>
      <c r="AM191" s="863"/>
      <c r="AN191" s="863"/>
      <c r="AO191" s="863"/>
      <c r="AP191" s="863"/>
      <c r="AQ191" s="863"/>
      <c r="AR191" s="863"/>
      <c r="AS191" s="863"/>
      <c r="AT191" s="863"/>
      <c r="AU191" s="863"/>
      <c r="AV191" s="863"/>
      <c r="AW191" s="863"/>
      <c r="AX191" s="863"/>
      <c r="AY191" s="863"/>
      <c r="AZ191" s="863"/>
      <c r="BA191" s="863"/>
      <c r="BB191" s="863"/>
      <c r="BC191" s="863"/>
      <c r="BD191" s="863"/>
      <c r="BE191" s="863"/>
      <c r="BF191" s="863"/>
      <c r="BG191" s="863"/>
      <c r="BH191" s="863"/>
      <c r="BI191" s="863"/>
      <c r="BJ191" s="863"/>
      <c r="BK191" s="863"/>
      <c r="BL191" s="863"/>
      <c r="BM191" s="863"/>
      <c r="BN191" s="863"/>
      <c r="BO191" s="863"/>
      <c r="BP191" s="863"/>
      <c r="BQ191" s="863"/>
      <c r="BR191" s="863"/>
      <c r="BS191" s="863"/>
      <c r="BT191" s="863"/>
    </row>
    <row r="192" spans="1:72">
      <c r="A192" s="863" t="s">
        <v>615</v>
      </c>
      <c r="B192" s="863" t="s">
        <v>787</v>
      </c>
      <c r="C192" s="863" t="s">
        <v>787</v>
      </c>
      <c r="D192" s="863" t="s">
        <v>787</v>
      </c>
      <c r="E192" s="863" t="s">
        <v>787</v>
      </c>
      <c r="F192" s="863">
        <v>1.32</v>
      </c>
      <c r="G192" s="863">
        <v>1.1000000000000001</v>
      </c>
      <c r="H192" s="863">
        <v>1.1200000000000001</v>
      </c>
      <c r="I192" s="863">
        <v>1.55</v>
      </c>
      <c r="J192" s="863">
        <v>1.58</v>
      </c>
      <c r="K192" s="863">
        <v>1.65</v>
      </c>
      <c r="L192" s="863">
        <v>1.72</v>
      </c>
      <c r="M192" s="863">
        <v>1.74</v>
      </c>
      <c r="N192" s="863">
        <v>1.76</v>
      </c>
      <c r="O192" s="863">
        <v>1.79</v>
      </c>
      <c r="P192" s="863">
        <v>1.86</v>
      </c>
      <c r="Q192" s="863">
        <v>1.91</v>
      </c>
      <c r="R192" s="863">
        <v>1.98</v>
      </c>
      <c r="S192" s="863">
        <v>1.99</v>
      </c>
      <c r="T192" s="863">
        <v>2.02</v>
      </c>
      <c r="U192" s="863">
        <v>2.04</v>
      </c>
      <c r="V192" s="863">
        <v>2.0699999999999998</v>
      </c>
      <c r="W192" s="863">
        <v>2.1</v>
      </c>
      <c r="X192" s="863">
        <v>2.13</v>
      </c>
      <c r="Y192" s="863">
        <v>2.1800000000000002</v>
      </c>
      <c r="Z192" s="863">
        <v>2.2200000000000002</v>
      </c>
      <c r="AA192" s="863">
        <v>2.2799999999999998</v>
      </c>
      <c r="AB192" s="863">
        <v>2.35</v>
      </c>
      <c r="AC192" s="863">
        <v>2.44</v>
      </c>
      <c r="AD192" s="863">
        <v>2.5299999999999998</v>
      </c>
      <c r="AE192" s="863" t="s">
        <v>787</v>
      </c>
      <c r="AF192" s="863"/>
      <c r="AG192" s="863"/>
      <c r="AH192" s="863"/>
      <c r="AI192" s="863"/>
      <c r="AJ192" s="863"/>
      <c r="AK192" s="863"/>
      <c r="AL192" s="863"/>
      <c r="AM192" s="863"/>
      <c r="AN192" s="863"/>
      <c r="AO192" s="863"/>
      <c r="AP192" s="863"/>
      <c r="AQ192" s="863"/>
      <c r="AR192" s="863"/>
      <c r="AS192" s="863"/>
      <c r="AT192" s="863"/>
      <c r="AU192" s="863"/>
      <c r="AV192" s="863"/>
      <c r="AW192" s="863"/>
      <c r="AX192" s="863"/>
      <c r="AY192" s="863"/>
      <c r="AZ192" s="863"/>
      <c r="BA192" s="863"/>
      <c r="BB192" s="863"/>
      <c r="BC192" s="863"/>
      <c r="BD192" s="863"/>
      <c r="BE192" s="863"/>
      <c r="BF192" s="863"/>
      <c r="BG192" s="863"/>
      <c r="BH192" s="863"/>
      <c r="BI192" s="863"/>
      <c r="BJ192" s="863"/>
      <c r="BK192" s="863"/>
      <c r="BL192" s="863"/>
      <c r="BM192" s="863"/>
      <c r="BN192" s="863"/>
      <c r="BO192" s="863"/>
      <c r="BP192" s="863"/>
      <c r="BQ192" s="863"/>
      <c r="BR192" s="863"/>
      <c r="BS192" s="863"/>
      <c r="BT192" s="863"/>
    </row>
    <row r="193" spans="1:72">
      <c r="A193" s="863" t="s">
        <v>478</v>
      </c>
      <c r="B193" s="863">
        <v>26.66</v>
      </c>
      <c r="C193" s="863">
        <v>28.81</v>
      </c>
      <c r="D193" s="863">
        <v>28.5</v>
      </c>
      <c r="E193" s="863">
        <v>27.58</v>
      </c>
      <c r="F193" s="863">
        <v>26.29</v>
      </c>
      <c r="G193" s="863">
        <v>27.63</v>
      </c>
      <c r="H193" s="863">
        <v>28.19</v>
      </c>
      <c r="I193" s="863">
        <v>28.46</v>
      </c>
      <c r="J193" s="863">
        <v>28.92</v>
      </c>
      <c r="K193" s="863">
        <v>29.72</v>
      </c>
      <c r="L193" s="863">
        <v>30.45</v>
      </c>
      <c r="M193" s="863">
        <v>31.03</v>
      </c>
      <c r="N193" s="863">
        <v>31.53</v>
      </c>
      <c r="O193" s="863">
        <v>32.4</v>
      </c>
      <c r="P193" s="863">
        <v>33.33</v>
      </c>
      <c r="Q193" s="863">
        <v>34.229999999999997</v>
      </c>
      <c r="R193" s="863">
        <v>35.22</v>
      </c>
      <c r="S193" s="863">
        <v>36.159999999999997</v>
      </c>
      <c r="T193" s="863">
        <v>36.869999999999997</v>
      </c>
      <c r="U193" s="863">
        <v>37.86</v>
      </c>
      <c r="V193" s="863">
        <v>38.94</v>
      </c>
      <c r="W193" s="863">
        <v>40.090000000000003</v>
      </c>
      <c r="X193" s="863">
        <v>41.58</v>
      </c>
      <c r="Y193" s="863">
        <v>43</v>
      </c>
      <c r="Z193" s="863">
        <v>44.53</v>
      </c>
      <c r="AA193" s="863">
        <v>46.07</v>
      </c>
      <c r="AB193" s="863">
        <v>47.34</v>
      </c>
      <c r="AC193" s="863">
        <v>48.78</v>
      </c>
      <c r="AD193" s="863">
        <v>50.19</v>
      </c>
      <c r="AE193" s="900">
        <v>2.1000000000000001E-2</v>
      </c>
      <c r="AF193" s="863"/>
      <c r="AG193" s="863"/>
      <c r="AH193" s="863"/>
      <c r="AI193" s="863"/>
      <c r="AJ193" s="863"/>
      <c r="AK193" s="863"/>
      <c r="AL193" s="863"/>
      <c r="AM193" s="863"/>
      <c r="AN193" s="863"/>
      <c r="AO193" s="863"/>
      <c r="AP193" s="863"/>
      <c r="AQ193" s="863"/>
      <c r="AR193" s="863"/>
      <c r="AS193" s="863"/>
      <c r="AT193" s="863"/>
      <c r="AU193" s="863"/>
      <c r="AV193" s="863"/>
      <c r="AW193" s="863"/>
      <c r="AX193" s="863"/>
      <c r="AY193" s="863"/>
      <c r="AZ193" s="863"/>
      <c r="BA193" s="863"/>
      <c r="BB193" s="863"/>
      <c r="BC193" s="863"/>
      <c r="BD193" s="863"/>
      <c r="BE193" s="863"/>
      <c r="BF193" s="863"/>
      <c r="BG193" s="863"/>
      <c r="BH193" s="863"/>
      <c r="BI193" s="863"/>
      <c r="BJ193" s="863"/>
      <c r="BK193" s="863"/>
      <c r="BL193" s="863"/>
      <c r="BM193" s="863"/>
      <c r="BN193" s="863"/>
      <c r="BO193" s="863"/>
      <c r="BP193" s="863"/>
      <c r="BQ193" s="863"/>
      <c r="BR193" s="863"/>
      <c r="BS193" s="863"/>
      <c r="BT193" s="863"/>
    </row>
    <row r="194" spans="1:72">
      <c r="A194" s="863"/>
      <c r="B194" s="863"/>
      <c r="C194" s="863"/>
      <c r="D194" s="863"/>
      <c r="E194" s="863"/>
      <c r="F194" s="863"/>
      <c r="G194" s="863"/>
      <c r="H194" s="863"/>
      <c r="I194" s="863"/>
      <c r="J194" s="863"/>
      <c r="K194" s="863"/>
      <c r="L194" s="863"/>
      <c r="M194" s="863"/>
      <c r="N194" s="863"/>
      <c r="O194" s="863"/>
      <c r="P194" s="863"/>
      <c r="Q194" s="863"/>
      <c r="R194" s="863"/>
      <c r="S194" s="863"/>
      <c r="T194" s="863"/>
      <c r="U194" s="863"/>
      <c r="V194" s="863"/>
      <c r="W194" s="863"/>
      <c r="X194" s="863"/>
      <c r="Y194" s="863"/>
      <c r="Z194" s="863"/>
      <c r="AA194" s="863"/>
      <c r="AB194" s="863"/>
      <c r="AC194" s="863"/>
      <c r="AD194" s="863"/>
      <c r="AE194" s="863"/>
      <c r="AF194" s="863"/>
      <c r="AG194" s="863"/>
      <c r="AH194" s="863"/>
      <c r="AI194" s="863"/>
      <c r="AJ194" s="863"/>
      <c r="AK194" s="863"/>
      <c r="AL194" s="863"/>
      <c r="AM194" s="863"/>
      <c r="AN194" s="863"/>
      <c r="AO194" s="863"/>
      <c r="AP194" s="863"/>
      <c r="AQ194" s="863"/>
      <c r="AR194" s="863"/>
      <c r="AS194" s="863"/>
      <c r="AT194" s="863"/>
      <c r="AU194" s="863"/>
      <c r="AV194" s="863"/>
      <c r="AW194" s="863"/>
      <c r="AX194" s="863"/>
      <c r="AY194" s="863"/>
      <c r="AZ194" s="863"/>
      <c r="BA194" s="863"/>
      <c r="BB194" s="863"/>
      <c r="BC194" s="863"/>
      <c r="BD194" s="863"/>
      <c r="BE194" s="863"/>
      <c r="BF194" s="863"/>
      <c r="BG194" s="863"/>
      <c r="BH194" s="863"/>
      <c r="BI194" s="863"/>
      <c r="BJ194" s="863"/>
      <c r="BK194" s="863"/>
      <c r="BL194" s="863"/>
      <c r="BM194" s="863"/>
      <c r="BN194" s="863"/>
      <c r="BO194" s="863"/>
      <c r="BP194" s="863"/>
      <c r="BQ194" s="863"/>
      <c r="BR194" s="863"/>
      <c r="BS194" s="863"/>
      <c r="BT194" s="863"/>
    </row>
    <row r="195" spans="1:72">
      <c r="A195" s="863" t="s">
        <v>512</v>
      </c>
      <c r="B195" s="863"/>
      <c r="C195" s="863"/>
      <c r="D195" s="863"/>
      <c r="E195" s="863"/>
      <c r="F195" s="863"/>
      <c r="G195" s="863"/>
      <c r="H195" s="863"/>
      <c r="I195" s="863"/>
      <c r="J195" s="863"/>
      <c r="K195" s="863"/>
      <c r="L195" s="863"/>
      <c r="M195" s="863"/>
      <c r="N195" s="863"/>
      <c r="O195" s="863"/>
      <c r="P195" s="863"/>
      <c r="Q195" s="863"/>
      <c r="R195" s="863"/>
      <c r="S195" s="863"/>
      <c r="T195" s="863"/>
      <c r="U195" s="863"/>
      <c r="V195" s="863"/>
      <c r="W195" s="863"/>
      <c r="X195" s="863"/>
      <c r="Y195" s="863"/>
      <c r="Z195" s="863"/>
      <c r="AA195" s="863"/>
      <c r="AB195" s="863"/>
      <c r="AC195" s="863"/>
      <c r="AD195" s="863"/>
      <c r="AE195" s="863"/>
      <c r="AF195" s="863"/>
      <c r="AG195" s="863"/>
      <c r="AH195" s="863"/>
      <c r="AI195" s="863"/>
      <c r="AJ195" s="863"/>
      <c r="AK195" s="863"/>
      <c r="AL195" s="863"/>
      <c r="AM195" s="863"/>
      <c r="AN195" s="863"/>
      <c r="AO195" s="863"/>
      <c r="AP195" s="863"/>
      <c r="AQ195" s="863"/>
      <c r="AR195" s="863"/>
      <c r="AS195" s="863"/>
      <c r="AT195" s="863"/>
      <c r="AU195" s="863"/>
      <c r="AV195" s="863"/>
      <c r="AW195" s="863"/>
      <c r="AX195" s="863"/>
      <c r="AY195" s="863"/>
      <c r="AZ195" s="863"/>
      <c r="BA195" s="863"/>
      <c r="BB195" s="863"/>
      <c r="BC195" s="863"/>
      <c r="BD195" s="863"/>
      <c r="BE195" s="863"/>
      <c r="BF195" s="863"/>
      <c r="BG195" s="863"/>
      <c r="BH195" s="863"/>
      <c r="BI195" s="863"/>
      <c r="BJ195" s="863"/>
      <c r="BK195" s="863"/>
      <c r="BL195" s="863"/>
      <c r="BM195" s="863"/>
      <c r="BN195" s="863"/>
      <c r="BO195" s="863"/>
      <c r="BP195" s="863"/>
      <c r="BQ195" s="863"/>
      <c r="BR195" s="863"/>
      <c r="BS195" s="863"/>
      <c r="BT195" s="863"/>
    </row>
    <row r="196" spans="1:72">
      <c r="A196" s="863" t="s">
        <v>726</v>
      </c>
      <c r="B196" s="863"/>
      <c r="C196" s="863"/>
      <c r="D196" s="863"/>
      <c r="E196" s="863"/>
      <c r="F196" s="863"/>
      <c r="G196" s="863"/>
      <c r="H196" s="863"/>
      <c r="I196" s="863"/>
      <c r="J196" s="863"/>
      <c r="K196" s="863"/>
      <c r="L196" s="863"/>
      <c r="M196" s="863"/>
      <c r="N196" s="863"/>
      <c r="O196" s="863"/>
      <c r="P196" s="863"/>
      <c r="Q196" s="863"/>
      <c r="R196" s="863"/>
      <c r="S196" s="863"/>
      <c r="T196" s="863"/>
      <c r="U196" s="863"/>
      <c r="V196" s="863"/>
      <c r="W196" s="863"/>
      <c r="X196" s="863"/>
      <c r="Y196" s="863"/>
      <c r="Z196" s="863"/>
      <c r="AA196" s="863"/>
      <c r="AB196" s="863"/>
      <c r="AC196" s="863"/>
      <c r="AD196" s="863"/>
      <c r="AE196" s="863"/>
      <c r="AF196" s="863"/>
      <c r="AG196" s="863"/>
      <c r="AH196" s="863"/>
      <c r="AI196" s="863"/>
      <c r="AJ196" s="863"/>
      <c r="AK196" s="863"/>
      <c r="AL196" s="863"/>
      <c r="AM196" s="863"/>
      <c r="AN196" s="863"/>
      <c r="AO196" s="863"/>
      <c r="AP196" s="863"/>
      <c r="AQ196" s="863"/>
      <c r="AR196" s="863"/>
      <c r="AS196" s="863"/>
      <c r="AT196" s="863"/>
      <c r="AU196" s="863"/>
      <c r="AV196" s="863"/>
      <c r="AW196" s="863"/>
      <c r="AX196" s="863"/>
      <c r="AY196" s="863"/>
      <c r="AZ196" s="863"/>
      <c r="BA196" s="863"/>
      <c r="BB196" s="863"/>
      <c r="BC196" s="863"/>
      <c r="BD196" s="863"/>
      <c r="BE196" s="863"/>
      <c r="BF196" s="863"/>
      <c r="BG196" s="863"/>
      <c r="BH196" s="863"/>
      <c r="BI196" s="863"/>
      <c r="BJ196" s="863"/>
      <c r="BK196" s="863"/>
      <c r="BL196" s="863"/>
      <c r="BM196" s="863"/>
      <c r="BN196" s="863"/>
      <c r="BO196" s="863"/>
      <c r="BP196" s="863"/>
      <c r="BQ196" s="863"/>
      <c r="BR196" s="863"/>
      <c r="BS196" s="863"/>
      <c r="BT196" s="863"/>
    </row>
    <row r="197" spans="1:72">
      <c r="A197" s="863" t="s">
        <v>472</v>
      </c>
      <c r="B197" s="863">
        <v>236.38</v>
      </c>
      <c r="C197" s="863">
        <v>254.66</v>
      </c>
      <c r="D197" s="863">
        <v>235.17</v>
      </c>
      <c r="E197" s="863">
        <v>230.51</v>
      </c>
      <c r="F197" s="863">
        <v>232.31</v>
      </c>
      <c r="G197" s="863">
        <v>244.12</v>
      </c>
      <c r="H197" s="863">
        <v>246.57</v>
      </c>
      <c r="I197" s="863">
        <v>251.37</v>
      </c>
      <c r="J197" s="863">
        <v>257.29000000000002</v>
      </c>
      <c r="K197" s="863">
        <v>266.02999999999997</v>
      </c>
      <c r="L197" s="863">
        <v>273.52999999999997</v>
      </c>
      <c r="M197" s="863">
        <v>281.39999999999998</v>
      </c>
      <c r="N197" s="863">
        <v>289.27</v>
      </c>
      <c r="O197" s="863">
        <v>299.58999999999997</v>
      </c>
      <c r="P197" s="863">
        <v>309.45</v>
      </c>
      <c r="Q197" s="863">
        <v>320.3</v>
      </c>
      <c r="R197" s="863">
        <v>330.83</v>
      </c>
      <c r="S197" s="863">
        <v>341.36</v>
      </c>
      <c r="T197" s="863">
        <v>351.09</v>
      </c>
      <c r="U197" s="863">
        <v>363.72</v>
      </c>
      <c r="V197" s="863">
        <v>377.1</v>
      </c>
      <c r="W197" s="863">
        <v>392.03</v>
      </c>
      <c r="X197" s="863">
        <v>407.27</v>
      </c>
      <c r="Y197" s="863">
        <v>423.22</v>
      </c>
      <c r="Z197" s="863">
        <v>441.01</v>
      </c>
      <c r="AA197" s="863">
        <v>458.4</v>
      </c>
      <c r="AB197" s="863">
        <v>471.99</v>
      </c>
      <c r="AC197" s="863">
        <v>489.06</v>
      </c>
      <c r="AD197" s="863">
        <v>506.03</v>
      </c>
      <c r="AE197" s="900">
        <v>2.5999999999999999E-2</v>
      </c>
      <c r="AF197" s="863"/>
      <c r="AG197" s="863"/>
      <c r="AH197" s="863"/>
      <c r="AI197" s="863"/>
      <c r="AJ197" s="863"/>
      <c r="AK197" s="863"/>
      <c r="AL197" s="863"/>
      <c r="AM197" s="863"/>
      <c r="AN197" s="863"/>
      <c r="AO197" s="863"/>
      <c r="AP197" s="863"/>
      <c r="AQ197" s="863"/>
      <c r="AR197" s="863"/>
      <c r="AS197" s="863"/>
      <c r="AT197" s="863"/>
      <c r="AU197" s="863"/>
      <c r="AV197" s="863"/>
      <c r="AW197" s="863"/>
      <c r="AX197" s="863"/>
      <c r="AY197" s="863"/>
      <c r="AZ197" s="863"/>
      <c r="BA197" s="863"/>
      <c r="BB197" s="863"/>
      <c r="BC197" s="863"/>
      <c r="BD197" s="863"/>
      <c r="BE197" s="863"/>
      <c r="BF197" s="863"/>
      <c r="BG197" s="863"/>
      <c r="BH197" s="863"/>
      <c r="BI197" s="863"/>
      <c r="BJ197" s="863"/>
      <c r="BK197" s="863"/>
      <c r="BL197" s="863"/>
      <c r="BM197" s="863"/>
      <c r="BN197" s="863"/>
      <c r="BO197" s="863"/>
      <c r="BP197" s="863"/>
      <c r="BQ197" s="863"/>
      <c r="BR197" s="863"/>
      <c r="BS197" s="863"/>
      <c r="BT197" s="863"/>
    </row>
    <row r="198" spans="1:72">
      <c r="A198" s="863" t="s">
        <v>479</v>
      </c>
      <c r="B198" s="863">
        <v>172.75</v>
      </c>
      <c r="C198" s="863">
        <v>191.19</v>
      </c>
      <c r="D198" s="863">
        <v>171.27</v>
      </c>
      <c r="E198" s="863">
        <v>168.36</v>
      </c>
      <c r="F198" s="863">
        <v>170.83</v>
      </c>
      <c r="G198" s="863">
        <v>182.74</v>
      </c>
      <c r="H198" s="863">
        <v>187.26</v>
      </c>
      <c r="I198" s="863">
        <v>190.86</v>
      </c>
      <c r="J198" s="863">
        <v>197.13</v>
      </c>
      <c r="K198" s="863">
        <v>205.11</v>
      </c>
      <c r="L198" s="863">
        <v>212.7</v>
      </c>
      <c r="M198" s="863">
        <v>219.88</v>
      </c>
      <c r="N198" s="863">
        <v>226.94</v>
      </c>
      <c r="O198" s="863">
        <v>236.05</v>
      </c>
      <c r="P198" s="863">
        <v>245.65</v>
      </c>
      <c r="Q198" s="863">
        <v>255.58</v>
      </c>
      <c r="R198" s="863">
        <v>265.91000000000003</v>
      </c>
      <c r="S198" s="863">
        <v>275.66000000000003</v>
      </c>
      <c r="T198" s="863">
        <v>285.08999999999997</v>
      </c>
      <c r="U198" s="863">
        <v>296.79000000000002</v>
      </c>
      <c r="V198" s="863">
        <v>309.27</v>
      </c>
      <c r="W198" s="863">
        <v>322.77</v>
      </c>
      <c r="X198" s="863">
        <v>338.69</v>
      </c>
      <c r="Y198" s="863">
        <v>354.37</v>
      </c>
      <c r="Z198" s="863">
        <v>371.75</v>
      </c>
      <c r="AA198" s="863">
        <v>388.64</v>
      </c>
      <c r="AB198" s="863">
        <v>403.84</v>
      </c>
      <c r="AC198" s="863">
        <v>421.34</v>
      </c>
      <c r="AD198" s="863">
        <v>438.74</v>
      </c>
      <c r="AE198" s="900">
        <v>3.1E-2</v>
      </c>
      <c r="AF198" s="863"/>
      <c r="AG198" s="863"/>
      <c r="AH198" s="863"/>
      <c r="AI198" s="863"/>
      <c r="AJ198" s="863"/>
      <c r="AK198" s="863"/>
      <c r="AL198" s="863"/>
      <c r="AM198" s="863"/>
      <c r="AN198" s="863"/>
      <c r="AO198" s="863"/>
      <c r="AP198" s="863"/>
      <c r="AQ198" s="863"/>
      <c r="AR198" s="863"/>
      <c r="AS198" s="863"/>
      <c r="AT198" s="863"/>
      <c r="AU198" s="863"/>
      <c r="AV198" s="863"/>
      <c r="AW198" s="863"/>
      <c r="AX198" s="863"/>
      <c r="AY198" s="863"/>
      <c r="AZ198" s="863"/>
      <c r="BA198" s="863"/>
      <c r="BB198" s="863"/>
      <c r="BC198" s="863"/>
      <c r="BD198" s="863"/>
      <c r="BE198" s="863"/>
      <c r="BF198" s="863"/>
      <c r="BG198" s="863"/>
      <c r="BH198" s="863"/>
      <c r="BI198" s="863"/>
      <c r="BJ198" s="863"/>
      <c r="BK198" s="863"/>
      <c r="BL198" s="863"/>
      <c r="BM198" s="863"/>
      <c r="BN198" s="863"/>
      <c r="BO198" s="863"/>
      <c r="BP198" s="863"/>
      <c r="BQ198" s="863"/>
      <c r="BR198" s="863"/>
      <c r="BS198" s="863"/>
      <c r="BT198" s="863"/>
    </row>
    <row r="199" spans="1:72">
      <c r="A199" s="863" t="s">
        <v>514</v>
      </c>
      <c r="B199" s="863">
        <v>214.89</v>
      </c>
      <c r="C199" s="863">
        <v>244.81</v>
      </c>
      <c r="D199" s="863">
        <v>178.09</v>
      </c>
      <c r="E199" s="863">
        <v>168.16</v>
      </c>
      <c r="F199" s="863">
        <v>181.07</v>
      </c>
      <c r="G199" s="863">
        <v>202.87</v>
      </c>
      <c r="H199" s="863">
        <v>217.07</v>
      </c>
      <c r="I199" s="863">
        <v>227.35</v>
      </c>
      <c r="J199" s="863">
        <v>237.51</v>
      </c>
      <c r="K199" s="863">
        <v>248.26</v>
      </c>
      <c r="L199" s="863">
        <v>257.8</v>
      </c>
      <c r="M199" s="863">
        <v>268.36</v>
      </c>
      <c r="N199" s="863">
        <v>277.25</v>
      </c>
      <c r="O199" s="863">
        <v>287.02999999999997</v>
      </c>
      <c r="P199" s="863">
        <v>295.06</v>
      </c>
      <c r="Q199" s="863">
        <v>303.12</v>
      </c>
      <c r="R199" s="863">
        <v>311.48</v>
      </c>
      <c r="S199" s="863">
        <v>319.60000000000002</v>
      </c>
      <c r="T199" s="863">
        <v>328.09</v>
      </c>
      <c r="U199" s="863">
        <v>336.58</v>
      </c>
      <c r="V199" s="863">
        <v>346.81</v>
      </c>
      <c r="W199" s="863">
        <v>357.93</v>
      </c>
      <c r="X199" s="863">
        <v>370.58</v>
      </c>
      <c r="Y199" s="863">
        <v>382.62</v>
      </c>
      <c r="Z199" s="863">
        <v>397.61</v>
      </c>
      <c r="AA199" s="863">
        <v>409.44</v>
      </c>
      <c r="AB199" s="863">
        <v>421.52</v>
      </c>
      <c r="AC199" s="863">
        <v>436.23</v>
      </c>
      <c r="AD199" s="863">
        <v>449</v>
      </c>
      <c r="AE199" s="900">
        <v>2.3E-2</v>
      </c>
      <c r="AF199" s="863"/>
      <c r="AG199" s="863"/>
      <c r="AH199" s="863"/>
      <c r="AI199" s="863"/>
      <c r="AJ199" s="863"/>
      <c r="AK199" s="863"/>
      <c r="AL199" s="863"/>
      <c r="AM199" s="863"/>
      <c r="AN199" s="863"/>
      <c r="AO199" s="863"/>
      <c r="AP199" s="863"/>
      <c r="AQ199" s="863"/>
      <c r="AR199" s="863"/>
      <c r="AS199" s="863"/>
      <c r="AT199" s="863"/>
      <c r="AU199" s="863"/>
      <c r="AV199" s="863"/>
      <c r="AW199" s="863"/>
      <c r="AX199" s="863"/>
      <c r="AY199" s="863"/>
      <c r="AZ199" s="863"/>
      <c r="BA199" s="863"/>
      <c r="BB199" s="863"/>
      <c r="BC199" s="863"/>
      <c r="BD199" s="863"/>
      <c r="BE199" s="863"/>
      <c r="BF199" s="863"/>
      <c r="BG199" s="863"/>
      <c r="BH199" s="863"/>
      <c r="BI199" s="863"/>
      <c r="BJ199" s="863"/>
      <c r="BK199" s="863"/>
      <c r="BL199" s="863"/>
      <c r="BM199" s="863"/>
      <c r="BN199" s="863"/>
      <c r="BO199" s="863"/>
      <c r="BP199" s="863"/>
      <c r="BQ199" s="863"/>
      <c r="BR199" s="863"/>
      <c r="BS199" s="863"/>
      <c r="BT199" s="863"/>
    </row>
    <row r="200" spans="1:72">
      <c r="A200" s="863" t="s">
        <v>486</v>
      </c>
      <c r="B200" s="863">
        <v>599.94000000000005</v>
      </c>
      <c r="C200" s="863">
        <v>705.86</v>
      </c>
      <c r="D200" s="863">
        <v>472.76</v>
      </c>
      <c r="E200" s="863">
        <v>523.54</v>
      </c>
      <c r="F200" s="863">
        <v>551.54</v>
      </c>
      <c r="G200" s="863">
        <v>600.52</v>
      </c>
      <c r="H200" s="863">
        <v>663.3</v>
      </c>
      <c r="I200" s="863">
        <v>702.29</v>
      </c>
      <c r="J200" s="863">
        <v>730.78</v>
      </c>
      <c r="K200" s="863">
        <v>762.17</v>
      </c>
      <c r="L200" s="863">
        <v>797.53</v>
      </c>
      <c r="M200" s="863">
        <v>828.81</v>
      </c>
      <c r="N200" s="863">
        <v>859.4</v>
      </c>
      <c r="O200" s="863">
        <v>891.87</v>
      </c>
      <c r="P200" s="863">
        <v>920.68</v>
      </c>
      <c r="Q200" s="863">
        <v>948.26</v>
      </c>
      <c r="R200" s="863">
        <v>986.59</v>
      </c>
      <c r="S200" s="863">
        <v>1021.27</v>
      </c>
      <c r="T200" s="863">
        <v>1062.24</v>
      </c>
      <c r="U200" s="863">
        <v>1101.69</v>
      </c>
      <c r="V200" s="863">
        <v>1143.03</v>
      </c>
      <c r="W200" s="863">
        <v>1188</v>
      </c>
      <c r="X200" s="863">
        <v>1232.23</v>
      </c>
      <c r="Y200" s="863">
        <v>1277.8499999999999</v>
      </c>
      <c r="Z200" s="863">
        <v>1321.12</v>
      </c>
      <c r="AA200" s="863">
        <v>1371.03</v>
      </c>
      <c r="AB200" s="863">
        <v>1423.78</v>
      </c>
      <c r="AC200" s="863">
        <v>1471.43</v>
      </c>
      <c r="AD200" s="863">
        <v>1525.95</v>
      </c>
      <c r="AE200" s="900">
        <v>2.9000000000000001E-2</v>
      </c>
      <c r="AF200" s="863"/>
      <c r="AG200" s="863"/>
      <c r="AH200" s="863"/>
      <c r="AI200" s="863"/>
      <c r="AJ200" s="863"/>
      <c r="AK200" s="863"/>
      <c r="AL200" s="863"/>
      <c r="AM200" s="863"/>
      <c r="AN200" s="863"/>
      <c r="AO200" s="863"/>
      <c r="AP200" s="863"/>
      <c r="AQ200" s="863"/>
      <c r="AR200" s="863"/>
      <c r="AS200" s="863"/>
      <c r="AT200" s="863"/>
      <c r="AU200" s="863"/>
      <c r="AV200" s="863"/>
      <c r="AW200" s="863"/>
      <c r="AX200" s="863"/>
      <c r="AY200" s="863"/>
      <c r="AZ200" s="863"/>
      <c r="BA200" s="863"/>
      <c r="BB200" s="863"/>
      <c r="BC200" s="863"/>
      <c r="BD200" s="863"/>
      <c r="BE200" s="863"/>
      <c r="BF200" s="863"/>
      <c r="BG200" s="863"/>
      <c r="BH200" s="863"/>
      <c r="BI200" s="863"/>
      <c r="BJ200" s="863"/>
      <c r="BK200" s="863"/>
      <c r="BL200" s="863"/>
      <c r="BM200" s="863"/>
      <c r="BN200" s="863"/>
      <c r="BO200" s="863"/>
      <c r="BP200" s="863"/>
      <c r="BQ200" s="863"/>
      <c r="BR200" s="863"/>
      <c r="BS200" s="863"/>
      <c r="BT200" s="863"/>
    </row>
    <row r="201" spans="1:72">
      <c r="A201" s="863" t="s">
        <v>515</v>
      </c>
      <c r="B201" s="863">
        <v>1223.96</v>
      </c>
      <c r="C201" s="863">
        <v>1396.52</v>
      </c>
      <c r="D201" s="863">
        <v>1057.29</v>
      </c>
      <c r="E201" s="863">
        <v>1090.58</v>
      </c>
      <c r="F201" s="863">
        <v>1135.76</v>
      </c>
      <c r="G201" s="863">
        <v>1230.25</v>
      </c>
      <c r="H201" s="863">
        <v>1314.19</v>
      </c>
      <c r="I201" s="863">
        <v>1371.86</v>
      </c>
      <c r="J201" s="863">
        <v>1422.72</v>
      </c>
      <c r="K201" s="863">
        <v>1481.57</v>
      </c>
      <c r="L201" s="863">
        <v>1541.56</v>
      </c>
      <c r="M201" s="863">
        <v>1598.45</v>
      </c>
      <c r="N201" s="863">
        <v>1652.86</v>
      </c>
      <c r="O201" s="863">
        <v>1714.54</v>
      </c>
      <c r="P201" s="863">
        <v>1770.84</v>
      </c>
      <c r="Q201" s="863">
        <v>1827.25</v>
      </c>
      <c r="R201" s="863">
        <v>1894.81</v>
      </c>
      <c r="S201" s="863">
        <v>1957.89</v>
      </c>
      <c r="T201" s="863">
        <v>2026.51</v>
      </c>
      <c r="U201" s="863">
        <v>2098.7800000000002</v>
      </c>
      <c r="V201" s="863">
        <v>2176.1999999999998</v>
      </c>
      <c r="W201" s="863">
        <v>2260.73</v>
      </c>
      <c r="X201" s="863">
        <v>2348.7600000000002</v>
      </c>
      <c r="Y201" s="863">
        <v>2438.06</v>
      </c>
      <c r="Z201" s="863">
        <v>2531.5</v>
      </c>
      <c r="AA201" s="863">
        <v>2627.51</v>
      </c>
      <c r="AB201" s="863">
        <v>2721.14</v>
      </c>
      <c r="AC201" s="863">
        <v>2818.06</v>
      </c>
      <c r="AD201" s="863">
        <v>2919.72</v>
      </c>
      <c r="AE201" s="900">
        <v>2.8000000000000001E-2</v>
      </c>
      <c r="AF201" s="863"/>
      <c r="AG201" s="863"/>
      <c r="AH201" s="863"/>
      <c r="AI201" s="863"/>
      <c r="AJ201" s="863"/>
      <c r="AK201" s="863"/>
      <c r="AL201" s="863"/>
      <c r="AM201" s="863"/>
      <c r="AN201" s="863"/>
      <c r="AO201" s="863"/>
      <c r="AP201" s="863"/>
      <c r="AQ201" s="863"/>
      <c r="AR201" s="863"/>
      <c r="AS201" s="863"/>
      <c r="AT201" s="863"/>
      <c r="AU201" s="863"/>
      <c r="AV201" s="863"/>
      <c r="AW201" s="863"/>
      <c r="AX201" s="863"/>
      <c r="AY201" s="863"/>
      <c r="AZ201" s="863"/>
      <c r="BA201" s="863"/>
      <c r="BB201" s="863"/>
      <c r="BC201" s="863"/>
      <c r="BD201" s="863"/>
      <c r="BE201" s="863"/>
      <c r="BF201" s="863"/>
      <c r="BG201" s="863"/>
      <c r="BH201" s="863"/>
      <c r="BI201" s="863"/>
      <c r="BJ201" s="863"/>
      <c r="BK201" s="863"/>
      <c r="BL201" s="863"/>
      <c r="BM201" s="863"/>
      <c r="BN201" s="863"/>
      <c r="BO201" s="863"/>
      <c r="BP201" s="863"/>
      <c r="BQ201" s="863"/>
      <c r="BR201" s="863"/>
      <c r="BS201" s="863"/>
      <c r="BT201" s="863"/>
    </row>
    <row r="202" spans="1:72">
      <c r="A202" s="863" t="s">
        <v>628</v>
      </c>
      <c r="B202" s="863">
        <v>0.04</v>
      </c>
      <c r="C202" s="863">
        <v>0.17</v>
      </c>
      <c r="D202" s="863">
        <v>0.04</v>
      </c>
      <c r="E202" s="863">
        <v>0.09</v>
      </c>
      <c r="F202" s="863">
        <v>0.11</v>
      </c>
      <c r="G202" s="863">
        <v>0.13</v>
      </c>
      <c r="H202" s="863">
        <v>0.16</v>
      </c>
      <c r="I202" s="863">
        <v>0.18</v>
      </c>
      <c r="J202" s="863">
        <v>0.24</v>
      </c>
      <c r="K202" s="863">
        <v>2.65</v>
      </c>
      <c r="L202" s="863">
        <v>3.64</v>
      </c>
      <c r="M202" s="863">
        <v>4.71</v>
      </c>
      <c r="N202" s="863">
        <v>6.36</v>
      </c>
      <c r="O202" s="863">
        <v>8.6999999999999993</v>
      </c>
      <c r="P202" s="863">
        <v>11.96</v>
      </c>
      <c r="Q202" s="863">
        <v>22.18</v>
      </c>
      <c r="R202" s="863">
        <v>20.28</v>
      </c>
      <c r="S202" s="863">
        <v>19.329999999999998</v>
      </c>
      <c r="T202" s="863">
        <v>20.440000000000001</v>
      </c>
      <c r="U202" s="863">
        <v>23.52</v>
      </c>
      <c r="V202" s="863">
        <v>26.81</v>
      </c>
      <c r="W202" s="863">
        <v>29.72</v>
      </c>
      <c r="X202" s="863">
        <v>34.94</v>
      </c>
      <c r="Y202" s="863">
        <v>37.81</v>
      </c>
      <c r="Z202" s="863">
        <v>49.23</v>
      </c>
      <c r="AA202" s="863">
        <v>57.96</v>
      </c>
      <c r="AB202" s="863">
        <v>65.66</v>
      </c>
      <c r="AC202" s="863">
        <v>79.569999999999993</v>
      </c>
      <c r="AD202" s="863">
        <v>94.81</v>
      </c>
      <c r="AE202" s="900">
        <v>0.26500000000000001</v>
      </c>
      <c r="AF202" s="863"/>
      <c r="AG202" s="863"/>
      <c r="AH202" s="863"/>
      <c r="AI202" s="863"/>
      <c r="AJ202" s="863"/>
      <c r="AK202" s="863"/>
      <c r="AL202" s="863"/>
      <c r="AM202" s="863"/>
      <c r="AN202" s="863"/>
      <c r="AO202" s="863"/>
      <c r="AP202" s="863"/>
      <c r="AQ202" s="863"/>
      <c r="AR202" s="863"/>
      <c r="AS202" s="863"/>
      <c r="AT202" s="863"/>
      <c r="AU202" s="863"/>
      <c r="AV202" s="863"/>
      <c r="AW202" s="863"/>
      <c r="AX202" s="863"/>
      <c r="AY202" s="863"/>
      <c r="AZ202" s="863"/>
      <c r="BA202" s="863"/>
      <c r="BB202" s="863"/>
      <c r="BC202" s="863"/>
      <c r="BD202" s="863"/>
      <c r="BE202" s="863"/>
      <c r="BF202" s="863"/>
      <c r="BG202" s="863"/>
      <c r="BH202" s="863"/>
      <c r="BI202" s="863"/>
      <c r="BJ202" s="863"/>
      <c r="BK202" s="863"/>
      <c r="BL202" s="863"/>
      <c r="BM202" s="863"/>
      <c r="BN202" s="863"/>
      <c r="BO202" s="863"/>
      <c r="BP202" s="863"/>
      <c r="BQ202" s="863"/>
      <c r="BR202" s="863"/>
      <c r="BS202" s="863"/>
      <c r="BT202" s="863"/>
    </row>
    <row r="203" spans="1:72">
      <c r="A203" s="863" t="s">
        <v>517</v>
      </c>
      <c r="B203" s="863">
        <v>1224</v>
      </c>
      <c r="C203" s="863">
        <v>1396.69</v>
      </c>
      <c r="D203" s="863">
        <v>1057.33</v>
      </c>
      <c r="E203" s="863">
        <v>1090.67</v>
      </c>
      <c r="F203" s="863">
        <v>1135.8699999999999</v>
      </c>
      <c r="G203" s="863">
        <v>1230.3800000000001</v>
      </c>
      <c r="H203" s="863">
        <v>1314.36</v>
      </c>
      <c r="I203" s="863">
        <v>1372.05</v>
      </c>
      <c r="J203" s="863">
        <v>1422.95</v>
      </c>
      <c r="K203" s="863">
        <v>1484.22</v>
      </c>
      <c r="L203" s="863">
        <v>1545.2</v>
      </c>
      <c r="M203" s="863">
        <v>1603.16</v>
      </c>
      <c r="N203" s="863">
        <v>1659.22</v>
      </c>
      <c r="O203" s="863">
        <v>1723.24</v>
      </c>
      <c r="P203" s="863">
        <v>1782.8</v>
      </c>
      <c r="Q203" s="863">
        <v>1849.44</v>
      </c>
      <c r="R203" s="863">
        <v>1915.09</v>
      </c>
      <c r="S203" s="863">
        <v>1977.22</v>
      </c>
      <c r="T203" s="863">
        <v>2046.94</v>
      </c>
      <c r="U203" s="863">
        <v>2122.3000000000002</v>
      </c>
      <c r="V203" s="863">
        <v>2203.0100000000002</v>
      </c>
      <c r="W203" s="863">
        <v>2290.46</v>
      </c>
      <c r="X203" s="863">
        <v>2383.6999999999998</v>
      </c>
      <c r="Y203" s="863">
        <v>2475.87</v>
      </c>
      <c r="Z203" s="863">
        <v>2580.73</v>
      </c>
      <c r="AA203" s="863">
        <v>2685.47</v>
      </c>
      <c r="AB203" s="863">
        <v>2786.79</v>
      </c>
      <c r="AC203" s="863">
        <v>2897.63</v>
      </c>
      <c r="AD203" s="863">
        <v>3014.53</v>
      </c>
      <c r="AE203" s="900">
        <v>2.9000000000000001E-2</v>
      </c>
      <c r="AF203" s="863"/>
      <c r="AG203" s="863"/>
      <c r="AH203" s="863"/>
      <c r="AI203" s="863"/>
      <c r="AJ203" s="863"/>
      <c r="AK203" s="863"/>
      <c r="AL203" s="863"/>
      <c r="AM203" s="863"/>
      <c r="AN203" s="863"/>
      <c r="AO203" s="863"/>
      <c r="AP203" s="863"/>
      <c r="AQ203" s="863"/>
      <c r="AR203" s="863"/>
      <c r="AS203" s="863"/>
      <c r="AT203" s="863"/>
      <c r="AU203" s="863"/>
      <c r="AV203" s="863"/>
      <c r="AW203" s="863"/>
      <c r="AX203" s="863"/>
      <c r="AY203" s="863"/>
      <c r="AZ203" s="863"/>
      <c r="BA203" s="863"/>
      <c r="BB203" s="863"/>
      <c r="BC203" s="863"/>
      <c r="BD203" s="863"/>
      <c r="BE203" s="863"/>
      <c r="BF203" s="863"/>
      <c r="BG203" s="863"/>
      <c r="BH203" s="863"/>
      <c r="BI203" s="863"/>
      <c r="BJ203" s="863"/>
      <c r="BK203" s="863"/>
      <c r="BL203" s="863"/>
      <c r="BM203" s="863"/>
      <c r="BN203" s="863"/>
      <c r="BO203" s="863"/>
      <c r="BP203" s="863"/>
      <c r="BQ203" s="863"/>
      <c r="BR203" s="863"/>
      <c r="BS203" s="863"/>
      <c r="BT203" s="863"/>
    </row>
    <row r="204" spans="1:72">
      <c r="A204" s="863"/>
      <c r="B204" s="863"/>
      <c r="C204" s="863"/>
      <c r="D204" s="863"/>
      <c r="E204" s="863"/>
      <c r="F204" s="863"/>
      <c r="G204" s="863"/>
      <c r="H204" s="863"/>
      <c r="I204" s="863"/>
      <c r="J204" s="863"/>
      <c r="K204" s="863"/>
      <c r="L204" s="863"/>
      <c r="M204" s="863"/>
      <c r="N204" s="863"/>
      <c r="O204" s="863"/>
      <c r="P204" s="863"/>
      <c r="Q204" s="863"/>
      <c r="R204" s="863"/>
      <c r="S204" s="863"/>
      <c r="T204" s="863"/>
      <c r="U204" s="863"/>
      <c r="V204" s="863"/>
      <c r="W204" s="863"/>
      <c r="X204" s="863"/>
      <c r="Y204" s="863"/>
      <c r="Z204" s="863"/>
      <c r="AA204" s="863"/>
      <c r="AB204" s="863"/>
      <c r="AC204" s="863"/>
      <c r="AD204" s="863"/>
      <c r="AE204" s="863"/>
      <c r="AF204" s="863"/>
      <c r="AG204" s="863"/>
      <c r="AH204" s="863"/>
      <c r="AI204" s="863"/>
      <c r="AJ204" s="863"/>
      <c r="AK204" s="863"/>
      <c r="AL204" s="863"/>
      <c r="AM204" s="863"/>
      <c r="AN204" s="863"/>
      <c r="AO204" s="863"/>
      <c r="AP204" s="863"/>
      <c r="AQ204" s="863"/>
      <c r="AR204" s="863"/>
      <c r="AS204" s="863"/>
      <c r="AT204" s="863"/>
      <c r="AU204" s="863"/>
      <c r="AV204" s="863"/>
      <c r="AW204" s="863"/>
      <c r="AX204" s="863"/>
      <c r="AY204" s="863"/>
      <c r="AZ204" s="863"/>
      <c r="BA204" s="863"/>
      <c r="BB204" s="863"/>
      <c r="BC204" s="863"/>
      <c r="BD204" s="863"/>
      <c r="BE204" s="863"/>
      <c r="BF204" s="863"/>
      <c r="BG204" s="863"/>
      <c r="BH204" s="863"/>
      <c r="BI204" s="863"/>
      <c r="BJ204" s="863"/>
      <c r="BK204" s="863"/>
      <c r="BL204" s="863"/>
      <c r="BM204" s="863"/>
      <c r="BN204" s="863"/>
      <c r="BO204" s="863"/>
      <c r="BP204" s="863"/>
      <c r="BQ204" s="863"/>
      <c r="BR204" s="863"/>
      <c r="BS204" s="863"/>
      <c r="BT204" s="863"/>
    </row>
    <row r="205" spans="1:72">
      <c r="A205" s="863"/>
      <c r="B205" s="863"/>
      <c r="C205" s="863"/>
      <c r="D205" s="863"/>
      <c r="E205" s="863"/>
      <c r="F205" s="863"/>
      <c r="G205" s="863"/>
      <c r="H205" s="863"/>
      <c r="I205" s="863"/>
      <c r="J205" s="863"/>
      <c r="K205" s="863"/>
      <c r="L205" s="863"/>
      <c r="M205" s="863"/>
      <c r="N205" s="863"/>
      <c r="O205" s="863"/>
      <c r="P205" s="863"/>
      <c r="Q205" s="863"/>
      <c r="R205" s="863"/>
      <c r="S205" s="863"/>
      <c r="T205" s="863"/>
      <c r="U205" s="863"/>
      <c r="V205" s="863"/>
      <c r="W205" s="863"/>
      <c r="X205" s="863"/>
      <c r="Y205" s="863"/>
      <c r="Z205" s="863"/>
      <c r="AA205" s="863"/>
      <c r="AB205" s="863"/>
      <c r="AC205" s="863"/>
      <c r="AD205" s="863"/>
      <c r="AE205" s="863"/>
      <c r="AF205" s="863"/>
      <c r="AG205" s="863"/>
      <c r="AH205" s="863"/>
      <c r="AI205" s="863"/>
      <c r="AJ205" s="863"/>
      <c r="AK205" s="863"/>
      <c r="AL205" s="863"/>
      <c r="AM205" s="863"/>
      <c r="AN205" s="863"/>
      <c r="AO205" s="863"/>
      <c r="AP205" s="863"/>
      <c r="AQ205" s="863"/>
      <c r="AR205" s="863"/>
      <c r="AS205" s="863"/>
      <c r="AT205" s="863"/>
      <c r="AU205" s="863"/>
      <c r="AV205" s="863"/>
      <c r="AW205" s="863"/>
      <c r="AX205" s="863"/>
      <c r="AY205" s="863"/>
      <c r="AZ205" s="863"/>
      <c r="BA205" s="863"/>
      <c r="BB205" s="863"/>
      <c r="BC205" s="863"/>
      <c r="BD205" s="863"/>
      <c r="BE205" s="863"/>
      <c r="BF205" s="863"/>
      <c r="BG205" s="863"/>
      <c r="BH205" s="863"/>
      <c r="BI205" s="863"/>
      <c r="BJ205" s="863"/>
      <c r="BK205" s="863"/>
      <c r="BL205" s="863"/>
      <c r="BM205" s="863"/>
      <c r="BN205" s="863"/>
      <c r="BO205" s="863"/>
      <c r="BP205" s="863"/>
      <c r="BQ205" s="863"/>
      <c r="BR205" s="863"/>
      <c r="BS205" s="863"/>
      <c r="BT205" s="863"/>
    </row>
    <row r="206" spans="1:72">
      <c r="A206" s="863"/>
      <c r="B206" s="863"/>
      <c r="C206" s="863"/>
      <c r="D206" s="863"/>
      <c r="E206" s="863"/>
      <c r="F206" s="863"/>
      <c r="G206" s="863"/>
      <c r="H206" s="863"/>
      <c r="I206" s="863"/>
      <c r="J206" s="863"/>
      <c r="K206" s="863"/>
      <c r="L206" s="863"/>
      <c r="M206" s="863"/>
      <c r="N206" s="863"/>
      <c r="O206" s="863"/>
      <c r="P206" s="863"/>
      <c r="Q206" s="863"/>
      <c r="R206" s="863"/>
      <c r="S206" s="863"/>
      <c r="T206" s="863"/>
      <c r="U206" s="863"/>
      <c r="V206" s="863"/>
      <c r="W206" s="863"/>
      <c r="X206" s="863"/>
      <c r="Y206" s="863"/>
      <c r="Z206" s="863"/>
      <c r="AA206" s="863"/>
      <c r="AB206" s="863"/>
      <c r="AC206" s="863"/>
      <c r="AD206" s="863"/>
      <c r="AE206" s="863"/>
      <c r="AF206" s="863"/>
      <c r="AG206" s="863"/>
      <c r="AH206" s="863"/>
      <c r="AI206" s="863"/>
      <c r="AJ206" s="863"/>
      <c r="AK206" s="863"/>
      <c r="AL206" s="863"/>
      <c r="AM206" s="863"/>
      <c r="AN206" s="863"/>
      <c r="AO206" s="863"/>
      <c r="AP206" s="863"/>
      <c r="AQ206" s="863"/>
      <c r="AR206" s="863"/>
      <c r="AS206" s="863"/>
      <c r="AT206" s="863"/>
      <c r="AU206" s="863"/>
      <c r="AV206" s="863"/>
      <c r="AW206" s="863"/>
      <c r="AX206" s="863"/>
      <c r="AY206" s="863"/>
      <c r="AZ206" s="863"/>
      <c r="BA206" s="863"/>
      <c r="BB206" s="863"/>
      <c r="BC206" s="863"/>
      <c r="BD206" s="863"/>
      <c r="BE206" s="863"/>
      <c r="BF206" s="863"/>
      <c r="BG206" s="863"/>
      <c r="BH206" s="863"/>
      <c r="BI206" s="863"/>
      <c r="BJ206" s="863"/>
      <c r="BK206" s="863"/>
      <c r="BL206" s="863"/>
      <c r="BM206" s="863"/>
      <c r="BN206" s="863"/>
      <c r="BO206" s="863"/>
      <c r="BP206" s="863"/>
      <c r="BQ206" s="863"/>
      <c r="BR206" s="863"/>
      <c r="BS206" s="863"/>
      <c r="BT206" s="863"/>
    </row>
    <row r="207" spans="1:72">
      <c r="A207" s="863" t="s">
        <v>629</v>
      </c>
      <c r="B207" s="863"/>
      <c r="C207" s="863"/>
      <c r="D207" s="863"/>
      <c r="E207" s="863"/>
      <c r="F207" s="863"/>
      <c r="G207" s="863"/>
      <c r="H207" s="863"/>
      <c r="I207" s="863"/>
      <c r="J207" s="863"/>
      <c r="K207" s="863"/>
      <c r="L207" s="863"/>
      <c r="M207" s="863"/>
      <c r="N207" s="863"/>
      <c r="O207" s="863"/>
      <c r="P207" s="863"/>
      <c r="Q207" s="863"/>
      <c r="R207" s="863"/>
      <c r="S207" s="863"/>
      <c r="T207" s="863"/>
      <c r="U207" s="863"/>
      <c r="V207" s="863"/>
      <c r="W207" s="863"/>
      <c r="X207" s="863"/>
      <c r="Y207" s="863"/>
      <c r="Z207" s="863"/>
      <c r="AA207" s="863"/>
      <c r="AB207" s="863"/>
      <c r="AC207" s="863"/>
      <c r="AD207" s="863"/>
      <c r="AE207" s="863"/>
      <c r="AF207" s="863"/>
      <c r="AG207" s="863"/>
      <c r="AH207" s="863"/>
      <c r="AI207" s="863"/>
      <c r="AJ207" s="863"/>
      <c r="AK207" s="863"/>
      <c r="AL207" s="863"/>
      <c r="AM207" s="863"/>
      <c r="AN207" s="863"/>
      <c r="AO207" s="863"/>
      <c r="AP207" s="863"/>
      <c r="AQ207" s="863"/>
      <c r="AR207" s="863"/>
      <c r="AS207" s="863"/>
      <c r="AT207" s="863"/>
      <c r="AU207" s="863"/>
      <c r="AV207" s="863"/>
      <c r="AW207" s="863"/>
      <c r="AX207" s="863"/>
      <c r="AY207" s="863"/>
      <c r="AZ207" s="863"/>
      <c r="BA207" s="863"/>
      <c r="BB207" s="863"/>
      <c r="BC207" s="863"/>
      <c r="BD207" s="863"/>
      <c r="BE207" s="863"/>
      <c r="BF207" s="863"/>
      <c r="BG207" s="863"/>
      <c r="BH207" s="863"/>
      <c r="BI207" s="863"/>
      <c r="BJ207" s="863"/>
      <c r="BK207" s="863"/>
      <c r="BL207" s="863"/>
      <c r="BM207" s="863"/>
      <c r="BN207" s="863"/>
      <c r="BO207" s="863"/>
      <c r="BP207" s="863"/>
      <c r="BQ207" s="863"/>
      <c r="BR207" s="863"/>
      <c r="BS207" s="863"/>
      <c r="BT207" s="863"/>
    </row>
    <row r="208" spans="1:72">
      <c r="A208" s="863" t="s">
        <v>630</v>
      </c>
      <c r="B208" s="863"/>
      <c r="C208" s="863"/>
      <c r="D208" s="863"/>
      <c r="E208" s="863"/>
      <c r="F208" s="863"/>
      <c r="G208" s="863"/>
      <c r="H208" s="863"/>
      <c r="I208" s="863"/>
      <c r="J208" s="863"/>
      <c r="K208" s="863"/>
      <c r="L208" s="863"/>
      <c r="M208" s="863"/>
      <c r="N208" s="863"/>
      <c r="O208" s="863"/>
      <c r="P208" s="863"/>
      <c r="Q208" s="863"/>
      <c r="R208" s="863"/>
      <c r="S208" s="863"/>
      <c r="T208" s="863"/>
      <c r="U208" s="863"/>
      <c r="V208" s="863"/>
      <c r="W208" s="863"/>
      <c r="X208" s="863"/>
      <c r="Y208" s="863"/>
      <c r="Z208" s="863"/>
      <c r="AA208" s="863"/>
      <c r="AB208" s="863"/>
      <c r="AC208" s="863"/>
      <c r="AD208" s="863"/>
      <c r="AE208" s="863"/>
      <c r="AF208" s="863"/>
      <c r="AG208" s="863"/>
      <c r="AH208" s="863"/>
      <c r="AI208" s="863"/>
      <c r="AJ208" s="863"/>
      <c r="AK208" s="863"/>
      <c r="AL208" s="863"/>
      <c r="AM208" s="863"/>
      <c r="AN208" s="863"/>
      <c r="AO208" s="863"/>
      <c r="AP208" s="863"/>
      <c r="AQ208" s="863"/>
      <c r="AR208" s="863"/>
      <c r="AS208" s="863"/>
      <c r="AT208" s="863"/>
      <c r="AU208" s="863"/>
      <c r="AV208" s="863"/>
      <c r="AW208" s="863"/>
      <c r="AX208" s="863"/>
      <c r="AY208" s="863"/>
      <c r="AZ208" s="863"/>
      <c r="BA208" s="863"/>
      <c r="BB208" s="863"/>
      <c r="BC208" s="863"/>
      <c r="BD208" s="863"/>
      <c r="BE208" s="863"/>
      <c r="BF208" s="863"/>
      <c r="BG208" s="863"/>
      <c r="BH208" s="863"/>
      <c r="BI208" s="863"/>
      <c r="BJ208" s="863"/>
      <c r="BK208" s="863"/>
      <c r="BL208" s="863"/>
      <c r="BM208" s="863"/>
      <c r="BN208" s="863"/>
      <c r="BO208" s="863"/>
      <c r="BP208" s="863"/>
      <c r="BQ208" s="863"/>
      <c r="BR208" s="863"/>
      <c r="BS208" s="863"/>
      <c r="BT208" s="863"/>
    </row>
    <row r="209" spans="1:72">
      <c r="A209" s="863" t="s">
        <v>631</v>
      </c>
      <c r="B209" s="863"/>
      <c r="C209" s="863"/>
      <c r="D209" s="863"/>
      <c r="E209" s="863"/>
      <c r="F209" s="863"/>
      <c r="G209" s="863"/>
      <c r="H209" s="863"/>
      <c r="I209" s="863"/>
      <c r="J209" s="863"/>
      <c r="K209" s="863"/>
      <c r="L209" s="863"/>
      <c r="M209" s="863"/>
      <c r="N209" s="863"/>
      <c r="O209" s="863"/>
      <c r="P209" s="863"/>
      <c r="Q209" s="863"/>
      <c r="R209" s="863"/>
      <c r="S209" s="863"/>
      <c r="T209" s="863"/>
      <c r="U209" s="863"/>
      <c r="V209" s="863"/>
      <c r="W209" s="863"/>
      <c r="X209" s="863"/>
      <c r="Y209" s="863"/>
      <c r="Z209" s="863"/>
      <c r="AA209" s="863"/>
      <c r="AB209" s="863"/>
      <c r="AC209" s="863"/>
      <c r="AD209" s="863"/>
      <c r="AE209" s="863"/>
      <c r="AF209" s="863"/>
      <c r="AG209" s="863"/>
      <c r="AH209" s="863"/>
      <c r="AI209" s="863"/>
      <c r="AJ209" s="863"/>
      <c r="AK209" s="863"/>
      <c r="AL209" s="863"/>
      <c r="AM209" s="863"/>
      <c r="AN209" s="863"/>
      <c r="AO209" s="863"/>
      <c r="AP209" s="863"/>
      <c r="AQ209" s="863"/>
      <c r="AR209" s="863"/>
      <c r="AS209" s="863"/>
      <c r="AT209" s="863"/>
      <c r="AU209" s="863"/>
      <c r="AV209" s="863"/>
      <c r="AW209" s="863"/>
      <c r="AX209" s="863"/>
      <c r="AY209" s="863"/>
      <c r="AZ209" s="863"/>
      <c r="BA209" s="863"/>
      <c r="BB209" s="863"/>
      <c r="BC209" s="863"/>
      <c r="BD209" s="863"/>
      <c r="BE209" s="863"/>
      <c r="BF209" s="863"/>
      <c r="BG209" s="863"/>
      <c r="BH209" s="863"/>
      <c r="BI209" s="863"/>
      <c r="BJ209" s="863"/>
      <c r="BK209" s="863"/>
      <c r="BL209" s="863"/>
      <c r="BM209" s="863"/>
      <c r="BN209" s="863"/>
      <c r="BO209" s="863"/>
      <c r="BP209" s="863"/>
      <c r="BQ209" s="863"/>
      <c r="BR209" s="863"/>
      <c r="BS209" s="863"/>
      <c r="BT209" s="863"/>
    </row>
    <row r="210" spans="1:72">
      <c r="A210" s="863" t="s">
        <v>789</v>
      </c>
      <c r="B210" s="863"/>
      <c r="C210" s="863"/>
      <c r="D210" s="863"/>
      <c r="E210" s="863"/>
      <c r="F210" s="863"/>
      <c r="G210" s="863"/>
      <c r="H210" s="863"/>
      <c r="I210" s="863"/>
      <c r="J210" s="863"/>
      <c r="K210" s="863"/>
      <c r="L210" s="863"/>
      <c r="M210" s="863"/>
      <c r="N210" s="863"/>
      <c r="O210" s="863"/>
      <c r="P210" s="863"/>
      <c r="Q210" s="863"/>
      <c r="R210" s="863"/>
      <c r="S210" s="863"/>
      <c r="T210" s="863"/>
      <c r="U210" s="863"/>
      <c r="V210" s="863"/>
      <c r="W210" s="863"/>
      <c r="X210" s="863"/>
      <c r="Y210" s="863"/>
      <c r="Z210" s="863"/>
      <c r="AA210" s="863"/>
      <c r="AB210" s="863"/>
      <c r="AC210" s="863"/>
      <c r="AD210" s="863"/>
      <c r="AE210" s="863"/>
      <c r="AF210" s="863"/>
      <c r="AG210" s="863"/>
      <c r="AH210" s="863"/>
      <c r="AI210" s="863"/>
      <c r="AJ210" s="863"/>
      <c r="AK210" s="863"/>
      <c r="AL210" s="863"/>
      <c r="AM210" s="863"/>
      <c r="AN210" s="863"/>
      <c r="AO210" s="863"/>
      <c r="AP210" s="863"/>
      <c r="AQ210" s="863"/>
      <c r="AR210" s="863"/>
      <c r="AS210" s="863"/>
      <c r="AT210" s="863"/>
      <c r="AU210" s="863"/>
      <c r="AV210" s="863"/>
      <c r="AW210" s="863"/>
      <c r="AX210" s="863"/>
      <c r="AY210" s="863"/>
      <c r="AZ210" s="863"/>
      <c r="BA210" s="863"/>
      <c r="BB210" s="863"/>
      <c r="BC210" s="863"/>
      <c r="BD210" s="863"/>
      <c r="BE210" s="863"/>
      <c r="BF210" s="863"/>
      <c r="BG210" s="863"/>
      <c r="BH210" s="863"/>
      <c r="BI210" s="863"/>
      <c r="BJ210" s="863"/>
      <c r="BK210" s="863"/>
      <c r="BL210" s="863"/>
      <c r="BM210" s="863"/>
      <c r="BN210" s="863"/>
      <c r="BO210" s="863"/>
      <c r="BP210" s="863"/>
      <c r="BQ210" s="863"/>
      <c r="BR210" s="863"/>
      <c r="BS210" s="863"/>
      <c r="BT210" s="863"/>
    </row>
    <row r="211" spans="1:72">
      <c r="A211" s="863" t="s">
        <v>790</v>
      </c>
      <c r="B211" s="863"/>
      <c r="C211" s="863"/>
      <c r="D211" s="863"/>
      <c r="E211" s="863"/>
      <c r="F211" s="863"/>
      <c r="G211" s="863"/>
      <c r="H211" s="863"/>
      <c r="I211" s="863"/>
      <c r="J211" s="863"/>
      <c r="K211" s="863"/>
      <c r="L211" s="863"/>
      <c r="M211" s="863"/>
      <c r="N211" s="863"/>
      <c r="O211" s="863"/>
      <c r="P211" s="863"/>
      <c r="Q211" s="863"/>
      <c r="R211" s="863"/>
      <c r="S211" s="863"/>
      <c r="T211" s="863"/>
      <c r="U211" s="863"/>
      <c r="V211" s="863"/>
      <c r="W211" s="863"/>
      <c r="X211" s="863"/>
      <c r="Y211" s="863"/>
      <c r="Z211" s="863"/>
      <c r="AA211" s="863"/>
      <c r="AB211" s="863"/>
      <c r="AC211" s="863"/>
      <c r="AD211" s="863"/>
      <c r="AE211" s="863"/>
      <c r="AF211" s="863"/>
      <c r="AG211" s="863"/>
      <c r="AH211" s="863"/>
      <c r="AI211" s="863"/>
      <c r="AJ211" s="863"/>
      <c r="AK211" s="863"/>
      <c r="AL211" s="863"/>
      <c r="AM211" s="863"/>
      <c r="AN211" s="863"/>
      <c r="AO211" s="863"/>
      <c r="AP211" s="863"/>
      <c r="AQ211" s="863"/>
      <c r="AR211" s="863"/>
      <c r="AS211" s="863"/>
      <c r="AT211" s="863"/>
      <c r="AU211" s="863"/>
      <c r="AV211" s="863"/>
      <c r="AW211" s="863"/>
      <c r="AX211" s="863"/>
      <c r="AY211" s="863"/>
      <c r="AZ211" s="863"/>
      <c r="BA211" s="863"/>
      <c r="BB211" s="863"/>
      <c r="BC211" s="863"/>
      <c r="BD211" s="863"/>
      <c r="BE211" s="863"/>
      <c r="BF211" s="863"/>
      <c r="BG211" s="863"/>
      <c r="BH211" s="863"/>
      <c r="BI211" s="863"/>
      <c r="BJ211" s="863"/>
      <c r="BK211" s="863"/>
      <c r="BL211" s="863"/>
      <c r="BM211" s="863"/>
      <c r="BN211" s="863"/>
      <c r="BO211" s="863"/>
      <c r="BP211" s="863"/>
      <c r="BQ211" s="863"/>
      <c r="BR211" s="863"/>
      <c r="BS211" s="863"/>
      <c r="BT211" s="863"/>
    </row>
    <row r="212" spans="1:72">
      <c r="A212" s="863" t="s">
        <v>648</v>
      </c>
      <c r="B212" s="863"/>
      <c r="C212" s="863"/>
      <c r="D212" s="863"/>
      <c r="E212" s="863"/>
      <c r="F212" s="863"/>
      <c r="G212" s="863"/>
      <c r="H212" s="863"/>
      <c r="I212" s="863"/>
      <c r="J212" s="863"/>
      <c r="K212" s="863"/>
      <c r="L212" s="863"/>
      <c r="M212" s="863"/>
      <c r="N212" s="863"/>
      <c r="O212" s="863"/>
      <c r="P212" s="863"/>
      <c r="Q212" s="863"/>
      <c r="R212" s="863"/>
      <c r="S212" s="863"/>
      <c r="T212" s="863"/>
      <c r="U212" s="863"/>
      <c r="V212" s="863"/>
      <c r="W212" s="863"/>
      <c r="X212" s="863"/>
      <c r="Y212" s="863"/>
      <c r="Z212" s="863"/>
      <c r="AA212" s="863"/>
      <c r="AB212" s="863"/>
      <c r="AC212" s="863"/>
      <c r="AD212" s="863"/>
      <c r="AE212" s="863"/>
      <c r="AF212" s="863"/>
      <c r="AG212" s="863"/>
      <c r="AH212" s="863"/>
      <c r="AI212" s="863"/>
      <c r="AJ212" s="863"/>
      <c r="AK212" s="863"/>
      <c r="AL212" s="863"/>
      <c r="AM212" s="863"/>
      <c r="AN212" s="863"/>
      <c r="AO212" s="863"/>
      <c r="AP212" s="863"/>
      <c r="AQ212" s="863"/>
      <c r="AR212" s="863"/>
      <c r="AS212" s="863"/>
      <c r="AT212" s="863"/>
      <c r="AU212" s="863"/>
      <c r="AV212" s="863"/>
      <c r="AW212" s="863"/>
      <c r="AX212" s="863"/>
      <c r="AY212" s="863"/>
      <c r="AZ212" s="863"/>
      <c r="BA212" s="863"/>
      <c r="BB212" s="863"/>
      <c r="BC212" s="863"/>
      <c r="BD212" s="863"/>
      <c r="BE212" s="863"/>
      <c r="BF212" s="863"/>
      <c r="BG212" s="863"/>
      <c r="BH212" s="863"/>
      <c r="BI212" s="863"/>
      <c r="BJ212" s="863"/>
      <c r="BK212" s="863"/>
      <c r="BL212" s="863"/>
      <c r="BM212" s="863"/>
      <c r="BN212" s="863"/>
      <c r="BO212" s="863"/>
      <c r="BP212" s="863"/>
      <c r="BQ212" s="863"/>
      <c r="BR212" s="863"/>
      <c r="BS212" s="863"/>
      <c r="BT212" s="863"/>
    </row>
    <row r="213" spans="1:72">
      <c r="A213" s="863" t="s">
        <v>649</v>
      </c>
      <c r="B213" s="863"/>
      <c r="C213" s="863"/>
      <c r="D213" s="863"/>
      <c r="E213" s="863"/>
      <c r="F213" s="863"/>
      <c r="G213" s="863"/>
      <c r="H213" s="863"/>
      <c r="I213" s="863"/>
      <c r="J213" s="863"/>
      <c r="K213" s="863"/>
      <c r="L213" s="863"/>
      <c r="M213" s="863"/>
      <c r="N213" s="863"/>
      <c r="O213" s="863"/>
      <c r="P213" s="863"/>
      <c r="Q213" s="863"/>
      <c r="R213" s="863"/>
      <c r="S213" s="863"/>
      <c r="T213" s="863"/>
      <c r="U213" s="863"/>
      <c r="V213" s="863"/>
      <c r="W213" s="863"/>
      <c r="X213" s="863"/>
      <c r="Y213" s="863"/>
      <c r="Z213" s="863"/>
      <c r="AA213" s="863"/>
      <c r="AB213" s="863"/>
      <c r="AC213" s="863"/>
      <c r="AD213" s="863"/>
      <c r="AE213" s="863"/>
      <c r="AF213" s="863"/>
      <c r="AG213" s="863"/>
      <c r="AH213" s="863"/>
      <c r="AI213" s="863"/>
      <c r="AJ213" s="863"/>
      <c r="AK213" s="863"/>
      <c r="AL213" s="863"/>
      <c r="AM213" s="863"/>
      <c r="AN213" s="863"/>
      <c r="AO213" s="863"/>
      <c r="AP213" s="863"/>
      <c r="AQ213" s="863"/>
      <c r="AR213" s="863"/>
      <c r="AS213" s="863"/>
      <c r="AT213" s="863"/>
      <c r="AU213" s="863"/>
      <c r="AV213" s="863"/>
      <c r="AW213" s="863"/>
      <c r="AX213" s="863"/>
      <c r="AY213" s="863"/>
      <c r="AZ213" s="863"/>
      <c r="BA213" s="863"/>
      <c r="BB213" s="863"/>
      <c r="BC213" s="863"/>
      <c r="BD213" s="863"/>
      <c r="BE213" s="863"/>
      <c r="BF213" s="863"/>
      <c r="BG213" s="863"/>
      <c r="BH213" s="863"/>
      <c r="BI213" s="863"/>
      <c r="BJ213" s="863"/>
      <c r="BK213" s="863"/>
      <c r="BL213" s="863"/>
      <c r="BM213" s="863"/>
      <c r="BN213" s="863"/>
      <c r="BO213" s="863"/>
      <c r="BP213" s="863"/>
      <c r="BQ213" s="863"/>
      <c r="BR213" s="863"/>
      <c r="BS213" s="863"/>
      <c r="BT213" s="863"/>
    </row>
    <row r="214" spans="1:72">
      <c r="A214" s="863" t="s">
        <v>650</v>
      </c>
      <c r="B214" s="863"/>
      <c r="C214" s="863"/>
      <c r="D214" s="863"/>
      <c r="E214" s="863"/>
      <c r="F214" s="863"/>
      <c r="G214" s="863"/>
      <c r="H214" s="863"/>
      <c r="I214" s="863"/>
      <c r="J214" s="863"/>
      <c r="K214" s="863"/>
      <c r="L214" s="863"/>
      <c r="M214" s="863"/>
      <c r="N214" s="863"/>
      <c r="O214" s="863"/>
      <c r="P214" s="863"/>
      <c r="Q214" s="863"/>
      <c r="R214" s="863"/>
      <c r="S214" s="863"/>
      <c r="T214" s="863"/>
      <c r="U214" s="863"/>
      <c r="V214" s="863"/>
      <c r="W214" s="863"/>
      <c r="X214" s="863"/>
      <c r="Y214" s="863"/>
      <c r="Z214" s="863"/>
      <c r="AA214" s="863"/>
      <c r="AB214" s="863"/>
      <c r="AC214" s="863"/>
      <c r="AD214" s="863"/>
      <c r="AE214" s="863"/>
      <c r="AF214" s="863"/>
      <c r="AG214" s="863"/>
      <c r="AH214" s="863"/>
      <c r="AI214" s="863"/>
      <c r="AJ214" s="863"/>
      <c r="AK214" s="863"/>
      <c r="AL214" s="863"/>
      <c r="AM214" s="863"/>
      <c r="AN214" s="863"/>
      <c r="AO214" s="863"/>
      <c r="AP214" s="863"/>
      <c r="AQ214" s="863"/>
      <c r="AR214" s="863"/>
      <c r="AS214" s="863"/>
      <c r="AT214" s="863"/>
      <c r="AU214" s="863"/>
      <c r="AV214" s="863"/>
      <c r="AW214" s="863"/>
      <c r="AX214" s="863"/>
      <c r="AY214" s="863"/>
      <c r="AZ214" s="863"/>
      <c r="BA214" s="863"/>
      <c r="BB214" s="863"/>
      <c r="BC214" s="863"/>
      <c r="BD214" s="863"/>
      <c r="BE214" s="863"/>
      <c r="BF214" s="863"/>
      <c r="BG214" s="863"/>
      <c r="BH214" s="863"/>
      <c r="BI214" s="863"/>
      <c r="BJ214" s="863"/>
      <c r="BK214" s="863"/>
      <c r="BL214" s="863"/>
      <c r="BM214" s="863"/>
      <c r="BN214" s="863"/>
      <c r="BO214" s="863"/>
      <c r="BP214" s="863"/>
      <c r="BQ214" s="863"/>
      <c r="BR214" s="863"/>
      <c r="BS214" s="863"/>
      <c r="BT214" s="863"/>
    </row>
    <row r="215" spans="1:72">
      <c r="A215" s="863" t="s">
        <v>651</v>
      </c>
      <c r="B215" s="863"/>
      <c r="C215" s="863"/>
      <c r="D215" s="863"/>
      <c r="E215" s="863"/>
      <c r="F215" s="863"/>
      <c r="G215" s="863"/>
      <c r="H215" s="863"/>
      <c r="I215" s="863"/>
      <c r="J215" s="863"/>
      <c r="K215" s="863"/>
      <c r="L215" s="863"/>
      <c r="M215" s="863"/>
      <c r="N215" s="863"/>
      <c r="O215" s="863"/>
      <c r="P215" s="863"/>
      <c r="Q215" s="863"/>
      <c r="R215" s="863"/>
      <c r="S215" s="863"/>
      <c r="T215" s="863"/>
      <c r="U215" s="863"/>
      <c r="V215" s="863"/>
      <c r="W215" s="863"/>
      <c r="X215" s="863"/>
      <c r="Y215" s="863"/>
      <c r="Z215" s="863"/>
      <c r="AA215" s="863"/>
      <c r="AB215" s="863"/>
      <c r="AC215" s="863"/>
      <c r="AD215" s="863"/>
      <c r="AE215" s="863"/>
      <c r="AF215" s="863"/>
      <c r="AG215" s="863"/>
      <c r="AH215" s="863"/>
      <c r="AI215" s="863"/>
      <c r="AJ215" s="863"/>
      <c r="AK215" s="863"/>
      <c r="AL215" s="863"/>
      <c r="AM215" s="863"/>
      <c r="AN215" s="863"/>
      <c r="AO215" s="863"/>
      <c r="AP215" s="863"/>
      <c r="AQ215" s="863"/>
      <c r="AR215" s="863"/>
      <c r="AS215" s="863"/>
      <c r="AT215" s="863"/>
      <c r="AU215" s="863"/>
      <c r="AV215" s="863"/>
      <c r="AW215" s="863"/>
      <c r="AX215" s="863"/>
      <c r="AY215" s="863"/>
      <c r="AZ215" s="863"/>
      <c r="BA215" s="863"/>
      <c r="BB215" s="863"/>
      <c r="BC215" s="863"/>
      <c r="BD215" s="863"/>
      <c r="BE215" s="863"/>
      <c r="BF215" s="863"/>
      <c r="BG215" s="863"/>
      <c r="BH215" s="863"/>
      <c r="BI215" s="863"/>
      <c r="BJ215" s="863"/>
      <c r="BK215" s="863"/>
      <c r="BL215" s="863"/>
      <c r="BM215" s="863"/>
      <c r="BN215" s="863"/>
      <c r="BO215" s="863"/>
      <c r="BP215" s="863"/>
      <c r="BQ215" s="863"/>
      <c r="BR215" s="863"/>
      <c r="BS215" s="863"/>
      <c r="BT215" s="863"/>
    </row>
    <row r="216" spans="1:72">
      <c r="A216" s="863" t="s">
        <v>652</v>
      </c>
      <c r="B216" s="863"/>
      <c r="C216" s="863"/>
      <c r="D216" s="863"/>
      <c r="E216" s="863"/>
      <c r="F216" s="863"/>
      <c r="G216" s="863"/>
      <c r="H216" s="863"/>
      <c r="I216" s="863"/>
      <c r="J216" s="863"/>
      <c r="K216" s="863"/>
      <c r="L216" s="863"/>
      <c r="M216" s="863"/>
      <c r="N216" s="863"/>
      <c r="O216" s="863"/>
      <c r="P216" s="863"/>
      <c r="Q216" s="863"/>
      <c r="R216" s="863"/>
      <c r="S216" s="863"/>
      <c r="T216" s="863"/>
      <c r="U216" s="863"/>
      <c r="V216" s="863"/>
      <c r="W216" s="863"/>
      <c r="X216" s="863"/>
      <c r="Y216" s="863"/>
      <c r="Z216" s="863"/>
      <c r="AA216" s="863"/>
      <c r="AB216" s="863"/>
      <c r="AC216" s="863"/>
      <c r="AD216" s="863"/>
      <c r="AE216" s="863"/>
      <c r="AF216" s="863"/>
      <c r="AG216" s="863"/>
      <c r="AH216" s="863"/>
      <c r="AI216" s="863"/>
      <c r="AJ216" s="863"/>
      <c r="AK216" s="863"/>
      <c r="AL216" s="863"/>
      <c r="AM216" s="863"/>
      <c r="AN216" s="863"/>
      <c r="AO216" s="863"/>
      <c r="AP216" s="863"/>
      <c r="AQ216" s="863"/>
      <c r="AR216" s="863"/>
      <c r="AS216" s="863"/>
      <c r="AT216" s="863"/>
      <c r="AU216" s="863"/>
      <c r="AV216" s="863"/>
      <c r="AW216" s="863"/>
      <c r="AX216" s="863"/>
      <c r="AY216" s="863"/>
      <c r="AZ216" s="863"/>
      <c r="BA216" s="863"/>
      <c r="BB216" s="863"/>
      <c r="BC216" s="863"/>
      <c r="BD216" s="863"/>
      <c r="BE216" s="863"/>
      <c r="BF216" s="863"/>
      <c r="BG216" s="863"/>
      <c r="BH216" s="863"/>
      <c r="BI216" s="863"/>
      <c r="BJ216" s="863"/>
      <c r="BK216" s="863"/>
      <c r="BL216" s="863"/>
      <c r="BM216" s="863"/>
      <c r="BN216" s="863"/>
      <c r="BO216" s="863"/>
      <c r="BP216" s="863"/>
      <c r="BQ216" s="863"/>
      <c r="BR216" s="863"/>
      <c r="BS216" s="863"/>
      <c r="BT216" s="863"/>
    </row>
    <row r="217" spans="1:72">
      <c r="A217" s="863" t="s">
        <v>653</v>
      </c>
      <c r="B217" s="863"/>
      <c r="C217" s="863"/>
      <c r="D217" s="863"/>
      <c r="E217" s="863"/>
      <c r="F217" s="863"/>
      <c r="G217" s="863"/>
      <c r="H217" s="863"/>
      <c r="I217" s="863"/>
      <c r="J217" s="863"/>
      <c r="K217" s="863"/>
      <c r="L217" s="863"/>
      <c r="M217" s="863"/>
      <c r="N217" s="863"/>
      <c r="O217" s="863"/>
      <c r="P217" s="863"/>
      <c r="Q217" s="863"/>
      <c r="R217" s="863"/>
      <c r="S217" s="863"/>
      <c r="T217" s="863"/>
      <c r="U217" s="863"/>
      <c r="V217" s="863"/>
      <c r="W217" s="863"/>
      <c r="X217" s="863"/>
      <c r="Y217" s="863"/>
      <c r="Z217" s="863"/>
      <c r="AA217" s="863"/>
      <c r="AB217" s="863"/>
      <c r="AC217" s="863"/>
      <c r="AD217" s="863"/>
      <c r="AE217" s="863"/>
      <c r="AF217" s="863"/>
      <c r="AG217" s="863"/>
      <c r="AH217" s="863"/>
      <c r="AI217" s="863"/>
      <c r="AJ217" s="863"/>
      <c r="AK217" s="863"/>
      <c r="AL217" s="863"/>
      <c r="AM217" s="863"/>
      <c r="AN217" s="863"/>
      <c r="AO217" s="863"/>
      <c r="AP217" s="863"/>
      <c r="AQ217" s="863"/>
      <c r="AR217" s="863"/>
      <c r="AS217" s="863"/>
      <c r="AT217" s="863"/>
      <c r="AU217" s="863"/>
      <c r="AV217" s="863"/>
      <c r="AW217" s="863"/>
      <c r="AX217" s="863"/>
      <c r="AY217" s="863"/>
      <c r="AZ217" s="863"/>
      <c r="BA217" s="863"/>
      <c r="BB217" s="863"/>
      <c r="BC217" s="863"/>
      <c r="BD217" s="863"/>
      <c r="BE217" s="863"/>
      <c r="BF217" s="863"/>
      <c r="BG217" s="863"/>
      <c r="BH217" s="863"/>
      <c r="BI217" s="863"/>
      <c r="BJ217" s="863"/>
      <c r="BK217" s="863"/>
      <c r="BL217" s="863"/>
      <c r="BM217" s="863"/>
      <c r="BN217" s="863"/>
      <c r="BO217" s="863"/>
      <c r="BP217" s="863"/>
      <c r="BQ217" s="863"/>
      <c r="BR217" s="863"/>
      <c r="BS217" s="863"/>
      <c r="BT217" s="863"/>
    </row>
    <row r="218" spans="1:72">
      <c r="A218" s="863" t="s">
        <v>544</v>
      </c>
      <c r="B218" s="863"/>
      <c r="C218" s="863"/>
      <c r="D218" s="863"/>
      <c r="E218" s="863"/>
      <c r="F218" s="863"/>
      <c r="G218" s="863"/>
      <c r="H218" s="863"/>
      <c r="I218" s="863"/>
      <c r="J218" s="863"/>
      <c r="K218" s="863"/>
      <c r="L218" s="863"/>
      <c r="M218" s="863"/>
      <c r="N218" s="863"/>
      <c r="O218" s="863"/>
      <c r="P218" s="863"/>
      <c r="Q218" s="863"/>
      <c r="R218" s="863"/>
      <c r="S218" s="863"/>
      <c r="T218" s="863"/>
      <c r="U218" s="863"/>
      <c r="V218" s="863"/>
      <c r="W218" s="863"/>
      <c r="X218" s="863"/>
      <c r="Y218" s="863"/>
      <c r="Z218" s="863"/>
      <c r="AA218" s="863"/>
      <c r="AB218" s="863"/>
      <c r="AC218" s="863"/>
      <c r="AD218" s="863"/>
      <c r="AE218" s="863"/>
      <c r="AF218" s="863"/>
      <c r="AG218" s="863"/>
      <c r="AH218" s="863"/>
      <c r="AI218" s="863"/>
      <c r="AJ218" s="863"/>
      <c r="AK218" s="863"/>
      <c r="AL218" s="863"/>
      <c r="AM218" s="863"/>
      <c r="AN218" s="863"/>
      <c r="AO218" s="863"/>
      <c r="AP218" s="863"/>
      <c r="AQ218" s="863"/>
      <c r="AR218" s="863"/>
      <c r="AS218" s="863"/>
      <c r="AT218" s="863"/>
      <c r="AU218" s="863"/>
      <c r="AV218" s="863"/>
      <c r="AW218" s="863"/>
      <c r="AX218" s="863"/>
      <c r="AY218" s="863"/>
      <c r="AZ218" s="863"/>
      <c r="BA218" s="863"/>
      <c r="BB218" s="863"/>
      <c r="BC218" s="863"/>
      <c r="BD218" s="863"/>
      <c r="BE218" s="863"/>
      <c r="BF218" s="863"/>
      <c r="BG218" s="863"/>
      <c r="BH218" s="863"/>
      <c r="BI218" s="863"/>
      <c r="BJ218" s="863"/>
      <c r="BK218" s="863"/>
      <c r="BL218" s="863"/>
      <c r="BM218" s="863"/>
      <c r="BN218" s="863"/>
      <c r="BO218" s="863"/>
      <c r="BP218" s="863"/>
      <c r="BQ218" s="863"/>
      <c r="BR218" s="863"/>
      <c r="BS218" s="863"/>
      <c r="BT218" s="863"/>
    </row>
    <row r="219" spans="1:72">
      <c r="A219" s="863" t="s">
        <v>729</v>
      </c>
      <c r="B219" s="863"/>
      <c r="C219" s="863"/>
      <c r="D219" s="863"/>
      <c r="E219" s="863"/>
      <c r="F219" s="863"/>
      <c r="G219" s="863"/>
      <c r="H219" s="863"/>
      <c r="I219" s="863"/>
      <c r="J219" s="863"/>
      <c r="K219" s="863"/>
      <c r="L219" s="863"/>
      <c r="M219" s="863"/>
      <c r="N219" s="863"/>
      <c r="O219" s="863"/>
      <c r="P219" s="863"/>
      <c r="Q219" s="863"/>
      <c r="R219" s="863"/>
      <c r="S219" s="863"/>
      <c r="T219" s="863"/>
      <c r="U219" s="863"/>
      <c r="V219" s="863"/>
      <c r="W219" s="863"/>
      <c r="X219" s="863"/>
      <c r="Y219" s="863"/>
      <c r="Z219" s="863"/>
      <c r="AA219" s="863"/>
      <c r="AB219" s="863"/>
      <c r="AC219" s="863"/>
      <c r="AD219" s="863"/>
      <c r="AE219" s="863"/>
      <c r="AF219" s="863"/>
      <c r="AG219" s="863"/>
      <c r="AH219" s="863"/>
      <c r="AI219" s="863"/>
      <c r="AJ219" s="863"/>
      <c r="AK219" s="863"/>
      <c r="AL219" s="863"/>
      <c r="AM219" s="863"/>
      <c r="AN219" s="863"/>
      <c r="AO219" s="863"/>
      <c r="AP219" s="863"/>
      <c r="AQ219" s="863"/>
      <c r="AR219" s="863"/>
      <c r="AS219" s="863"/>
      <c r="AT219" s="863"/>
      <c r="AU219" s="863"/>
      <c r="AV219" s="863"/>
      <c r="AW219" s="863"/>
      <c r="AX219" s="863"/>
      <c r="AY219" s="863"/>
      <c r="AZ219" s="863"/>
      <c r="BA219" s="863"/>
      <c r="BB219" s="863"/>
      <c r="BC219" s="863"/>
      <c r="BD219" s="863"/>
      <c r="BE219" s="863"/>
      <c r="BF219" s="863"/>
      <c r="BG219" s="863"/>
      <c r="BH219" s="863"/>
      <c r="BI219" s="863"/>
      <c r="BJ219" s="863"/>
      <c r="BK219" s="863"/>
      <c r="BL219" s="863"/>
      <c r="BM219" s="863"/>
      <c r="BN219" s="863"/>
      <c r="BO219" s="863"/>
      <c r="BP219" s="863"/>
      <c r="BQ219" s="863"/>
      <c r="BR219" s="863"/>
      <c r="BS219" s="863"/>
      <c r="BT219" s="863"/>
    </row>
    <row r="220" spans="1:72">
      <c r="A220" s="863" t="s">
        <v>791</v>
      </c>
      <c r="B220" s="863"/>
      <c r="C220" s="863"/>
      <c r="D220" s="863"/>
      <c r="E220" s="863"/>
      <c r="F220" s="863"/>
      <c r="G220" s="863"/>
      <c r="H220" s="863"/>
      <c r="I220" s="863"/>
      <c r="J220" s="863"/>
      <c r="K220" s="863"/>
      <c r="L220" s="863"/>
      <c r="M220" s="863"/>
      <c r="N220" s="863"/>
      <c r="O220" s="863"/>
      <c r="P220" s="863"/>
      <c r="Q220" s="863"/>
      <c r="R220" s="863"/>
      <c r="S220" s="863"/>
      <c r="T220" s="863"/>
      <c r="U220" s="863"/>
      <c r="V220" s="863"/>
      <c r="W220" s="863"/>
      <c r="X220" s="863"/>
      <c r="Y220" s="863"/>
      <c r="Z220" s="863"/>
      <c r="AA220" s="863"/>
      <c r="AB220" s="863"/>
      <c r="AC220" s="863"/>
      <c r="AD220" s="863"/>
      <c r="AE220" s="863"/>
      <c r="AF220" s="863"/>
      <c r="AG220" s="863"/>
      <c r="AH220" s="863"/>
      <c r="AI220" s="863"/>
      <c r="AJ220" s="863"/>
      <c r="AK220" s="863"/>
      <c r="AL220" s="863"/>
      <c r="AM220" s="863"/>
      <c r="AN220" s="863"/>
      <c r="AO220" s="863"/>
      <c r="AP220" s="863"/>
      <c r="AQ220" s="863"/>
      <c r="AR220" s="863"/>
      <c r="AS220" s="863"/>
      <c r="AT220" s="863"/>
      <c r="AU220" s="863"/>
      <c r="AV220" s="863"/>
      <c r="AW220" s="863"/>
      <c r="AX220" s="863"/>
      <c r="AY220" s="863"/>
      <c r="AZ220" s="863"/>
      <c r="BA220" s="863"/>
      <c r="BB220" s="863"/>
      <c r="BC220" s="863"/>
      <c r="BD220" s="863"/>
      <c r="BE220" s="863"/>
      <c r="BF220" s="863"/>
      <c r="BG220" s="863"/>
      <c r="BH220" s="863"/>
      <c r="BI220" s="863"/>
      <c r="BJ220" s="863"/>
      <c r="BK220" s="863"/>
      <c r="BL220" s="863"/>
      <c r="BM220" s="863"/>
      <c r="BN220" s="863"/>
      <c r="BO220" s="863"/>
      <c r="BP220" s="863"/>
      <c r="BQ220" s="863"/>
      <c r="BR220" s="863"/>
      <c r="BS220" s="863"/>
      <c r="BT220" s="863"/>
    </row>
    <row r="221" spans="1:72">
      <c r="A221" s="863" t="s">
        <v>792</v>
      </c>
      <c r="B221" s="863"/>
      <c r="C221" s="863"/>
      <c r="D221" s="863"/>
      <c r="E221" s="863"/>
      <c r="F221" s="863"/>
      <c r="G221" s="863"/>
      <c r="H221" s="863"/>
      <c r="I221" s="863"/>
      <c r="J221" s="863"/>
      <c r="K221" s="863"/>
      <c r="L221" s="863"/>
      <c r="M221" s="863"/>
      <c r="N221" s="863"/>
      <c r="O221" s="863"/>
      <c r="P221" s="863"/>
      <c r="Q221" s="863"/>
      <c r="R221" s="863"/>
      <c r="S221" s="863"/>
      <c r="T221" s="863"/>
      <c r="U221" s="863"/>
      <c r="V221" s="863"/>
      <c r="W221" s="863"/>
      <c r="X221" s="863"/>
      <c r="Y221" s="863"/>
      <c r="Z221" s="863"/>
      <c r="AA221" s="863"/>
      <c r="AB221" s="863"/>
      <c r="AC221" s="863"/>
      <c r="AD221" s="863"/>
      <c r="AE221" s="863"/>
      <c r="AF221" s="863"/>
      <c r="AG221" s="863"/>
      <c r="AH221" s="863"/>
      <c r="AI221" s="863"/>
      <c r="AJ221" s="863"/>
      <c r="AK221" s="863"/>
      <c r="AL221" s="863"/>
      <c r="AM221" s="863"/>
      <c r="AN221" s="863"/>
      <c r="AO221" s="863"/>
      <c r="AP221" s="863"/>
      <c r="AQ221" s="863"/>
      <c r="AR221" s="863"/>
      <c r="AS221" s="863"/>
      <c r="AT221" s="863"/>
      <c r="AU221" s="863"/>
      <c r="AV221" s="863"/>
      <c r="AW221" s="863"/>
      <c r="AX221" s="863"/>
      <c r="AY221" s="863"/>
      <c r="AZ221" s="863"/>
      <c r="BA221" s="863"/>
      <c r="BB221" s="863"/>
      <c r="BC221" s="863"/>
      <c r="BD221" s="863"/>
      <c r="BE221" s="863"/>
      <c r="BF221" s="863"/>
      <c r="BG221" s="863"/>
      <c r="BH221" s="863"/>
      <c r="BI221" s="863"/>
      <c r="BJ221" s="863"/>
      <c r="BK221" s="863"/>
      <c r="BL221" s="863"/>
      <c r="BM221" s="863"/>
      <c r="BN221" s="863"/>
      <c r="BO221" s="863"/>
      <c r="BP221" s="863"/>
      <c r="BQ221" s="863"/>
      <c r="BR221" s="863"/>
      <c r="BS221" s="863"/>
      <c r="BT221" s="863"/>
    </row>
    <row r="222" spans="1:72">
      <c r="A222" s="863" t="s">
        <v>793</v>
      </c>
      <c r="B222" s="863"/>
      <c r="C222" s="863"/>
      <c r="D222" s="863"/>
      <c r="E222" s="863"/>
      <c r="F222" s="863"/>
      <c r="G222" s="863"/>
      <c r="H222" s="863"/>
      <c r="I222" s="863"/>
      <c r="J222" s="863"/>
      <c r="K222" s="863"/>
      <c r="L222" s="863"/>
      <c r="M222" s="863"/>
      <c r="N222" s="863"/>
      <c r="O222" s="863"/>
      <c r="P222" s="863"/>
      <c r="Q222" s="863"/>
      <c r="R222" s="863"/>
      <c r="S222" s="863"/>
      <c r="T222" s="863"/>
      <c r="U222" s="863"/>
      <c r="V222" s="863"/>
      <c r="W222" s="863"/>
      <c r="X222" s="863"/>
      <c r="Y222" s="863"/>
      <c r="Z222" s="863"/>
      <c r="AA222" s="863"/>
      <c r="AB222" s="863"/>
      <c r="AC222" s="863"/>
      <c r="AD222" s="863"/>
      <c r="AE222" s="863"/>
      <c r="AF222" s="863"/>
      <c r="AG222" s="863"/>
      <c r="AH222" s="863"/>
      <c r="AI222" s="863"/>
      <c r="AJ222" s="863"/>
      <c r="AK222" s="863"/>
      <c r="AL222" s="863"/>
      <c r="AM222" s="863"/>
      <c r="AN222" s="863"/>
      <c r="AO222" s="863"/>
      <c r="AP222" s="863"/>
      <c r="AQ222" s="863"/>
      <c r="AR222" s="863"/>
      <c r="AS222" s="863"/>
      <c r="AT222" s="863"/>
      <c r="AU222" s="863"/>
      <c r="AV222" s="863"/>
      <c r="AW222" s="863"/>
      <c r="AX222" s="863"/>
      <c r="AY222" s="863"/>
      <c r="AZ222" s="863"/>
      <c r="BA222" s="863"/>
      <c r="BB222" s="863"/>
      <c r="BC222" s="863"/>
      <c r="BD222" s="863"/>
      <c r="BE222" s="863"/>
      <c r="BF222" s="863"/>
      <c r="BG222" s="863"/>
      <c r="BH222" s="863"/>
      <c r="BI222" s="863"/>
      <c r="BJ222" s="863"/>
      <c r="BK222" s="863"/>
      <c r="BL222" s="863"/>
      <c r="BM222" s="863"/>
      <c r="BN222" s="863"/>
      <c r="BO222" s="863"/>
      <c r="BP222" s="863"/>
      <c r="BQ222" s="863"/>
      <c r="BR222" s="863"/>
      <c r="BS222" s="863"/>
      <c r="BT222" s="863"/>
    </row>
    <row r="223" spans="1:72">
      <c r="A223" s="863" t="s">
        <v>794</v>
      </c>
      <c r="B223" s="863"/>
      <c r="C223" s="863"/>
      <c r="D223" s="863"/>
      <c r="E223" s="863"/>
      <c r="F223" s="863"/>
      <c r="G223" s="863"/>
      <c r="H223" s="863"/>
      <c r="I223" s="863"/>
      <c r="J223" s="863"/>
      <c r="K223" s="863"/>
      <c r="L223" s="863"/>
      <c r="M223" s="863"/>
      <c r="N223" s="863"/>
      <c r="O223" s="863"/>
      <c r="P223" s="863"/>
      <c r="Q223" s="863"/>
      <c r="R223" s="863"/>
      <c r="S223" s="863"/>
      <c r="T223" s="863"/>
      <c r="U223" s="863"/>
      <c r="V223" s="863"/>
      <c r="W223" s="863"/>
      <c r="X223" s="863"/>
      <c r="Y223" s="863"/>
      <c r="Z223" s="863"/>
      <c r="AA223" s="863"/>
      <c r="AB223" s="863"/>
      <c r="AC223" s="863"/>
      <c r="AD223" s="863"/>
      <c r="AE223" s="863"/>
      <c r="AF223" s="863"/>
      <c r="AG223" s="863"/>
      <c r="AH223" s="863"/>
      <c r="AI223" s="863"/>
      <c r="AJ223" s="863"/>
      <c r="AK223" s="863"/>
      <c r="AL223" s="863"/>
      <c r="AM223" s="863"/>
      <c r="AN223" s="863"/>
      <c r="AO223" s="863"/>
      <c r="AP223" s="863"/>
      <c r="AQ223" s="863"/>
      <c r="AR223" s="863"/>
      <c r="AS223" s="863"/>
      <c r="AT223" s="863"/>
      <c r="AU223" s="863"/>
      <c r="AV223" s="863"/>
      <c r="AW223" s="863"/>
      <c r="AX223" s="863"/>
      <c r="AY223" s="863"/>
      <c r="AZ223" s="863"/>
      <c r="BA223" s="863"/>
      <c r="BB223" s="863"/>
      <c r="BC223" s="863"/>
      <c r="BD223" s="863"/>
      <c r="BE223" s="863"/>
      <c r="BF223" s="863"/>
      <c r="BG223" s="863"/>
      <c r="BH223" s="863"/>
      <c r="BI223" s="863"/>
      <c r="BJ223" s="863"/>
      <c r="BK223" s="863"/>
      <c r="BL223" s="863"/>
      <c r="BM223" s="863"/>
      <c r="BN223" s="863"/>
      <c r="BO223" s="863"/>
      <c r="BP223" s="863"/>
      <c r="BQ223" s="863"/>
      <c r="BR223" s="863"/>
      <c r="BS223" s="863"/>
      <c r="BT223" s="863"/>
    </row>
    <row r="224" spans="1:72">
      <c r="A224" s="863" t="s">
        <v>795</v>
      </c>
      <c r="B224" s="863"/>
      <c r="C224" s="863"/>
      <c r="D224" s="863"/>
      <c r="E224" s="863"/>
      <c r="F224" s="863"/>
      <c r="G224" s="863"/>
      <c r="H224" s="863"/>
      <c r="I224" s="863"/>
      <c r="J224" s="863"/>
      <c r="K224" s="863"/>
      <c r="L224" s="863"/>
      <c r="M224" s="863"/>
      <c r="N224" s="863"/>
      <c r="O224" s="863"/>
      <c r="P224" s="863"/>
      <c r="Q224" s="863"/>
      <c r="R224" s="863"/>
      <c r="S224" s="863"/>
      <c r="T224" s="863"/>
      <c r="U224" s="863"/>
      <c r="V224" s="863"/>
      <c r="W224" s="863"/>
      <c r="X224" s="863"/>
      <c r="Y224" s="863"/>
      <c r="Z224" s="863"/>
      <c r="AA224" s="863"/>
      <c r="AB224" s="863"/>
      <c r="AC224" s="863"/>
      <c r="AD224" s="863"/>
      <c r="AE224" s="863"/>
      <c r="AF224" s="863"/>
      <c r="AG224" s="863"/>
      <c r="AH224" s="863"/>
      <c r="AI224" s="863"/>
      <c r="AJ224" s="863"/>
      <c r="AK224" s="863"/>
      <c r="AL224" s="863"/>
      <c r="AM224" s="863"/>
      <c r="AN224" s="863"/>
      <c r="AO224" s="863"/>
      <c r="AP224" s="863"/>
      <c r="AQ224" s="863"/>
      <c r="AR224" s="863"/>
      <c r="AS224" s="863"/>
      <c r="AT224" s="863"/>
      <c r="AU224" s="863"/>
      <c r="AV224" s="863"/>
      <c r="AW224" s="863"/>
      <c r="AX224" s="863"/>
      <c r="AY224" s="863"/>
      <c r="AZ224" s="863"/>
      <c r="BA224" s="863"/>
      <c r="BB224" s="863"/>
      <c r="BC224" s="863"/>
      <c r="BD224" s="863"/>
      <c r="BE224" s="863"/>
      <c r="BF224" s="863"/>
      <c r="BG224" s="863"/>
      <c r="BH224" s="863"/>
      <c r="BI224" s="863"/>
      <c r="BJ224" s="863"/>
      <c r="BK224" s="863"/>
      <c r="BL224" s="863"/>
      <c r="BM224" s="863"/>
      <c r="BN224" s="863"/>
      <c r="BO224" s="863"/>
      <c r="BP224" s="863"/>
      <c r="BQ224" s="863"/>
      <c r="BR224" s="863"/>
      <c r="BS224" s="863"/>
      <c r="BT224" s="863"/>
    </row>
    <row r="225" spans="1:72">
      <c r="A225" s="863" t="s">
        <v>796</v>
      </c>
      <c r="B225" s="863"/>
      <c r="C225" s="863"/>
      <c r="D225" s="863"/>
      <c r="E225" s="863"/>
      <c r="F225" s="863"/>
      <c r="G225" s="863"/>
      <c r="H225" s="863"/>
      <c r="I225" s="863"/>
      <c r="J225" s="863"/>
      <c r="K225" s="863"/>
      <c r="L225" s="863"/>
      <c r="M225" s="863"/>
      <c r="N225" s="863"/>
      <c r="O225" s="863"/>
      <c r="P225" s="863"/>
      <c r="Q225" s="863"/>
      <c r="R225" s="863"/>
      <c r="S225" s="863"/>
      <c r="T225" s="863"/>
      <c r="U225" s="863"/>
      <c r="V225" s="863"/>
      <c r="W225" s="863"/>
      <c r="X225" s="863"/>
      <c r="Y225" s="863"/>
      <c r="Z225" s="863"/>
      <c r="AA225" s="863"/>
      <c r="AB225" s="863"/>
      <c r="AC225" s="863"/>
      <c r="AD225" s="863"/>
      <c r="AE225" s="863"/>
      <c r="AF225" s="863"/>
      <c r="AG225" s="863"/>
      <c r="AH225" s="863"/>
      <c r="AI225" s="863"/>
      <c r="AJ225" s="863"/>
      <c r="AK225" s="863"/>
      <c r="AL225" s="863"/>
      <c r="AM225" s="863"/>
      <c r="AN225" s="863"/>
      <c r="AO225" s="863"/>
      <c r="AP225" s="863"/>
      <c r="AQ225" s="863"/>
      <c r="AR225" s="863"/>
      <c r="AS225" s="863"/>
      <c r="AT225" s="863"/>
      <c r="AU225" s="863"/>
      <c r="AV225" s="863"/>
      <c r="AW225" s="863"/>
      <c r="AX225" s="863"/>
      <c r="AY225" s="863"/>
      <c r="AZ225" s="863"/>
      <c r="BA225" s="863"/>
      <c r="BB225" s="863"/>
      <c r="BC225" s="863"/>
      <c r="BD225" s="863"/>
      <c r="BE225" s="863"/>
      <c r="BF225" s="863"/>
      <c r="BG225" s="863"/>
      <c r="BH225" s="863"/>
      <c r="BI225" s="863"/>
      <c r="BJ225" s="863"/>
      <c r="BK225" s="863"/>
      <c r="BL225" s="863"/>
      <c r="BM225" s="863"/>
      <c r="BN225" s="863"/>
      <c r="BO225" s="863"/>
      <c r="BP225" s="863"/>
      <c r="BQ225" s="863"/>
      <c r="BR225" s="863"/>
      <c r="BS225" s="863"/>
      <c r="BT225" s="863"/>
    </row>
    <row r="226" spans="1:72">
      <c r="A226" s="863" t="s">
        <v>797</v>
      </c>
      <c r="B226" s="863"/>
      <c r="C226" s="863"/>
      <c r="D226" s="863"/>
      <c r="E226" s="863"/>
      <c r="F226" s="863"/>
      <c r="G226" s="863"/>
      <c r="H226" s="863"/>
      <c r="I226" s="863"/>
      <c r="J226" s="863"/>
      <c r="K226" s="863"/>
      <c r="L226" s="863"/>
      <c r="M226" s="863"/>
      <c r="N226" s="863"/>
      <c r="O226" s="863"/>
      <c r="P226" s="863"/>
      <c r="Q226" s="863"/>
      <c r="R226" s="863"/>
      <c r="S226" s="863"/>
      <c r="T226" s="863"/>
      <c r="U226" s="863"/>
      <c r="V226" s="863"/>
      <c r="W226" s="863"/>
      <c r="X226" s="863"/>
      <c r="Y226" s="863"/>
      <c r="Z226" s="863"/>
      <c r="AA226" s="863"/>
      <c r="AB226" s="863"/>
      <c r="AC226" s="863"/>
      <c r="AD226" s="863"/>
      <c r="AE226" s="863"/>
      <c r="AF226" s="863"/>
      <c r="AG226" s="863"/>
      <c r="AH226" s="863"/>
      <c r="AI226" s="863"/>
      <c r="AJ226" s="863"/>
      <c r="AK226" s="863"/>
      <c r="AL226" s="863"/>
      <c r="AM226" s="863"/>
      <c r="AN226" s="863"/>
      <c r="AO226" s="863"/>
      <c r="AP226" s="863"/>
      <c r="AQ226" s="863"/>
      <c r="AR226" s="863"/>
      <c r="AS226" s="863"/>
      <c r="AT226" s="863"/>
      <c r="AU226" s="863"/>
      <c r="AV226" s="863"/>
      <c r="AW226" s="863"/>
      <c r="AX226" s="863"/>
      <c r="AY226" s="863"/>
      <c r="AZ226" s="863"/>
      <c r="BA226" s="863"/>
      <c r="BB226" s="863"/>
      <c r="BC226" s="863"/>
      <c r="BD226" s="863"/>
      <c r="BE226" s="863"/>
      <c r="BF226" s="863"/>
      <c r="BG226" s="863"/>
      <c r="BH226" s="863"/>
      <c r="BI226" s="863"/>
      <c r="BJ226" s="863"/>
      <c r="BK226" s="863"/>
      <c r="BL226" s="863"/>
      <c r="BM226" s="863"/>
      <c r="BN226" s="863"/>
      <c r="BO226" s="863"/>
      <c r="BP226" s="863"/>
      <c r="BQ226" s="863"/>
      <c r="BR226" s="863"/>
      <c r="BS226" s="863"/>
      <c r="BT226" s="863"/>
    </row>
    <row r="227" spans="1:72">
      <c r="A227" s="863" t="s">
        <v>798</v>
      </c>
      <c r="B227" s="863"/>
      <c r="C227" s="863"/>
      <c r="D227" s="863"/>
      <c r="E227" s="863"/>
      <c r="F227" s="863"/>
      <c r="G227" s="863"/>
      <c r="H227" s="863"/>
      <c r="I227" s="863"/>
      <c r="J227" s="863"/>
      <c r="K227" s="863"/>
      <c r="L227" s="863"/>
      <c r="M227" s="863"/>
      <c r="N227" s="863"/>
      <c r="O227" s="863"/>
      <c r="P227" s="863"/>
      <c r="Q227" s="863"/>
      <c r="R227" s="863"/>
      <c r="S227" s="863"/>
      <c r="T227" s="863"/>
      <c r="U227" s="863"/>
      <c r="V227" s="863"/>
      <c r="W227" s="863"/>
      <c r="X227" s="863"/>
      <c r="Y227" s="863"/>
      <c r="Z227" s="863"/>
      <c r="AA227" s="863"/>
      <c r="AB227" s="863"/>
      <c r="AC227" s="863"/>
      <c r="AD227" s="863"/>
      <c r="AE227" s="863"/>
      <c r="AF227" s="863"/>
      <c r="AG227" s="863"/>
      <c r="AH227" s="863"/>
      <c r="AI227" s="863"/>
      <c r="AJ227" s="863"/>
      <c r="AK227" s="863"/>
      <c r="AL227" s="863"/>
      <c r="AM227" s="863"/>
      <c r="AN227" s="863"/>
      <c r="AO227" s="863"/>
      <c r="AP227" s="863"/>
      <c r="AQ227" s="863"/>
      <c r="AR227" s="863"/>
      <c r="AS227" s="863"/>
      <c r="AT227" s="863"/>
      <c r="AU227" s="863"/>
      <c r="AV227" s="863"/>
      <c r="AW227" s="863"/>
      <c r="AX227" s="863"/>
      <c r="AY227" s="863"/>
      <c r="AZ227" s="863"/>
      <c r="BA227" s="863"/>
      <c r="BB227" s="863"/>
      <c r="BC227" s="863"/>
      <c r="BD227" s="863"/>
      <c r="BE227" s="863"/>
      <c r="BF227" s="863"/>
      <c r="BG227" s="863"/>
      <c r="BH227" s="863"/>
      <c r="BI227" s="863"/>
      <c r="BJ227" s="863"/>
      <c r="BK227" s="863"/>
      <c r="BL227" s="863"/>
      <c r="BM227" s="863"/>
      <c r="BN227" s="863"/>
      <c r="BO227" s="863"/>
      <c r="BP227" s="863"/>
      <c r="BQ227" s="863"/>
      <c r="BR227" s="863"/>
      <c r="BS227" s="863"/>
      <c r="BT227" s="863"/>
    </row>
    <row r="228" spans="1:72">
      <c r="A228" s="863" t="s">
        <v>799</v>
      </c>
      <c r="B228" s="863"/>
      <c r="C228" s="863"/>
      <c r="D228" s="863"/>
      <c r="E228" s="863"/>
      <c r="F228" s="863"/>
      <c r="G228" s="863"/>
      <c r="H228" s="863"/>
      <c r="I228" s="863"/>
      <c r="J228" s="863"/>
      <c r="K228" s="863"/>
      <c r="L228" s="863"/>
      <c r="M228" s="863"/>
      <c r="N228" s="863"/>
      <c r="O228" s="863"/>
      <c r="P228" s="863"/>
      <c r="Q228" s="863"/>
      <c r="R228" s="863"/>
      <c r="S228" s="863"/>
      <c r="T228" s="863"/>
      <c r="U228" s="863"/>
      <c r="V228" s="863"/>
      <c r="W228" s="863"/>
      <c r="X228" s="863"/>
      <c r="Y228" s="863"/>
      <c r="Z228" s="863"/>
      <c r="AA228" s="863"/>
      <c r="AB228" s="863"/>
      <c r="AC228" s="863"/>
      <c r="AD228" s="863"/>
      <c r="AE228" s="863"/>
      <c r="AF228" s="863"/>
      <c r="AG228" s="863"/>
      <c r="AH228" s="863"/>
      <c r="AI228" s="863"/>
      <c r="AJ228" s="863"/>
      <c r="AK228" s="863"/>
      <c r="AL228" s="863"/>
      <c r="AM228" s="863"/>
      <c r="AN228" s="863"/>
      <c r="AO228" s="863"/>
      <c r="AP228" s="863"/>
      <c r="AQ228" s="863"/>
      <c r="AR228" s="863"/>
      <c r="AS228" s="863"/>
      <c r="AT228" s="863"/>
      <c r="AU228" s="863"/>
      <c r="AV228" s="863"/>
      <c r="AW228" s="863"/>
      <c r="AX228" s="863"/>
      <c r="AY228" s="863"/>
      <c r="AZ228" s="863"/>
      <c r="BA228" s="863"/>
      <c r="BB228" s="863"/>
      <c r="BC228" s="863"/>
      <c r="BD228" s="863"/>
      <c r="BE228" s="863"/>
      <c r="BF228" s="863"/>
      <c r="BG228" s="863"/>
      <c r="BH228" s="863"/>
      <c r="BI228" s="863"/>
      <c r="BJ228" s="863"/>
      <c r="BK228" s="863"/>
      <c r="BL228" s="863"/>
      <c r="BM228" s="863"/>
      <c r="BN228" s="863"/>
      <c r="BO228" s="863"/>
      <c r="BP228" s="863"/>
      <c r="BQ228" s="863"/>
      <c r="BR228" s="863"/>
      <c r="BS228" s="863"/>
      <c r="BT228" s="863"/>
    </row>
    <row r="229" spans="1:72">
      <c r="A229" s="863" t="s">
        <v>800</v>
      </c>
      <c r="B229" s="863"/>
      <c r="C229" s="863"/>
      <c r="D229" s="863"/>
      <c r="E229" s="863"/>
      <c r="F229" s="863"/>
      <c r="G229" s="863"/>
      <c r="H229" s="863"/>
      <c r="I229" s="863"/>
      <c r="J229" s="863"/>
      <c r="K229" s="863"/>
      <c r="L229" s="863"/>
      <c r="M229" s="863"/>
      <c r="N229" s="863"/>
      <c r="O229" s="863"/>
      <c r="P229" s="863"/>
      <c r="Q229" s="863"/>
      <c r="R229" s="863"/>
      <c r="S229" s="863"/>
      <c r="T229" s="863"/>
      <c r="U229" s="863"/>
      <c r="V229" s="863"/>
      <c r="W229" s="863"/>
      <c r="X229" s="863"/>
      <c r="Y229" s="863"/>
      <c r="Z229" s="863"/>
      <c r="AA229" s="863"/>
      <c r="AB229" s="863"/>
      <c r="AC229" s="863"/>
      <c r="AD229" s="863"/>
      <c r="AE229" s="863"/>
      <c r="AF229" s="863"/>
      <c r="AG229" s="863"/>
      <c r="AH229" s="863"/>
      <c r="AI229" s="863"/>
      <c r="AJ229" s="863"/>
      <c r="AK229" s="863"/>
      <c r="AL229" s="863"/>
      <c r="AM229" s="863"/>
      <c r="AN229" s="863"/>
      <c r="AO229" s="863"/>
      <c r="AP229" s="863"/>
      <c r="AQ229" s="863"/>
      <c r="AR229" s="863"/>
      <c r="AS229" s="863"/>
      <c r="AT229" s="863"/>
      <c r="AU229" s="863"/>
      <c r="AV229" s="863"/>
      <c r="AW229" s="863"/>
      <c r="AX229" s="863"/>
      <c r="AY229" s="863"/>
      <c r="AZ229" s="863"/>
      <c r="BA229" s="863"/>
      <c r="BB229" s="863"/>
      <c r="BC229" s="863"/>
      <c r="BD229" s="863"/>
      <c r="BE229" s="863"/>
      <c r="BF229" s="863"/>
      <c r="BG229" s="863"/>
      <c r="BH229" s="863"/>
      <c r="BI229" s="863"/>
      <c r="BJ229" s="863"/>
      <c r="BK229" s="863"/>
      <c r="BL229" s="863"/>
      <c r="BM229" s="863"/>
      <c r="BN229" s="863"/>
      <c r="BO229" s="863"/>
      <c r="BP229" s="863"/>
      <c r="BQ229" s="863"/>
      <c r="BR229" s="863"/>
      <c r="BS229" s="863"/>
      <c r="BT229" s="863"/>
    </row>
    <row r="230" spans="1:72">
      <c r="A230" s="863" t="s">
        <v>801</v>
      </c>
      <c r="B230" s="863"/>
      <c r="C230" s="863"/>
      <c r="D230" s="863"/>
      <c r="E230" s="863"/>
      <c r="F230" s="863"/>
      <c r="G230" s="863"/>
      <c r="H230" s="863"/>
      <c r="I230" s="863"/>
      <c r="J230" s="863"/>
      <c r="K230" s="863"/>
      <c r="L230" s="863"/>
      <c r="M230" s="863"/>
      <c r="N230" s="863"/>
      <c r="O230" s="863"/>
      <c r="P230" s="863"/>
      <c r="Q230" s="863"/>
      <c r="R230" s="863"/>
      <c r="S230" s="863"/>
      <c r="T230" s="863"/>
      <c r="U230" s="863"/>
      <c r="V230" s="863"/>
      <c r="W230" s="863"/>
      <c r="X230" s="863"/>
      <c r="Y230" s="863"/>
      <c r="Z230" s="863"/>
      <c r="AA230" s="863"/>
      <c r="AB230" s="863"/>
      <c r="AC230" s="863"/>
      <c r="AD230" s="863"/>
      <c r="AE230" s="863"/>
      <c r="AF230" s="863"/>
      <c r="AG230" s="863"/>
      <c r="AH230" s="863"/>
      <c r="AI230" s="863"/>
      <c r="AJ230" s="863"/>
      <c r="AK230" s="863"/>
      <c r="AL230" s="863"/>
      <c r="AM230" s="863"/>
      <c r="AN230" s="863"/>
      <c r="AO230" s="863"/>
      <c r="AP230" s="863"/>
      <c r="AQ230" s="863"/>
      <c r="AR230" s="863"/>
      <c r="AS230" s="863"/>
      <c r="AT230" s="863"/>
      <c r="AU230" s="863"/>
      <c r="AV230" s="863"/>
      <c r="AW230" s="863"/>
      <c r="AX230" s="863"/>
      <c r="AY230" s="863"/>
      <c r="AZ230" s="863"/>
      <c r="BA230" s="863"/>
      <c r="BB230" s="863"/>
      <c r="BC230" s="863"/>
      <c r="BD230" s="863"/>
      <c r="BE230" s="863"/>
      <c r="BF230" s="863"/>
      <c r="BG230" s="863"/>
      <c r="BH230" s="863"/>
      <c r="BI230" s="863"/>
      <c r="BJ230" s="863"/>
      <c r="BK230" s="863"/>
      <c r="BL230" s="863"/>
      <c r="BM230" s="863"/>
      <c r="BN230" s="863"/>
      <c r="BO230" s="863"/>
      <c r="BP230" s="863"/>
      <c r="BQ230" s="863"/>
      <c r="BR230" s="863"/>
      <c r="BS230" s="863"/>
      <c r="BT230" s="863"/>
    </row>
    <row r="231" spans="1:72">
      <c r="A231" s="863" t="s">
        <v>802</v>
      </c>
      <c r="B231" s="863"/>
      <c r="C231" s="863"/>
      <c r="D231" s="863"/>
      <c r="E231" s="863"/>
      <c r="F231" s="863"/>
      <c r="G231" s="863"/>
      <c r="H231" s="863"/>
      <c r="I231" s="863"/>
      <c r="J231" s="863"/>
      <c r="K231" s="863"/>
      <c r="L231" s="863"/>
      <c r="M231" s="863"/>
      <c r="N231" s="863"/>
      <c r="O231" s="863"/>
      <c r="P231" s="863"/>
      <c r="Q231" s="863"/>
      <c r="R231" s="863"/>
      <c r="S231" s="863"/>
      <c r="T231" s="863"/>
      <c r="U231" s="863"/>
      <c r="V231" s="863"/>
      <c r="W231" s="863"/>
      <c r="X231" s="863"/>
      <c r="Y231" s="863"/>
      <c r="Z231" s="863"/>
      <c r="AA231" s="863"/>
      <c r="AB231" s="863"/>
      <c r="AC231" s="863"/>
      <c r="AD231" s="863"/>
      <c r="AE231" s="863"/>
      <c r="AF231" s="863"/>
      <c r="AG231" s="863"/>
      <c r="AH231" s="863"/>
      <c r="AI231" s="863"/>
      <c r="AJ231" s="863"/>
      <c r="AK231" s="863"/>
      <c r="AL231" s="863"/>
      <c r="AM231" s="863"/>
      <c r="AN231" s="863"/>
      <c r="AO231" s="863"/>
      <c r="AP231" s="863"/>
      <c r="AQ231" s="863"/>
      <c r="AR231" s="863"/>
      <c r="AS231" s="863"/>
      <c r="AT231" s="863"/>
      <c r="AU231" s="863"/>
      <c r="AV231" s="863"/>
      <c r="AW231" s="863"/>
      <c r="AX231" s="863"/>
      <c r="AY231" s="863"/>
      <c r="AZ231" s="863"/>
      <c r="BA231" s="863"/>
      <c r="BB231" s="863"/>
      <c r="BC231" s="863"/>
      <c r="BD231" s="863"/>
      <c r="BE231" s="863"/>
      <c r="BF231" s="863"/>
      <c r="BG231" s="863"/>
      <c r="BH231" s="863"/>
      <c r="BI231" s="863"/>
      <c r="BJ231" s="863"/>
      <c r="BK231" s="863"/>
      <c r="BL231" s="863"/>
      <c r="BM231" s="863"/>
      <c r="BN231" s="863"/>
      <c r="BO231" s="863"/>
      <c r="BP231" s="863"/>
      <c r="BQ231" s="863"/>
      <c r="BR231" s="863"/>
      <c r="BS231" s="863"/>
      <c r="BT231" s="863"/>
    </row>
    <row r="232" spans="1:72">
      <c r="A232" s="863" t="s">
        <v>803</v>
      </c>
      <c r="B232" s="863"/>
      <c r="C232" s="863"/>
      <c r="D232" s="863"/>
      <c r="E232" s="863"/>
      <c r="F232" s="863"/>
      <c r="G232" s="863"/>
      <c r="H232" s="863"/>
      <c r="I232" s="863"/>
      <c r="J232" s="863"/>
      <c r="K232" s="863"/>
      <c r="L232" s="863"/>
      <c r="M232" s="863"/>
      <c r="N232" s="863"/>
      <c r="O232" s="863"/>
      <c r="P232" s="863"/>
      <c r="Q232" s="863"/>
      <c r="R232" s="863"/>
      <c r="S232" s="863"/>
      <c r="T232" s="863"/>
      <c r="U232" s="863"/>
      <c r="V232" s="863"/>
      <c r="W232" s="863"/>
      <c r="X232" s="863"/>
      <c r="Y232" s="863"/>
      <c r="Z232" s="863"/>
      <c r="AA232" s="863"/>
      <c r="AB232" s="863"/>
      <c r="AC232" s="863"/>
      <c r="AD232" s="863"/>
      <c r="AE232" s="863"/>
      <c r="AF232" s="863"/>
      <c r="AG232" s="863"/>
      <c r="AH232" s="863"/>
      <c r="AI232" s="863"/>
      <c r="AJ232" s="863"/>
      <c r="AK232" s="863"/>
      <c r="AL232" s="863"/>
      <c r="AM232" s="863"/>
      <c r="AN232" s="863"/>
      <c r="AO232" s="863"/>
      <c r="AP232" s="863"/>
      <c r="AQ232" s="863"/>
      <c r="AR232" s="863"/>
      <c r="AS232" s="863"/>
      <c r="AT232" s="863"/>
      <c r="AU232" s="863"/>
      <c r="AV232" s="863"/>
      <c r="AW232" s="863"/>
      <c r="AX232" s="863"/>
      <c r="AY232" s="863"/>
      <c r="AZ232" s="863"/>
      <c r="BA232" s="863"/>
      <c r="BB232" s="863"/>
      <c r="BC232" s="863"/>
      <c r="BD232" s="863"/>
      <c r="BE232" s="863"/>
      <c r="BF232" s="863"/>
      <c r="BG232" s="863"/>
      <c r="BH232" s="863"/>
      <c r="BI232" s="863"/>
      <c r="BJ232" s="863"/>
      <c r="BK232" s="863"/>
      <c r="BL232" s="863"/>
      <c r="BM232" s="863"/>
      <c r="BN232" s="863"/>
      <c r="BO232" s="863"/>
      <c r="BP232" s="863"/>
      <c r="BQ232" s="863"/>
      <c r="BR232" s="863"/>
      <c r="BS232" s="863"/>
      <c r="BT232" s="863"/>
    </row>
    <row r="233" spans="1:72">
      <c r="A233" s="843" t="s">
        <v>804</v>
      </c>
      <c r="AA233" s="287"/>
      <c r="AB233" s="287"/>
      <c r="AC233" s="287"/>
      <c r="AD233" s="287"/>
    </row>
    <row r="234" spans="1:72">
      <c r="A234" s="843" t="s">
        <v>805</v>
      </c>
      <c r="AA234" s="287"/>
      <c r="AB234" s="287"/>
      <c r="AC234" s="287"/>
      <c r="AD234" s="287"/>
    </row>
    <row r="235" spans="1:72">
      <c r="A235" s="843" t="s">
        <v>717</v>
      </c>
      <c r="B235" t="s">
        <v>718</v>
      </c>
      <c r="C235" t="s">
        <v>719</v>
      </c>
      <c r="E235" t="s">
        <v>720</v>
      </c>
      <c r="AA235" s="287"/>
      <c r="AB235" s="287"/>
      <c r="AC235" s="287"/>
      <c r="AD235" s="287"/>
    </row>
    <row r="236" spans="1:72">
      <c r="AA236" s="287"/>
      <c r="AB236" s="287"/>
      <c r="AC236" s="287"/>
      <c r="AD236" s="287"/>
    </row>
    <row r="237" spans="1:72">
      <c r="A237" s="843" t="s">
        <v>446</v>
      </c>
      <c r="AA237" s="287"/>
      <c r="AB237" s="287"/>
      <c r="AC237" s="287"/>
      <c r="AD237" s="287"/>
    </row>
    <row r="238" spans="1:72">
      <c r="A238" s="843" t="s">
        <v>721</v>
      </c>
      <c r="AA238" s="287"/>
      <c r="AB238" s="287"/>
      <c r="AC238" s="287"/>
      <c r="AD238" s="287"/>
    </row>
    <row r="239" spans="1:72">
      <c r="AA239" s="287"/>
      <c r="AB239" s="287"/>
      <c r="AC239" s="287"/>
      <c r="AD239" s="287"/>
    </row>
    <row r="240" spans="1:72">
      <c r="AA240" s="287"/>
      <c r="AB240" s="287"/>
      <c r="AC240" s="287"/>
      <c r="AD240" s="287"/>
    </row>
    <row r="241" spans="1:70">
      <c r="AA241" s="287"/>
      <c r="AB241" s="287"/>
      <c r="AC241" s="287"/>
      <c r="AD241" s="287"/>
    </row>
    <row r="242" spans="1:70">
      <c r="B242" s="844" t="s">
        <v>452</v>
      </c>
      <c r="C242" s="844" t="s">
        <v>453</v>
      </c>
      <c r="D242" s="844" t="s">
        <v>454</v>
      </c>
      <c r="E242" s="844" t="s">
        <v>455</v>
      </c>
      <c r="F242" s="844" t="s">
        <v>456</v>
      </c>
      <c r="G242" s="844" t="s">
        <v>457</v>
      </c>
      <c r="H242" s="844" t="s">
        <v>458</v>
      </c>
      <c r="I242" s="844" t="s">
        <v>459</v>
      </c>
      <c r="J242" s="844" t="s">
        <v>460</v>
      </c>
      <c r="K242" s="844" t="s">
        <v>461</v>
      </c>
      <c r="L242" s="844" t="s">
        <v>462</v>
      </c>
      <c r="M242" s="844" t="s">
        <v>463</v>
      </c>
      <c r="N242" s="844" t="s">
        <v>464</v>
      </c>
      <c r="O242" s="844" t="s">
        <v>465</v>
      </c>
      <c r="P242" s="844" t="s">
        <v>466</v>
      </c>
      <c r="Q242" s="844" t="s">
        <v>467</v>
      </c>
      <c r="R242" s="844" t="s">
        <v>468</v>
      </c>
      <c r="S242" s="844" t="s">
        <v>469</v>
      </c>
      <c r="T242" s="844" t="s">
        <v>470</v>
      </c>
      <c r="U242" s="844" t="s">
        <v>471</v>
      </c>
      <c r="V242" s="844" t="s">
        <v>603</v>
      </c>
      <c r="W242" s="844" t="s">
        <v>604</v>
      </c>
      <c r="X242" s="844" t="s">
        <v>605</v>
      </c>
      <c r="Y242" s="844" t="s">
        <v>606</v>
      </c>
      <c r="Z242" s="844" t="s">
        <v>607</v>
      </c>
      <c r="AA242" s="287" t="s">
        <v>604</v>
      </c>
      <c r="AB242" s="287" t="s">
        <v>605</v>
      </c>
      <c r="AC242" s="287" t="s">
        <v>606</v>
      </c>
      <c r="AD242" s="287" t="s">
        <v>607</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c r="AA243" s="287"/>
      <c r="AB243" s="287"/>
      <c r="AC243" s="287"/>
      <c r="AD243" s="287"/>
    </row>
    <row r="244" spans="1:70">
      <c r="AA244" s="287"/>
      <c r="AB244" s="287"/>
      <c r="AC244" s="287"/>
      <c r="AD244" s="287"/>
    </row>
    <row r="245" spans="1:70">
      <c r="A245" s="843" t="s">
        <v>472</v>
      </c>
      <c r="AA245" s="287"/>
      <c r="AB245" s="287"/>
      <c r="AC245" s="287"/>
      <c r="AD245" s="287"/>
    </row>
    <row r="246" spans="1:70">
      <c r="A246" s="843" t="s">
        <v>608</v>
      </c>
      <c r="B246" s="845">
        <v>23.882804870605501</v>
      </c>
      <c r="C246" s="845">
        <v>24.973464965820298</v>
      </c>
      <c r="D246" s="845">
        <v>28.470840454101602</v>
      </c>
      <c r="E246" s="845">
        <v>21.505495071411101</v>
      </c>
      <c r="F246" s="845">
        <v>20.697200775146499</v>
      </c>
      <c r="G246" s="845">
        <v>23.0020751953125</v>
      </c>
      <c r="H246" s="845">
        <v>24.980747222900401</v>
      </c>
      <c r="I246" s="845">
        <v>26.7403888702393</v>
      </c>
      <c r="J246" s="845">
        <v>28.254840850830099</v>
      </c>
      <c r="K246" s="845">
        <v>29.8807067871094</v>
      </c>
      <c r="L246" s="845">
        <v>30.930690765380898</v>
      </c>
      <c r="M246" s="845">
        <v>31.804765701293899</v>
      </c>
      <c r="N246" s="845">
        <v>32.682899475097699</v>
      </c>
      <c r="O246" s="845">
        <v>33.084945678710902</v>
      </c>
      <c r="P246" s="845">
        <v>33.339298248291001</v>
      </c>
      <c r="Q246" s="845">
        <v>33.569530487060497</v>
      </c>
      <c r="R246" s="845">
        <v>33.692008972167997</v>
      </c>
      <c r="S246" s="845">
        <v>34.029460906982401</v>
      </c>
      <c r="T246" s="845">
        <v>34.165733337402301</v>
      </c>
      <c r="U246" s="845">
        <v>33.722698211669901</v>
      </c>
      <c r="V246" s="845">
        <v>33.999015808105497</v>
      </c>
      <c r="W246" s="845">
        <v>34.276668548583999</v>
      </c>
      <c r="X246" s="845">
        <v>34.616855621337898</v>
      </c>
      <c r="Y246" s="845">
        <v>34.804977416992202</v>
      </c>
      <c r="Z246" s="845">
        <v>35.163482666015597</v>
      </c>
      <c r="AA246" s="287">
        <v>23.653226852416999</v>
      </c>
      <c r="AB246" s="287">
        <v>23.781959533691399</v>
      </c>
      <c r="AC246" s="287">
        <v>23.869001388549801</v>
      </c>
      <c r="AD246" s="287">
        <v>23.909082412719702</v>
      </c>
    </row>
    <row r="247" spans="1:70">
      <c r="A247" s="843" t="s">
        <v>609</v>
      </c>
      <c r="B247" s="845">
        <v>18.4642543792725</v>
      </c>
      <c r="C247" s="845">
        <v>19.664405822753899</v>
      </c>
      <c r="D247" s="845">
        <v>23.940315246581999</v>
      </c>
      <c r="E247" s="845">
        <v>15.6857194900513</v>
      </c>
      <c r="F247" s="845">
        <v>13.3512983322144</v>
      </c>
      <c r="G247" s="845">
        <v>15.708171844482401</v>
      </c>
      <c r="H247" s="845">
        <v>17.491518020629901</v>
      </c>
      <c r="I247" s="845">
        <v>18.8044624328613</v>
      </c>
      <c r="J247" s="845">
        <v>20.071212768554702</v>
      </c>
      <c r="K247" s="845">
        <v>21.571735382080099</v>
      </c>
      <c r="L247" s="845">
        <v>22.444984436035199</v>
      </c>
      <c r="M247" s="845">
        <v>23.2645053863525</v>
      </c>
      <c r="N247" s="845">
        <v>23.975505828857401</v>
      </c>
      <c r="O247" s="845">
        <v>24.350082397460898</v>
      </c>
      <c r="P247" s="845">
        <v>24.6401481628418</v>
      </c>
      <c r="Q247" s="845">
        <v>24.7862453460693</v>
      </c>
      <c r="R247" s="845">
        <v>24.899822235107401</v>
      </c>
      <c r="S247" s="845">
        <v>25.1952934265137</v>
      </c>
      <c r="T247" s="845">
        <v>25.492937088012699</v>
      </c>
      <c r="U247" s="845">
        <v>25.134300231933601</v>
      </c>
      <c r="V247" s="845">
        <v>25.433099746704102</v>
      </c>
      <c r="W247" s="845">
        <v>25.7546691894531</v>
      </c>
      <c r="X247" s="845">
        <v>26.098386764526399</v>
      </c>
      <c r="Y247" s="845">
        <v>26.3820476531982</v>
      </c>
      <c r="Z247" s="845">
        <v>26.7700805664063</v>
      </c>
      <c r="AA247" s="287">
        <v>13.801754951477101</v>
      </c>
      <c r="AB247" s="287">
        <v>13.897899627685501</v>
      </c>
      <c r="AC247" s="287">
        <v>14.058331489563001</v>
      </c>
      <c r="AD247" s="287">
        <v>14.125551223754901</v>
      </c>
    </row>
    <row r="248" spans="1:70">
      <c r="A248" s="843" t="s">
        <v>509</v>
      </c>
      <c r="B248" s="845">
        <v>13.7000589370728</v>
      </c>
      <c r="C248" s="845">
        <v>12.691158294677701</v>
      </c>
      <c r="D248" s="845">
        <v>12.9778490066528</v>
      </c>
      <c r="E248" s="845">
        <v>10.717614173889199</v>
      </c>
      <c r="F248" s="845">
        <v>11.192774772644</v>
      </c>
      <c r="G248" s="845">
        <v>11.487280845642101</v>
      </c>
      <c r="H248" s="845">
        <v>11.3991556167603</v>
      </c>
      <c r="I248" s="845">
        <v>11.307798385620099</v>
      </c>
      <c r="J248" s="845">
        <v>11.2896461486816</v>
      </c>
      <c r="K248" s="845">
        <v>11.345415115356399</v>
      </c>
      <c r="L248" s="845">
        <v>11.538298606872599</v>
      </c>
      <c r="M248" s="845">
        <v>11.7583208084106</v>
      </c>
      <c r="N248" s="845">
        <v>11.975100517272899</v>
      </c>
      <c r="O248" s="845">
        <v>12.23952293396</v>
      </c>
      <c r="P248" s="845">
        <v>12.557071685791</v>
      </c>
      <c r="Q248" s="845">
        <v>12.7957820892334</v>
      </c>
      <c r="R248" s="845">
        <v>12.871651649475099</v>
      </c>
      <c r="S248" s="845">
        <v>12.660281181335399</v>
      </c>
      <c r="T248" s="845">
        <v>12.6240320205688</v>
      </c>
      <c r="U248" s="845">
        <v>12.5992183685303</v>
      </c>
      <c r="V248" s="845">
        <v>12.7868556976318</v>
      </c>
      <c r="W248" s="845">
        <v>13.07555103302</v>
      </c>
      <c r="X248" s="845">
        <v>13.407883644104</v>
      </c>
      <c r="Y248" s="845">
        <v>13.6725673675537</v>
      </c>
      <c r="Z248" s="845">
        <v>13.962038993835399</v>
      </c>
      <c r="AA248" s="287">
        <v>11.116808891296399</v>
      </c>
      <c r="AB248" s="287">
        <v>11.2574377059937</v>
      </c>
      <c r="AC248" s="287">
        <v>11.3709173202515</v>
      </c>
      <c r="AD248" s="287">
        <v>11.426144599914601</v>
      </c>
    </row>
    <row r="249" spans="1:70">
      <c r="A249" s="843" t="s">
        <v>478</v>
      </c>
      <c r="B249" s="845">
        <v>31.206779479980501</v>
      </c>
      <c r="C249" s="845">
        <v>31.181957244873001</v>
      </c>
      <c r="D249" s="845">
        <v>31.772819519043001</v>
      </c>
      <c r="E249" s="845">
        <v>30.736837387085</v>
      </c>
      <c r="F249" s="845">
        <v>28.616357803344702</v>
      </c>
      <c r="G249" s="845">
        <v>29.873619079589801</v>
      </c>
      <c r="H249" s="845">
        <v>30.101655960083001</v>
      </c>
      <c r="I249" s="845">
        <v>30.425390243530298</v>
      </c>
      <c r="J249" s="845">
        <v>30.7938537597656</v>
      </c>
      <c r="K249" s="845">
        <v>30.883028030395501</v>
      </c>
      <c r="L249" s="845">
        <v>31.149145126342798</v>
      </c>
      <c r="M249" s="845">
        <v>31.4898681640625</v>
      </c>
      <c r="N249" s="845">
        <v>31.815629959106399</v>
      </c>
      <c r="O249" s="845">
        <v>32.020698547363303</v>
      </c>
      <c r="P249" s="845">
        <v>32.4303588867188</v>
      </c>
      <c r="Q249" s="845">
        <v>32.7907905578613</v>
      </c>
      <c r="R249" s="845">
        <v>32.994007110595703</v>
      </c>
      <c r="S249" s="845">
        <v>32.923465728759801</v>
      </c>
      <c r="T249" s="845">
        <v>32.920154571533203</v>
      </c>
      <c r="U249" s="845">
        <v>32.902271270752003</v>
      </c>
      <c r="V249" s="845">
        <v>32.958240509033203</v>
      </c>
      <c r="W249" s="845">
        <v>33.321102142333999</v>
      </c>
      <c r="X249" s="845">
        <v>33.734363555908203</v>
      </c>
      <c r="Y249" s="845">
        <v>34.149539947509801</v>
      </c>
      <c r="Z249" s="845">
        <v>34.490489959716797</v>
      </c>
      <c r="AA249" s="287">
        <v>26.5695495605469</v>
      </c>
      <c r="AB249" s="287">
        <v>26.6057014465332</v>
      </c>
      <c r="AC249" s="287">
        <v>26.7373046875</v>
      </c>
      <c r="AD249" s="287">
        <v>26.757972717285199</v>
      </c>
    </row>
    <row r="250" spans="1:70">
      <c r="AA250" s="287"/>
      <c r="AB250" s="287"/>
      <c r="AC250" s="287"/>
      <c r="AD250" s="287"/>
    </row>
    <row r="251" spans="1:70">
      <c r="A251" s="843" t="s">
        <v>479</v>
      </c>
      <c r="AA251" s="287">
        <v>12.0537929534912</v>
      </c>
      <c r="AB251" s="287">
        <v>12.2529897689819</v>
      </c>
      <c r="AC251" s="287">
        <v>12.3258762359619</v>
      </c>
      <c r="AD251" s="287">
        <v>12.452996253967299</v>
      </c>
    </row>
    <row r="252" spans="1:70" ht="13.5" thickBot="1">
      <c r="A252" s="843" t="s">
        <v>608</v>
      </c>
      <c r="B252" s="845">
        <v>21.1974983215332</v>
      </c>
      <c r="C252" s="845">
        <v>23.041419982910199</v>
      </c>
      <c r="D252" s="845">
        <v>23.540430068969702</v>
      </c>
      <c r="E252" s="845">
        <v>20.975297927856399</v>
      </c>
      <c r="F252" s="845">
        <v>17.540355682373001</v>
      </c>
      <c r="G252" s="845">
        <v>19.827720642089801</v>
      </c>
      <c r="H252" s="845">
        <v>21.7962131500244</v>
      </c>
      <c r="I252" s="845">
        <v>23.5440998077393</v>
      </c>
      <c r="J252" s="845">
        <v>25.047388076782202</v>
      </c>
      <c r="K252" s="845">
        <v>26.6623840332031</v>
      </c>
      <c r="L252" s="845">
        <v>27.701774597168001</v>
      </c>
      <c r="M252" s="845">
        <v>28.565574645996101</v>
      </c>
      <c r="N252" s="845">
        <v>29.4346523284912</v>
      </c>
      <c r="O252" s="845">
        <v>29.8274021148682</v>
      </c>
      <c r="P252" s="845">
        <v>30.0731811523438</v>
      </c>
      <c r="Q252" s="845">
        <v>30.2960014343262</v>
      </c>
      <c r="R252" s="845">
        <v>30.4115695953369</v>
      </c>
      <c r="S252" s="845">
        <v>30.7421360015869</v>
      </c>
      <c r="T252" s="845">
        <v>30.871879577636701</v>
      </c>
      <c r="U252" s="845">
        <v>30.422807693481399</v>
      </c>
      <c r="V252" s="845">
        <v>30.6932373046875</v>
      </c>
      <c r="W252" s="845">
        <v>30.965314865112301</v>
      </c>
      <c r="X252" s="845">
        <v>31.299940109252901</v>
      </c>
      <c r="Y252" s="845">
        <v>31.482862472534201</v>
      </c>
      <c r="Z252" s="845">
        <v>31.836189270019499</v>
      </c>
      <c r="AA252" s="287">
        <v>7.3951959609985396</v>
      </c>
      <c r="AB252" s="287">
        <v>7.4624595642089799</v>
      </c>
      <c r="AC252" s="287">
        <v>7.2386937141418501</v>
      </c>
      <c r="AD252" s="287">
        <v>7.3113985061645499</v>
      </c>
    </row>
    <row r="253" spans="1:70" ht="13.5" thickBot="1">
      <c r="A253" s="843" t="s">
        <v>609</v>
      </c>
      <c r="B253" s="845">
        <v>15.019946098327599</v>
      </c>
      <c r="C253" s="845">
        <v>16.054100036621101</v>
      </c>
      <c r="D253" s="845">
        <v>20.9568576812744</v>
      </c>
      <c r="E253" s="845">
        <v>13.740292549133301</v>
      </c>
      <c r="F253" s="845">
        <v>10.759732246398899</v>
      </c>
      <c r="G253" s="845">
        <v>13.277551651001</v>
      </c>
      <c r="H253" s="845">
        <v>15.102119445800801</v>
      </c>
      <c r="I253" s="845">
        <v>16.819028854370099</v>
      </c>
      <c r="J253" s="845">
        <v>18.163129806518601</v>
      </c>
      <c r="K253" s="845">
        <v>19.404659271240199</v>
      </c>
      <c r="L253" s="845">
        <v>20.2805690765381</v>
      </c>
      <c r="M253" s="845">
        <v>21.141357421875</v>
      </c>
      <c r="N253" s="845">
        <v>21.870569229126001</v>
      </c>
      <c r="O253" s="845">
        <v>22.288406372070298</v>
      </c>
      <c r="P253" s="845">
        <v>22.606428146362301</v>
      </c>
      <c r="Q253" s="845">
        <v>22.643785476684599</v>
      </c>
      <c r="R253" s="845">
        <v>22.862098693847699</v>
      </c>
      <c r="S253" s="845">
        <v>23.111530303955099</v>
      </c>
      <c r="T253" s="845">
        <v>23.2818489074707</v>
      </c>
      <c r="U253" s="845">
        <v>23.1139316558838</v>
      </c>
      <c r="V253" s="845">
        <v>23.4434604644775</v>
      </c>
      <c r="W253" s="845">
        <v>23.529294967651399</v>
      </c>
      <c r="X253" s="845">
        <v>23.9437866210938</v>
      </c>
      <c r="Y253" s="845">
        <v>24.471529006958001</v>
      </c>
      <c r="Z253" s="845">
        <v>24.6476936340332</v>
      </c>
      <c r="AA253" s="287">
        <v>9.0512752532959002</v>
      </c>
      <c r="AB253" s="287">
        <v>9.1702537536621094</v>
      </c>
      <c r="AC253" s="287">
        <v>9.2454566955566406</v>
      </c>
      <c r="AD253" s="287">
        <v>9.3029346466064506</v>
      </c>
      <c r="AE253" s="265">
        <f>AD253+($AI$253-$AD$253)/5</f>
        <v>9.3577216364198588</v>
      </c>
      <c r="AF253" s="265">
        <f>AE253+($AI$253-$AD$253)/5</f>
        <v>9.4125086262332669</v>
      </c>
      <c r="AG253" s="265">
        <f>AF253+($AI$253-$AD$253)/5</f>
        <v>9.467295616046675</v>
      </c>
      <c r="AH253" s="265">
        <f>AG253+($AI$253-$AD$253)/5</f>
        <v>9.5220826058600831</v>
      </c>
      <c r="AI253" s="266">
        <f>T423*$E$742</f>
        <v>9.5768695956734877</v>
      </c>
      <c r="AJ253" s="265">
        <f>AI253+($AX$253-$AI$253)/15</f>
        <v>9.6852727225982509</v>
      </c>
      <c r="AK253" s="265">
        <f t="shared" ref="AK253:AW253" si="3">AJ253+($AX$253-$AI$253)/15</f>
        <v>9.7936758495230141</v>
      </c>
      <c r="AL253" s="265">
        <f t="shared" si="3"/>
        <v>9.9020789764477772</v>
      </c>
      <c r="AM253" s="265">
        <f t="shared" si="3"/>
        <v>10.01048210337254</v>
      </c>
      <c r="AN253" s="265">
        <f t="shared" si="3"/>
        <v>10.118885230297304</v>
      </c>
      <c r="AO253" s="265">
        <f t="shared" si="3"/>
        <v>10.227288357222067</v>
      </c>
      <c r="AP253" s="265">
        <f t="shared" si="3"/>
        <v>10.33569148414683</v>
      </c>
      <c r="AQ253" s="265">
        <f t="shared" si="3"/>
        <v>10.444094611071593</v>
      </c>
      <c r="AR253" s="265">
        <f t="shared" si="3"/>
        <v>10.552497737996356</v>
      </c>
      <c r="AS253" s="265">
        <f t="shared" si="3"/>
        <v>10.660900864921119</v>
      </c>
      <c r="AT253" s="265">
        <f t="shared" si="3"/>
        <v>10.769303991845883</v>
      </c>
      <c r="AU253" s="265">
        <f t="shared" si="3"/>
        <v>10.877707118770646</v>
      </c>
      <c r="AV253" s="265">
        <f t="shared" si="3"/>
        <v>10.986110245695409</v>
      </c>
      <c r="AW253" s="265">
        <f t="shared" si="3"/>
        <v>11.094513372620172</v>
      </c>
      <c r="AX253" s="266">
        <f>AI253*$B$742</f>
        <v>11.202916499544939</v>
      </c>
      <c r="AY253" s="265">
        <f>AX253+($BM$253-$AX$253)/15</f>
        <v>11.313845014700993</v>
      </c>
      <c r="AZ253" s="265">
        <f t="shared" ref="AZ253:BL253" si="4">AY253+($BM$253-$AX$253)/15</f>
        <v>11.424773529857047</v>
      </c>
      <c r="BA253" s="265">
        <f t="shared" si="4"/>
        <v>11.535702045013101</v>
      </c>
      <c r="BB253" s="265">
        <f t="shared" si="4"/>
        <v>11.646630560169156</v>
      </c>
      <c r="BC253" s="265">
        <f t="shared" si="4"/>
        <v>11.75755907532521</v>
      </c>
      <c r="BD253" s="265">
        <f t="shared" si="4"/>
        <v>11.868487590481264</v>
      </c>
      <c r="BE253" s="265">
        <f t="shared" si="4"/>
        <v>11.979416105637318</v>
      </c>
      <c r="BF253" s="265">
        <f t="shared" si="4"/>
        <v>12.090344620793372</v>
      </c>
      <c r="BG253" s="265">
        <f t="shared" si="4"/>
        <v>12.201273135949426</v>
      </c>
      <c r="BH253" s="265">
        <f t="shared" si="4"/>
        <v>12.312201651105481</v>
      </c>
      <c r="BI253" s="265">
        <f t="shared" si="4"/>
        <v>12.423130166261535</v>
      </c>
      <c r="BJ253" s="265">
        <f t="shared" si="4"/>
        <v>12.534058681417589</v>
      </c>
      <c r="BK253" s="265">
        <f t="shared" si="4"/>
        <v>12.644987196573643</v>
      </c>
      <c r="BL253" s="265">
        <f t="shared" si="4"/>
        <v>12.755915711729697</v>
      </c>
      <c r="BM253" s="266">
        <f>AX253*$C$742</f>
        <v>12.866844226885757</v>
      </c>
      <c r="BN253" s="265">
        <f>BM253+($BR$253-$BM$253)/5</f>
        <v>12.994248543867917</v>
      </c>
      <c r="BO253" s="265">
        <f>BN253+($BR$253-$BM$253)/5</f>
        <v>13.121652860850077</v>
      </c>
      <c r="BP253" s="265">
        <f>BO253+($BR$253-$BM$253)/5</f>
        <v>13.249057177832237</v>
      </c>
      <c r="BQ253" s="265">
        <f>BP253+($BR$253-$BM$253)/5</f>
        <v>13.376461494814397</v>
      </c>
      <c r="BR253" s="266">
        <f>BM253*$D$742</f>
        <v>13.503865811796555</v>
      </c>
    </row>
    <row r="254" spans="1:70" ht="13.5" thickBot="1">
      <c r="A254" s="843" t="s">
        <v>722</v>
      </c>
      <c r="B254" s="845">
        <v>8.8815975189209002</v>
      </c>
      <c r="C254" s="845">
        <v>10.3074436187744</v>
      </c>
      <c r="D254" s="845">
        <v>13.411918640136699</v>
      </c>
      <c r="E254" s="845">
        <v>6.6991925239562997</v>
      </c>
      <c r="F254" s="845">
        <v>5.8016228675842303</v>
      </c>
      <c r="G254" s="845">
        <v>8.5975322723388707</v>
      </c>
      <c r="H254" s="845">
        <v>10.1285858154297</v>
      </c>
      <c r="I254" s="845">
        <v>11.654000282287599</v>
      </c>
      <c r="J254" s="845">
        <v>12.9474182128906</v>
      </c>
      <c r="K254" s="845">
        <v>14.400235176086399</v>
      </c>
      <c r="L254" s="845">
        <v>15.2041673660278</v>
      </c>
      <c r="M254" s="845">
        <v>15.658245086669901</v>
      </c>
      <c r="N254" s="845">
        <v>16.352220535278299</v>
      </c>
      <c r="O254" s="845">
        <v>16.605510711669901</v>
      </c>
      <c r="P254" s="845">
        <v>16.856744766235401</v>
      </c>
      <c r="Q254" s="845">
        <v>17.043632507324201</v>
      </c>
      <c r="R254" s="845">
        <v>17.1953125</v>
      </c>
      <c r="S254" s="845">
        <v>17.403110504150401</v>
      </c>
      <c r="T254" s="845">
        <v>17.4520969390869</v>
      </c>
      <c r="U254" s="845">
        <v>17.016120910644499</v>
      </c>
      <c r="V254" s="845">
        <v>17.163618087768601</v>
      </c>
      <c r="W254" s="845">
        <v>17.311967849731399</v>
      </c>
      <c r="X254" s="845">
        <v>17.516565322876001</v>
      </c>
      <c r="Y254" s="845">
        <v>17.704761505126999</v>
      </c>
      <c r="Z254" s="845">
        <v>17.873653411865199</v>
      </c>
      <c r="AA254" s="287">
        <v>24.1571254730225</v>
      </c>
      <c r="AB254" s="287">
        <v>24.207300186157202</v>
      </c>
      <c r="AC254" s="287">
        <v>24.2876873016357</v>
      </c>
      <c r="AD254" s="287">
        <v>24.267208099365199</v>
      </c>
      <c r="AE254" s="267">
        <f>AD254+($AI$254-$AD$254)/5</f>
        <v>24.075703794494256</v>
      </c>
      <c r="AF254" s="267">
        <f>AE254+($AI$254-$AD$254)/5</f>
        <v>23.884199489623313</v>
      </c>
      <c r="AG254" s="267">
        <f>AF254+($AI$254-$AD$254)/5</f>
        <v>23.69269518475237</v>
      </c>
      <c r="AH254" s="267">
        <f>AG254+($AI$254-$AD$254)/5</f>
        <v>23.501190879881428</v>
      </c>
      <c r="AI254" s="268">
        <f>T424*$E$745</f>
        <v>23.309686575010492</v>
      </c>
      <c r="AJ254" s="267">
        <f>AI254+($AX$254-$AI$254)/15</f>
        <v>23.300523054015734</v>
      </c>
      <c r="AK254" s="267">
        <f t="shared" ref="AK254:AW254" si="5">AJ254+($AX$254-$AI$254)/15</f>
        <v>23.291359533020977</v>
      </c>
      <c r="AL254" s="267">
        <f t="shared" si="5"/>
        <v>23.282196012026219</v>
      </c>
      <c r="AM254" s="267">
        <f t="shared" si="5"/>
        <v>23.273032491031461</v>
      </c>
      <c r="AN254" s="267">
        <f t="shared" si="5"/>
        <v>23.263868970036704</v>
      </c>
      <c r="AO254" s="267">
        <f t="shared" si="5"/>
        <v>23.254705449041946</v>
      </c>
      <c r="AP254" s="267">
        <f t="shared" si="5"/>
        <v>23.245541928047189</v>
      </c>
      <c r="AQ254" s="267">
        <f t="shared" si="5"/>
        <v>23.236378407052431</v>
      </c>
      <c r="AR254" s="267">
        <f t="shared" si="5"/>
        <v>23.227214886057673</v>
      </c>
      <c r="AS254" s="267">
        <f t="shared" si="5"/>
        <v>23.218051365062916</v>
      </c>
      <c r="AT254" s="267">
        <f t="shared" si="5"/>
        <v>23.208887844068158</v>
      </c>
      <c r="AU254" s="267">
        <f t="shared" si="5"/>
        <v>23.199724323073401</v>
      </c>
      <c r="AV254" s="267">
        <f t="shared" si="5"/>
        <v>23.190560802078643</v>
      </c>
      <c r="AW254" s="267">
        <f t="shared" si="5"/>
        <v>23.181397281083886</v>
      </c>
      <c r="AX254" s="268">
        <f>AI254*$B$745</f>
        <v>23.172233760089139</v>
      </c>
      <c r="AY254" s="267">
        <f>AX254+($BM$254-$AX$254)/15</f>
        <v>23.186953863011141</v>
      </c>
      <c r="AZ254" s="267">
        <f t="shared" ref="AZ254:BL254" si="6">AY254+($BM$254-$AX$254)/15</f>
        <v>23.201673965933143</v>
      </c>
      <c r="BA254" s="267">
        <f t="shared" si="6"/>
        <v>23.216394068855145</v>
      </c>
      <c r="BB254" s="267">
        <f t="shared" si="6"/>
        <v>23.231114171777147</v>
      </c>
      <c r="BC254" s="267">
        <f t="shared" si="6"/>
        <v>23.245834274699149</v>
      </c>
      <c r="BD254" s="267">
        <f t="shared" si="6"/>
        <v>23.260554377621151</v>
      </c>
      <c r="BE254" s="267">
        <f t="shared" si="6"/>
        <v>23.275274480543153</v>
      </c>
      <c r="BF254" s="267">
        <f t="shared" si="6"/>
        <v>23.289994583465155</v>
      </c>
      <c r="BG254" s="267">
        <f t="shared" si="6"/>
        <v>23.304714686387157</v>
      </c>
      <c r="BH254" s="267">
        <f t="shared" si="6"/>
        <v>23.31943478930916</v>
      </c>
      <c r="BI254" s="267">
        <f t="shared" si="6"/>
        <v>23.334154892231162</v>
      </c>
      <c r="BJ254" s="267">
        <f t="shared" si="6"/>
        <v>23.348874995153164</v>
      </c>
      <c r="BK254" s="267">
        <f t="shared" si="6"/>
        <v>23.363595098075166</v>
      </c>
      <c r="BL254" s="267">
        <f t="shared" si="6"/>
        <v>23.378315200997168</v>
      </c>
      <c r="BM254" s="268">
        <f>AX254*$C$745</f>
        <v>23.393035303919145</v>
      </c>
      <c r="BN254" s="267">
        <f>BM254+($BR$254-$BM$254)/5</f>
        <v>23.407895670463727</v>
      </c>
      <c r="BO254" s="267">
        <f>BN254+($BR$254-$BM$254)/5</f>
        <v>23.422756037008309</v>
      </c>
      <c r="BP254" s="267">
        <f>BO254+($BR$254-$BM$254)/5</f>
        <v>23.437616403552891</v>
      </c>
      <c r="BQ254" s="267">
        <f>BP254+($BR$254-$BM$254)/5</f>
        <v>23.452476770097473</v>
      </c>
      <c r="BR254" s="268">
        <f>BM254*$D$745</f>
        <v>23.467337136642058</v>
      </c>
    </row>
    <row r="255" spans="1:70">
      <c r="A255" s="843" t="s">
        <v>509</v>
      </c>
      <c r="B255" s="845">
        <v>11.896094322204601</v>
      </c>
      <c r="C255" s="845">
        <v>10.9898433685303</v>
      </c>
      <c r="D255" s="845">
        <v>11.3387994766235</v>
      </c>
      <c r="E255" s="845">
        <v>8.9075946807861293</v>
      </c>
      <c r="F255" s="845">
        <v>9.4656057357788104</v>
      </c>
      <c r="G255" s="845">
        <v>9.7463216781616193</v>
      </c>
      <c r="H255" s="845">
        <v>9.7210922241210902</v>
      </c>
      <c r="I255" s="845">
        <v>9.6719341278076207</v>
      </c>
      <c r="J255" s="845">
        <v>9.7138872146606392</v>
      </c>
      <c r="K255" s="845">
        <v>9.8306560516357404</v>
      </c>
      <c r="L255" s="845">
        <v>10.038209915161101</v>
      </c>
      <c r="M255" s="845">
        <v>10.2545003890991</v>
      </c>
      <c r="N255" s="845">
        <v>10.476261138916</v>
      </c>
      <c r="O255" s="845">
        <v>10.746561050415</v>
      </c>
      <c r="P255" s="845">
        <v>11.0803880691528</v>
      </c>
      <c r="Q255" s="845">
        <v>11.314369201660201</v>
      </c>
      <c r="R255" s="845">
        <v>11.4017143249512</v>
      </c>
      <c r="S255" s="845">
        <v>11.212500572204601</v>
      </c>
      <c r="T255" s="845">
        <v>11.1975994110107</v>
      </c>
      <c r="U255" s="845">
        <v>11.159740447998001</v>
      </c>
      <c r="V255" s="845">
        <v>11.3503875732422</v>
      </c>
      <c r="W255" s="845">
        <v>11.640952110290501</v>
      </c>
      <c r="X255" s="845">
        <v>11.9785671234131</v>
      </c>
      <c r="Y255" s="845">
        <v>12.2332496643066</v>
      </c>
      <c r="Z255" s="845">
        <v>12.5188312530518</v>
      </c>
      <c r="AA255" s="287"/>
      <c r="AB255" s="287"/>
      <c r="AC255" s="287"/>
      <c r="AD255" s="287"/>
    </row>
    <row r="256" spans="1:70">
      <c r="A256" s="843" t="s">
        <v>478</v>
      </c>
      <c r="B256" s="845">
        <v>28.3762531280518</v>
      </c>
      <c r="C256" s="845">
        <v>28.029735565185501</v>
      </c>
      <c r="D256" s="845">
        <v>29.057315826416001</v>
      </c>
      <c r="E256" s="845">
        <v>27.6067714691162</v>
      </c>
      <c r="F256" s="845">
        <v>24.835584640502901</v>
      </c>
      <c r="G256" s="845">
        <v>25.581251144409201</v>
      </c>
      <c r="H256" s="845">
        <v>25.4402256011963</v>
      </c>
      <c r="I256" s="845">
        <v>25.470129013061499</v>
      </c>
      <c r="J256" s="845">
        <v>25.672283172607401</v>
      </c>
      <c r="K256" s="845">
        <v>25.763282775878899</v>
      </c>
      <c r="L256" s="845">
        <v>26.100669860839801</v>
      </c>
      <c r="M256" s="845">
        <v>26.468044281005898</v>
      </c>
      <c r="N256" s="845">
        <v>26.885612487793001</v>
      </c>
      <c r="O256" s="845">
        <v>27.169450759887699</v>
      </c>
      <c r="P256" s="845">
        <v>27.620109558105501</v>
      </c>
      <c r="Q256" s="845">
        <v>28.002447128295898</v>
      </c>
      <c r="R256" s="845">
        <v>28.245407104492202</v>
      </c>
      <c r="S256" s="845">
        <v>28.186374664306602</v>
      </c>
      <c r="T256" s="845">
        <v>28.203248977661101</v>
      </c>
      <c r="U256" s="845">
        <v>28.139711380004901</v>
      </c>
      <c r="V256" s="845">
        <v>28.178466796875</v>
      </c>
      <c r="W256" s="845">
        <v>28.495182037353501</v>
      </c>
      <c r="X256" s="845">
        <v>28.915565490722699</v>
      </c>
      <c r="Y256" s="845">
        <v>29.289411544799801</v>
      </c>
      <c r="Z256" s="845">
        <v>29.651695251464801</v>
      </c>
      <c r="AA256" s="287">
        <v>16.318952560424801</v>
      </c>
      <c r="AB256" s="287">
        <v>16.4172878265381</v>
      </c>
      <c r="AC256" s="287">
        <v>16.5084934234619</v>
      </c>
      <c r="AD256" s="287">
        <v>16.549221038818398</v>
      </c>
    </row>
    <row r="257" spans="1:70">
      <c r="AA257" s="287">
        <v>12.788073539733899</v>
      </c>
      <c r="AB257" s="287">
        <v>13.069622039794901</v>
      </c>
      <c r="AC257" s="287">
        <v>13.0597486495972</v>
      </c>
      <c r="AD257" s="287">
        <v>13.2463188171387</v>
      </c>
    </row>
    <row r="258" spans="1:70" ht="13.5" thickBot="1">
      <c r="A258" s="843" t="s">
        <v>611</v>
      </c>
      <c r="AA258" s="287">
        <v>9.5039434432983398</v>
      </c>
      <c r="AB258" s="287">
        <v>9.4975557327270508</v>
      </c>
      <c r="AC258" s="287">
        <v>9.6068582534790004</v>
      </c>
      <c r="AD258" s="287">
        <v>9.5831336975097692</v>
      </c>
    </row>
    <row r="259" spans="1:70" ht="13.5" thickBot="1">
      <c r="A259" s="843" t="s">
        <v>608</v>
      </c>
      <c r="B259" s="845">
        <v>21.041078567504901</v>
      </c>
      <c r="C259" s="845">
        <v>23.3795166015625</v>
      </c>
      <c r="D259" s="845">
        <v>26.646581649780298</v>
      </c>
      <c r="E259" s="845">
        <v>22.2440700531006</v>
      </c>
      <c r="F259" s="845">
        <v>16.6379299163818</v>
      </c>
      <c r="G259" s="845">
        <v>18.920274734497099</v>
      </c>
      <c r="H259" s="845">
        <v>20.8892612457275</v>
      </c>
      <c r="I259" s="845">
        <v>22.636520385742202</v>
      </c>
      <c r="J259" s="845">
        <v>24.1346244812012</v>
      </c>
      <c r="K259" s="845">
        <v>25.742292404174801</v>
      </c>
      <c r="L259" s="845">
        <v>26.783767700195298</v>
      </c>
      <c r="M259" s="845">
        <v>27.652248382568398</v>
      </c>
      <c r="N259" s="845">
        <v>28.520401000976602</v>
      </c>
      <c r="O259" s="845">
        <v>28.932659149169901</v>
      </c>
      <c r="P259" s="845">
        <v>29.169765472412099</v>
      </c>
      <c r="Q259" s="845">
        <v>29.4143581390381</v>
      </c>
      <c r="R259" s="845">
        <v>29.524629592895501</v>
      </c>
      <c r="S259" s="845">
        <v>29.853767395019499</v>
      </c>
      <c r="T259" s="845">
        <v>29.959171295166001</v>
      </c>
      <c r="U259" s="845">
        <v>29.528638839721701</v>
      </c>
      <c r="V259" s="845">
        <v>29.7813510894775</v>
      </c>
      <c r="W259" s="845">
        <v>30.054143905639599</v>
      </c>
      <c r="X259" s="845">
        <v>30.3852443695068</v>
      </c>
      <c r="Y259" s="845">
        <v>30.4649448394775</v>
      </c>
      <c r="Z259" s="845">
        <v>30.849096298217798</v>
      </c>
      <c r="AA259" s="287">
        <v>6.3330101966857901</v>
      </c>
      <c r="AB259" s="287">
        <v>6.4338274002075204</v>
      </c>
      <c r="AC259" s="287">
        <v>6.5134425163268999</v>
      </c>
      <c r="AD259" s="287">
        <v>6.5598897933959996</v>
      </c>
      <c r="AE259" s="265">
        <f>AD259+($AI$259-$AD$259)/5</f>
        <v>6.5507078532683796</v>
      </c>
      <c r="AF259" s="265">
        <f>AE259+($AI$259-$AD$259)/5</f>
        <v>6.5415259131407595</v>
      </c>
      <c r="AG259" s="265">
        <f>AF259+($AI$259-$AD$259)/5</f>
        <v>6.5323439730131394</v>
      </c>
      <c r="AH259" s="265">
        <f>AG259+($AI$259-$AD$259)/5</f>
        <v>6.5231620328855193</v>
      </c>
      <c r="AI259" s="266">
        <f>T429*$E$742</f>
        <v>6.5139800927579001</v>
      </c>
      <c r="AJ259" s="265">
        <f>AI259+($AX$259-$AI$259)/15</f>
        <v>6.5877135610615332</v>
      </c>
      <c r="AK259" s="265">
        <f t="shared" ref="AK259:AW259" si="7">AJ259+($AX$259-$AI$259)/15</f>
        <v>6.6614470293651662</v>
      </c>
      <c r="AL259" s="265">
        <f t="shared" si="7"/>
        <v>6.7351804976687992</v>
      </c>
      <c r="AM259" s="265">
        <f t="shared" si="7"/>
        <v>6.8089139659724323</v>
      </c>
      <c r="AN259" s="265">
        <f t="shared" si="7"/>
        <v>6.8826474342760653</v>
      </c>
      <c r="AO259" s="265">
        <f t="shared" si="7"/>
        <v>6.9563809025796983</v>
      </c>
      <c r="AP259" s="265">
        <f t="shared" si="7"/>
        <v>7.0301143708833314</v>
      </c>
      <c r="AQ259" s="265">
        <f t="shared" si="7"/>
        <v>7.1038478391869644</v>
      </c>
      <c r="AR259" s="265">
        <f t="shared" si="7"/>
        <v>7.1775813074905974</v>
      </c>
      <c r="AS259" s="265">
        <f t="shared" si="7"/>
        <v>7.2513147757942304</v>
      </c>
      <c r="AT259" s="265">
        <f t="shared" si="7"/>
        <v>7.3250482440978635</v>
      </c>
      <c r="AU259" s="265">
        <f t="shared" si="7"/>
        <v>7.3987817124014965</v>
      </c>
      <c r="AV259" s="265">
        <f t="shared" si="7"/>
        <v>7.4725151807051295</v>
      </c>
      <c r="AW259" s="265">
        <f t="shared" si="7"/>
        <v>7.5462486490087626</v>
      </c>
      <c r="AX259" s="266">
        <f>AI259*$B$742</f>
        <v>7.6199821173123929</v>
      </c>
      <c r="AY259" s="265">
        <f>AX259+($BM$259-$AX$259)/15</f>
        <v>7.6954333002095865</v>
      </c>
      <c r="AZ259" s="265">
        <f t="shared" ref="AZ259:BL259" si="8">AY259+($BM$259-$AX$259)/15</f>
        <v>7.77088448310678</v>
      </c>
      <c r="BA259" s="265">
        <f t="shared" si="8"/>
        <v>7.8463356660039736</v>
      </c>
      <c r="BB259" s="265">
        <f t="shared" si="8"/>
        <v>7.9217868489011671</v>
      </c>
      <c r="BC259" s="265">
        <f t="shared" si="8"/>
        <v>7.9972380317983607</v>
      </c>
      <c r="BD259" s="265">
        <f t="shared" si="8"/>
        <v>8.0726892146955542</v>
      </c>
      <c r="BE259" s="265">
        <f t="shared" si="8"/>
        <v>8.1481403975927478</v>
      </c>
      <c r="BF259" s="265">
        <f t="shared" si="8"/>
        <v>8.2235915804899413</v>
      </c>
      <c r="BG259" s="265">
        <f t="shared" si="8"/>
        <v>8.2990427633871349</v>
      </c>
      <c r="BH259" s="265">
        <f t="shared" si="8"/>
        <v>8.3744939462843284</v>
      </c>
      <c r="BI259" s="265">
        <f t="shared" si="8"/>
        <v>8.449945129181522</v>
      </c>
      <c r="BJ259" s="265">
        <f t="shared" si="8"/>
        <v>8.5253963120787155</v>
      </c>
      <c r="BK259" s="265">
        <f t="shared" si="8"/>
        <v>8.6008474949759091</v>
      </c>
      <c r="BL259" s="265">
        <f t="shared" si="8"/>
        <v>8.6762986778731026</v>
      </c>
      <c r="BM259" s="266">
        <f>AX259*$C$742</f>
        <v>8.7517498607702962</v>
      </c>
      <c r="BN259" s="265">
        <f>BM259+($BR$259-$BM$259)/5</f>
        <v>8.8384075286295438</v>
      </c>
      <c r="BO259" s="265">
        <f>BN259+($BR$259-$BM$259)/5</f>
        <v>8.9250651964887915</v>
      </c>
      <c r="BP259" s="265">
        <f>BO259+($BR$259-$BM$259)/5</f>
        <v>9.0117228643480392</v>
      </c>
      <c r="BQ259" s="265">
        <f>BP259+($BR$259-$BM$259)/5</f>
        <v>9.0983805322072868</v>
      </c>
      <c r="BR259" s="266">
        <f>BM259*$D$742</f>
        <v>9.1850382000665363</v>
      </c>
    </row>
    <row r="260" spans="1:70">
      <c r="A260" s="843" t="s">
        <v>609</v>
      </c>
      <c r="B260" s="845">
        <v>15.7354278564453</v>
      </c>
      <c r="C260" s="845">
        <v>16.8219394683838</v>
      </c>
      <c r="D260" s="845">
        <v>21.937858581543001</v>
      </c>
      <c r="E260" s="845">
        <v>14.291754722595201</v>
      </c>
      <c r="F260" s="845">
        <v>10.6247463226318</v>
      </c>
      <c r="G260" s="845">
        <v>13.4027051925659</v>
      </c>
      <c r="H260" s="845">
        <v>15.2648477554321</v>
      </c>
      <c r="I260" s="845">
        <v>17.266075134277301</v>
      </c>
      <c r="J260" s="845">
        <v>18.658037185668899</v>
      </c>
      <c r="K260" s="845">
        <v>19.740333557128899</v>
      </c>
      <c r="L260" s="845">
        <v>20.622322082519499</v>
      </c>
      <c r="M260" s="845">
        <v>21.514814376831101</v>
      </c>
      <c r="N260" s="845">
        <v>22.261856079101602</v>
      </c>
      <c r="O260" s="845">
        <v>22.720048904418899</v>
      </c>
      <c r="P260" s="845">
        <v>23.0620517730713</v>
      </c>
      <c r="Q260" s="845">
        <v>23.029100418090799</v>
      </c>
      <c r="R260" s="845">
        <v>23.327865600585898</v>
      </c>
      <c r="S260" s="845">
        <v>23.5460414886475</v>
      </c>
      <c r="T260" s="845">
        <v>23.635374069213899</v>
      </c>
      <c r="U260" s="845">
        <v>23.588466644287099</v>
      </c>
      <c r="V260" s="845">
        <v>23.9423828125</v>
      </c>
      <c r="W260" s="845">
        <v>23.870851516723601</v>
      </c>
      <c r="X260" s="845">
        <v>24.336980819702099</v>
      </c>
      <c r="Y260" s="845">
        <v>25.037542343139599</v>
      </c>
      <c r="Z260" s="845">
        <v>25.073137283325199</v>
      </c>
      <c r="AA260" s="287">
        <v>2.7168338298797599</v>
      </c>
      <c r="AB260" s="287">
        <v>2.7307398319244398</v>
      </c>
      <c r="AC260" s="287">
        <v>2.7413196563720699</v>
      </c>
      <c r="AD260" s="287">
        <v>2.7546591758728001</v>
      </c>
    </row>
    <row r="261" spans="1:70">
      <c r="A261" s="843" t="s">
        <v>610</v>
      </c>
      <c r="B261" s="845">
        <v>9.2125787734985405</v>
      </c>
      <c r="C261" s="845">
        <v>10.5954837799072</v>
      </c>
      <c r="D261" s="845">
        <v>13.7473258972168</v>
      </c>
      <c r="E261" s="845">
        <v>6.9127345085143999</v>
      </c>
      <c r="F261" s="845">
        <v>9.8444128036499006</v>
      </c>
      <c r="G261" s="845">
        <v>12.2499532699585</v>
      </c>
      <c r="H261" s="845">
        <v>13.9352369308472</v>
      </c>
      <c r="I261" s="845">
        <v>15.428977966308601</v>
      </c>
      <c r="J261" s="845">
        <v>16.646518707275401</v>
      </c>
      <c r="K261" s="845">
        <v>18.037969589233398</v>
      </c>
      <c r="L261" s="845">
        <v>18.8180332183838</v>
      </c>
      <c r="M261" s="845">
        <v>19.4296264648438</v>
      </c>
      <c r="N261" s="845">
        <v>20.112428665161101</v>
      </c>
      <c r="O261" s="845">
        <v>20.448431015014599</v>
      </c>
      <c r="P261" s="845">
        <v>20.727931976318398</v>
      </c>
      <c r="Q261" s="845">
        <v>20.973798751831101</v>
      </c>
      <c r="R261" s="845">
        <v>21.101537704467798</v>
      </c>
      <c r="S261" s="845">
        <v>21.306892395019499</v>
      </c>
      <c r="T261" s="845">
        <v>21.394767761230501</v>
      </c>
      <c r="U261" s="845">
        <v>21.017236709594702</v>
      </c>
      <c r="V261" s="845">
        <v>21.180326461791999</v>
      </c>
      <c r="W261" s="845">
        <v>21.338615417480501</v>
      </c>
      <c r="X261" s="845">
        <v>21.660650253295898</v>
      </c>
      <c r="Y261" s="845">
        <v>21.793584823608398</v>
      </c>
      <c r="Z261" s="845">
        <v>22.078443527221701</v>
      </c>
      <c r="AA261" s="287">
        <v>2.2517027854919398</v>
      </c>
      <c r="AB261" s="287">
        <v>2.2682161331176802</v>
      </c>
      <c r="AC261" s="287">
        <v>2.2745745182037398</v>
      </c>
      <c r="AD261" s="287">
        <v>2.2862651348114</v>
      </c>
    </row>
    <row r="262" spans="1:70" ht="13.5" thickBot="1">
      <c r="A262" s="843" t="s">
        <v>612</v>
      </c>
      <c r="B262" s="845">
        <v>7.9540700912475604</v>
      </c>
      <c r="C262" s="845">
        <v>7.5152516365051296</v>
      </c>
      <c r="D262" s="845">
        <v>8.8012723922729492</v>
      </c>
      <c r="E262" s="845">
        <v>4.8485679626464799</v>
      </c>
      <c r="F262" s="845">
        <v>5.4989199638366699</v>
      </c>
      <c r="G262" s="845">
        <v>5.8261642456054696</v>
      </c>
      <c r="H262" s="845">
        <v>5.87778615951538</v>
      </c>
      <c r="I262" s="845">
        <v>5.9538393020629901</v>
      </c>
      <c r="J262" s="845">
        <v>6.1098570823669398</v>
      </c>
      <c r="K262" s="845">
        <v>6.3294844627380398</v>
      </c>
      <c r="L262" s="845">
        <v>6.5125813484191903</v>
      </c>
      <c r="M262" s="845">
        <v>6.7027301788330096</v>
      </c>
      <c r="N262" s="845">
        <v>6.8988709449768102</v>
      </c>
      <c r="O262" s="845">
        <v>7.1528282165527299</v>
      </c>
      <c r="P262" s="845">
        <v>7.4686021804809597</v>
      </c>
      <c r="Q262" s="845">
        <v>7.6786775588989302</v>
      </c>
      <c r="R262" s="845">
        <v>7.7538070678710902</v>
      </c>
      <c r="S262" s="845">
        <v>7.5584783554077104</v>
      </c>
      <c r="T262" s="845">
        <v>7.5461778640747097</v>
      </c>
      <c r="U262" s="845">
        <v>7.4592709541320801</v>
      </c>
      <c r="V262" s="845">
        <v>7.6002230644226101</v>
      </c>
      <c r="W262" s="845">
        <v>7.8596048355102504</v>
      </c>
      <c r="X262" s="845">
        <v>8.1941757202148402</v>
      </c>
      <c r="Y262" s="845">
        <v>8.4216127395629901</v>
      </c>
      <c r="Z262" s="845">
        <v>8.6935501098632795</v>
      </c>
      <c r="AA262" s="287">
        <v>1.2833950519561801</v>
      </c>
      <c r="AB262" s="287">
        <v>1.3286876678466799</v>
      </c>
      <c r="AC262" s="287">
        <v>1.33012855052948</v>
      </c>
      <c r="AD262" s="287">
        <v>1.33445107936859</v>
      </c>
    </row>
    <row r="263" spans="1:70" ht="13.5" thickBot="1">
      <c r="A263" s="843" t="s">
        <v>613</v>
      </c>
      <c r="B263" s="845">
        <v>3.6353600025177002</v>
      </c>
      <c r="C263" s="845">
        <v>3.6099998950958301</v>
      </c>
      <c r="D263" s="845">
        <v>4.0558156967163104</v>
      </c>
      <c r="E263" s="845">
        <v>4.0487108230590803</v>
      </c>
      <c r="F263" s="845">
        <v>3.9977276325225799</v>
      </c>
      <c r="G263" s="845">
        <v>4.1121706962585396</v>
      </c>
      <c r="H263" s="845">
        <v>4.1809573173522896</v>
      </c>
      <c r="I263" s="845">
        <v>4.2343683242797896</v>
      </c>
      <c r="J263" s="845">
        <v>4.27162742614746</v>
      </c>
      <c r="K263" s="845">
        <v>4.2985162734985396</v>
      </c>
      <c r="L263" s="845">
        <v>4.3192996978759801</v>
      </c>
      <c r="M263" s="845">
        <v>4.3337044715881303</v>
      </c>
      <c r="N263" s="845">
        <v>4.3530845642089799</v>
      </c>
      <c r="O263" s="845">
        <v>4.3696141242981001</v>
      </c>
      <c r="P263" s="845">
        <v>4.3899216651916504</v>
      </c>
      <c r="Q263" s="845">
        <v>4.4470157623290998</v>
      </c>
      <c r="R263" s="845">
        <v>4.5093812942504901</v>
      </c>
      <c r="S263" s="845">
        <v>4.5352845191955602</v>
      </c>
      <c r="T263" s="845">
        <v>4.5618190765380904</v>
      </c>
      <c r="U263" s="845">
        <v>4.5643453598022496</v>
      </c>
      <c r="V263" s="845">
        <v>4.5493078231811497</v>
      </c>
      <c r="W263" s="845">
        <v>4.5490665435790998</v>
      </c>
      <c r="X263" s="845">
        <v>4.5331215858459499</v>
      </c>
      <c r="Y263" s="845">
        <v>4.4955492019653303</v>
      </c>
      <c r="Z263" s="845">
        <v>4.4319190979003897</v>
      </c>
      <c r="AA263" s="287">
        <v>17.3004150390625</v>
      </c>
      <c r="AB263" s="287">
        <v>17.331628799438501</v>
      </c>
      <c r="AC263" s="287">
        <v>17.425392150878899</v>
      </c>
      <c r="AD263" s="287">
        <v>17.430723190307599</v>
      </c>
      <c r="AE263" s="267">
        <f>AD263+($AI$263-$AD$263)/5</f>
        <v>17.267158349957999</v>
      </c>
      <c r="AF263" s="267">
        <f>AE263+($AI$263-$AD$263)/5</f>
        <v>17.103593509608398</v>
      </c>
      <c r="AG263" s="267">
        <f>AF263+($AI$263-$AD$263)/5</f>
        <v>16.940028669258798</v>
      </c>
      <c r="AH263" s="267">
        <f>AG263+($AI$263-$AD$263)/5</f>
        <v>16.776463828909197</v>
      </c>
      <c r="AI263" s="268">
        <f>T433*$E$745</f>
        <v>16.612898988559596</v>
      </c>
      <c r="AJ263" s="267">
        <f>AI263+($AX$263-$AI$263)/15</f>
        <v>16.606368113587273</v>
      </c>
      <c r="AK263" s="267">
        <f t="shared" ref="AK263:AW263" si="9">AJ263+($AX$263-$AI$263)/15</f>
        <v>16.599837238614949</v>
      </c>
      <c r="AL263" s="267">
        <f t="shared" si="9"/>
        <v>16.593306363642625</v>
      </c>
      <c r="AM263" s="267">
        <f t="shared" si="9"/>
        <v>16.586775488670302</v>
      </c>
      <c r="AN263" s="267">
        <f t="shared" si="9"/>
        <v>16.580244613697978</v>
      </c>
      <c r="AO263" s="267">
        <f t="shared" si="9"/>
        <v>16.573713738725655</v>
      </c>
      <c r="AP263" s="267">
        <f t="shared" si="9"/>
        <v>16.567182863753331</v>
      </c>
      <c r="AQ263" s="267">
        <f t="shared" si="9"/>
        <v>16.560651988781007</v>
      </c>
      <c r="AR263" s="267">
        <f t="shared" si="9"/>
        <v>16.554121113808684</v>
      </c>
      <c r="AS263" s="267">
        <f t="shared" si="9"/>
        <v>16.54759023883636</v>
      </c>
      <c r="AT263" s="267">
        <f t="shared" si="9"/>
        <v>16.541059363864036</v>
      </c>
      <c r="AU263" s="267">
        <f t="shared" si="9"/>
        <v>16.534528488891713</v>
      </c>
      <c r="AV263" s="267">
        <f t="shared" si="9"/>
        <v>16.527997613919389</v>
      </c>
      <c r="AW263" s="267">
        <f t="shared" si="9"/>
        <v>16.521466738947066</v>
      </c>
      <c r="AX263" s="268">
        <f>AI263*$B$745</f>
        <v>16.514935863974742</v>
      </c>
      <c r="AY263" s="267">
        <f>AX263+($BM$263-$AX$263)/15</f>
        <v>16.525426935236357</v>
      </c>
      <c r="AZ263" s="267">
        <f t="shared" ref="AZ263:BL263" si="10">AY263+($BM$263-$AX$263)/15</f>
        <v>16.535918006497972</v>
      </c>
      <c r="BA263" s="267">
        <f t="shared" si="10"/>
        <v>16.546409077759588</v>
      </c>
      <c r="BB263" s="267">
        <f t="shared" si="10"/>
        <v>16.556900149021203</v>
      </c>
      <c r="BC263" s="267">
        <f t="shared" si="10"/>
        <v>16.567391220282818</v>
      </c>
      <c r="BD263" s="267">
        <f t="shared" si="10"/>
        <v>16.577882291544434</v>
      </c>
      <c r="BE263" s="267">
        <f t="shared" si="10"/>
        <v>16.588373362806049</v>
      </c>
      <c r="BF263" s="267">
        <f t="shared" si="10"/>
        <v>16.598864434067664</v>
      </c>
      <c r="BG263" s="267">
        <f t="shared" si="10"/>
        <v>16.60935550532928</v>
      </c>
      <c r="BH263" s="267">
        <f t="shared" si="10"/>
        <v>16.619846576590895</v>
      </c>
      <c r="BI263" s="267">
        <f t="shared" si="10"/>
        <v>16.63033764785251</v>
      </c>
      <c r="BJ263" s="267">
        <f t="shared" si="10"/>
        <v>16.640828719114126</v>
      </c>
      <c r="BK263" s="267">
        <f t="shared" si="10"/>
        <v>16.651319790375741</v>
      </c>
      <c r="BL263" s="267">
        <f t="shared" si="10"/>
        <v>16.661810861637356</v>
      </c>
      <c r="BM263" s="268">
        <f>AX263*$C$745</f>
        <v>16.672301932898996</v>
      </c>
      <c r="BN263" s="267">
        <f>BM263+($BR$263-$BM$263)/5</f>
        <v>16.682892970558111</v>
      </c>
      <c r="BO263" s="267">
        <f>BN263+($BR$263-$BM$263)/5</f>
        <v>16.693484008217226</v>
      </c>
      <c r="BP263" s="267">
        <f>BO263+($BR$263-$BM$263)/5</f>
        <v>16.704075045876341</v>
      </c>
      <c r="BQ263" s="267">
        <f>BP263+($BR$263-$BM$263)/5</f>
        <v>16.714666083535455</v>
      </c>
      <c r="BR263" s="268">
        <f>BM263*$D$745</f>
        <v>16.725257121194577</v>
      </c>
    </row>
    <row r="264" spans="1:70">
      <c r="A264" s="843" t="s">
        <v>614</v>
      </c>
      <c r="B264" s="845">
        <v>2.4029970169067401</v>
      </c>
      <c r="C264" s="845">
        <v>2.4299483299255402</v>
      </c>
      <c r="D264" s="845">
        <v>2.5420303344726598</v>
      </c>
      <c r="E264" s="845">
        <v>2.4490520954132098</v>
      </c>
      <c r="F264" s="845">
        <v>2.3906834125518799</v>
      </c>
      <c r="G264" s="845">
        <v>2.4765830039978001</v>
      </c>
      <c r="H264" s="845">
        <v>2.4936084747314502</v>
      </c>
      <c r="I264" s="845">
        <v>2.5247271060943599</v>
      </c>
      <c r="J264" s="845">
        <v>2.54471778869629</v>
      </c>
      <c r="K264" s="845">
        <v>2.53918480873108</v>
      </c>
      <c r="L264" s="845">
        <v>2.54552221298218</v>
      </c>
      <c r="M264" s="845">
        <v>2.5526983737945601</v>
      </c>
      <c r="N264" s="845">
        <v>2.5639333724975599</v>
      </c>
      <c r="O264" s="845">
        <v>2.5611753463745099</v>
      </c>
      <c r="P264" s="845">
        <v>2.56861472129822</v>
      </c>
      <c r="Q264" s="845">
        <v>2.5710935592651398</v>
      </c>
      <c r="R264" s="845">
        <v>2.57420825958252</v>
      </c>
      <c r="S264" s="845">
        <v>2.5741758346557599</v>
      </c>
      <c r="T264" s="845">
        <v>2.5788726806640598</v>
      </c>
      <c r="U264" s="845">
        <v>2.5789062976837198</v>
      </c>
      <c r="V264" s="845">
        <v>2.59378290176392</v>
      </c>
      <c r="W264" s="845">
        <v>2.6088099479675302</v>
      </c>
      <c r="X264" s="845">
        <v>2.6259028911590598</v>
      </c>
      <c r="Y264" s="845">
        <v>2.64452123641968</v>
      </c>
      <c r="Z264" s="845">
        <v>2.6644773483276398</v>
      </c>
      <c r="AA264" s="287"/>
      <c r="AB264" s="287"/>
      <c r="AC264" s="287"/>
      <c r="AD264" s="287"/>
    </row>
    <row r="265" spans="1:70" ht="13.5" thickBot="1">
      <c r="A265" s="843" t="s">
        <v>615</v>
      </c>
      <c r="B265" s="845">
        <v>0</v>
      </c>
      <c r="C265" s="845">
        <v>0</v>
      </c>
      <c r="D265" s="845">
        <v>0</v>
      </c>
      <c r="E265" s="845">
        <v>0</v>
      </c>
      <c r="F265" s="845">
        <v>0</v>
      </c>
      <c r="G265" s="845">
        <v>1.5133428573608401</v>
      </c>
      <c r="H265" s="845">
        <v>1.3742095232009901</v>
      </c>
      <c r="I265" s="845">
        <v>1.19064140319824</v>
      </c>
      <c r="J265" s="845">
        <v>1.3664953708648699</v>
      </c>
      <c r="K265" s="845">
        <v>1.33487153053284</v>
      </c>
      <c r="L265" s="845">
        <v>1.31654036045074</v>
      </c>
      <c r="M265" s="845">
        <v>1.30223417282104</v>
      </c>
      <c r="N265" s="845">
        <v>1.30838906764984</v>
      </c>
      <c r="O265" s="845">
        <v>1.32146644592285</v>
      </c>
      <c r="P265" s="845">
        <v>1.3489345312118499</v>
      </c>
      <c r="Q265" s="845">
        <v>1.3524934053421001</v>
      </c>
      <c r="R265" s="845">
        <v>1.3570195436477701</v>
      </c>
      <c r="S265" s="845">
        <v>1.3626403808593801</v>
      </c>
      <c r="T265" s="845">
        <v>1.37119424343109</v>
      </c>
      <c r="U265" s="845">
        <v>1.3635557889938399</v>
      </c>
      <c r="V265" s="845">
        <v>1.3662919998168901</v>
      </c>
      <c r="W265" s="845">
        <v>1.37254309654236</v>
      </c>
      <c r="X265" s="845">
        <v>1.37609398365021</v>
      </c>
      <c r="Y265" s="845">
        <v>1.3784751892089799</v>
      </c>
      <c r="Z265" s="845">
        <v>1.3805129528045701</v>
      </c>
      <c r="AA265" s="287">
        <v>24.056577682495099</v>
      </c>
      <c r="AB265" s="287">
        <v>24.1739406585693</v>
      </c>
      <c r="AC265" s="287">
        <v>24.2586994171143</v>
      </c>
      <c r="AD265" s="287">
        <v>24.288969039916999</v>
      </c>
    </row>
    <row r="266" spans="1:70" ht="13.5" thickBot="1">
      <c r="A266" s="843" t="s">
        <v>478</v>
      </c>
      <c r="B266" s="845">
        <v>18.400894165039102</v>
      </c>
      <c r="C266" s="845">
        <v>18.6226921081543</v>
      </c>
      <c r="D266" s="845">
        <v>20.334409713745099</v>
      </c>
      <c r="E266" s="845">
        <v>19.159486770629901</v>
      </c>
      <c r="F266" s="845">
        <v>16.828172683715799</v>
      </c>
      <c r="G266" s="845">
        <v>17.264308929443398</v>
      </c>
      <c r="H266" s="845">
        <v>17.156070709228501</v>
      </c>
      <c r="I266" s="845">
        <v>17.083604812622099</v>
      </c>
      <c r="J266" s="845">
        <v>17.1988334655762</v>
      </c>
      <c r="K266" s="845">
        <v>17.318143844604499</v>
      </c>
      <c r="L266" s="845">
        <v>17.615074157714801</v>
      </c>
      <c r="M266" s="845">
        <v>17.910154342651399</v>
      </c>
      <c r="N266" s="845">
        <v>18.210170745849599</v>
      </c>
      <c r="O266" s="845">
        <v>18.456880569458001</v>
      </c>
      <c r="P266" s="845">
        <v>18.803001403808601</v>
      </c>
      <c r="Q266" s="845">
        <v>19.085206985473601</v>
      </c>
      <c r="R266" s="845">
        <v>19.30615234375</v>
      </c>
      <c r="S266" s="845">
        <v>19.3043308258057</v>
      </c>
      <c r="T266" s="845">
        <v>19.3253479003906</v>
      </c>
      <c r="U266" s="845">
        <v>19.324813842773398</v>
      </c>
      <c r="V266" s="845">
        <v>19.354219436645501</v>
      </c>
      <c r="W266" s="845">
        <v>19.614883422851602</v>
      </c>
      <c r="X266" s="845">
        <v>19.97239112854</v>
      </c>
      <c r="Y266" s="845">
        <v>20.29469871521</v>
      </c>
      <c r="Z266" s="845">
        <v>20.560989379882798</v>
      </c>
      <c r="AA266" s="287">
        <v>21.3195495605469</v>
      </c>
      <c r="AB266" s="287">
        <v>21.43874168396</v>
      </c>
      <c r="AC266" s="287">
        <v>21.398374557495099</v>
      </c>
      <c r="AD266" s="287">
        <v>21.4992275238037</v>
      </c>
      <c r="AE266" s="271">
        <f>AD266+($AI$266-$AD$266)/5</f>
        <v>21.318281718011935</v>
      </c>
      <c r="AF266" s="271">
        <f>AE266+($AI$266-$AD$266)/5</f>
        <v>21.13733591222017</v>
      </c>
      <c r="AG266" s="271">
        <f>AF266+($AI$266-$AD$266)/5</f>
        <v>20.956390106428405</v>
      </c>
      <c r="AH266" s="271">
        <f>AG266+($AI$266-$AD$266)/5</f>
        <v>20.775444300636639</v>
      </c>
      <c r="AI266" s="272">
        <f>T436*$E$747</f>
        <v>20.594498494844878</v>
      </c>
      <c r="AJ266" s="271">
        <f>AI266+($AX$266-$AI$266)/15</f>
        <v>20.60819416894353</v>
      </c>
      <c r="AK266" s="271">
        <f t="shared" ref="AK266:AW266" si="11">AJ266+($AX$266-$AI$266)/15</f>
        <v>20.621889843042183</v>
      </c>
      <c r="AL266" s="271">
        <f t="shared" si="11"/>
        <v>20.635585517140836</v>
      </c>
      <c r="AM266" s="271">
        <f t="shared" si="11"/>
        <v>20.649281191239488</v>
      </c>
      <c r="AN266" s="271">
        <f t="shared" si="11"/>
        <v>20.662976865338141</v>
      </c>
      <c r="AO266" s="271">
        <f t="shared" si="11"/>
        <v>20.676672539436794</v>
      </c>
      <c r="AP266" s="271">
        <f t="shared" si="11"/>
        <v>20.690368213535447</v>
      </c>
      <c r="AQ266" s="271">
        <f t="shared" si="11"/>
        <v>20.704063887634099</v>
      </c>
      <c r="AR266" s="271">
        <f t="shared" si="11"/>
        <v>20.717759561732752</v>
      </c>
      <c r="AS266" s="271">
        <f t="shared" si="11"/>
        <v>20.731455235831405</v>
      </c>
      <c r="AT266" s="271">
        <f t="shared" si="11"/>
        <v>20.745150909930057</v>
      </c>
      <c r="AU266" s="271">
        <f t="shared" si="11"/>
        <v>20.75884658402871</v>
      </c>
      <c r="AV266" s="271">
        <f t="shared" si="11"/>
        <v>20.772542258127363</v>
      </c>
      <c r="AW266" s="271">
        <f t="shared" si="11"/>
        <v>20.786237932226015</v>
      </c>
      <c r="AX266" s="272">
        <f>AI266*$B$747</f>
        <v>20.799933606324664</v>
      </c>
      <c r="AY266" s="271">
        <f>AX266+($BM$266-$AX$266)/15</f>
        <v>20.807002050879195</v>
      </c>
      <c r="AZ266" s="271">
        <f t="shared" ref="AZ266:BL266" si="12">AY266+($BM$266-$AX$266)/15</f>
        <v>20.814070495433725</v>
      </c>
      <c r="BA266" s="271">
        <f t="shared" si="12"/>
        <v>20.821138939988256</v>
      </c>
      <c r="BB266" s="271">
        <f t="shared" si="12"/>
        <v>20.828207384542786</v>
      </c>
      <c r="BC266" s="271">
        <f t="shared" si="12"/>
        <v>20.835275829097316</v>
      </c>
      <c r="BD266" s="271">
        <f t="shared" si="12"/>
        <v>20.842344273651847</v>
      </c>
      <c r="BE266" s="271">
        <f t="shared" si="12"/>
        <v>20.849412718206377</v>
      </c>
      <c r="BF266" s="271">
        <f t="shared" si="12"/>
        <v>20.856481162760907</v>
      </c>
      <c r="BG266" s="271">
        <f t="shared" si="12"/>
        <v>20.863549607315438</v>
      </c>
      <c r="BH266" s="271">
        <f t="shared" si="12"/>
        <v>20.870618051869968</v>
      </c>
      <c r="BI266" s="271">
        <f t="shared" si="12"/>
        <v>20.877686496424499</v>
      </c>
      <c r="BJ266" s="271">
        <f t="shared" si="12"/>
        <v>20.884754940979029</v>
      </c>
      <c r="BK266" s="271">
        <f t="shared" si="12"/>
        <v>20.891823385533559</v>
      </c>
      <c r="BL266" s="271">
        <f t="shared" si="12"/>
        <v>20.89889183008809</v>
      </c>
      <c r="BM266" s="272">
        <f>AX266*$C$747</f>
        <v>20.905960274642634</v>
      </c>
      <c r="BN266" s="271">
        <f>BM266+($BR$266-$BM$266)/5</f>
        <v>20.913064750255749</v>
      </c>
      <c r="BO266" s="271">
        <f>BN266+($BR$266-$BM$266)/5</f>
        <v>20.920169225868865</v>
      </c>
      <c r="BP266" s="271">
        <f>BO266+($BR$266-$BM$266)/5</f>
        <v>20.92727370148198</v>
      </c>
      <c r="BQ266" s="271">
        <f>BP266+($BR$266-$BM$266)/5</f>
        <v>20.934378177095095</v>
      </c>
      <c r="BR266" s="272">
        <f>BM266*$D$747</f>
        <v>20.94148265270821</v>
      </c>
    </row>
    <row r="267" spans="1:70" ht="13.5" thickBot="1">
      <c r="AA267" s="287">
        <v>17.292875289916999</v>
      </c>
      <c r="AB267" s="287">
        <v>17.531343460083001</v>
      </c>
      <c r="AC267" s="287">
        <v>17.526832580566399</v>
      </c>
      <c r="AD267" s="287">
        <v>17.756109237670898</v>
      </c>
      <c r="AE267" s="269">
        <f>AD267+($AI$267-$AD$267)/5</f>
        <v>18.740759573600641</v>
      </c>
      <c r="AF267" s="269">
        <f>AE267+($AI$267-$AD$267)/5</f>
        <v>19.725409909530384</v>
      </c>
      <c r="AG267" s="269">
        <f>AF267+($AI$267-$AD$267)/5</f>
        <v>20.710060245460127</v>
      </c>
      <c r="AH267" s="269">
        <f>AG267+($AI$267-$AD$267)/5</f>
        <v>21.69471058138987</v>
      </c>
      <c r="AI267" s="270">
        <f>T437*$E$744</f>
        <v>22.67936091731961</v>
      </c>
      <c r="AJ267" s="269">
        <f>AI267+($AX$267-$AI$267)/15</f>
        <v>22.91940642537169</v>
      </c>
      <c r="AK267" s="269">
        <f t="shared" ref="AK267:AW267" si="13">AJ267+($AX$267-$AI$267)/15</f>
        <v>23.159451933423771</v>
      </c>
      <c r="AL267" s="269">
        <f t="shared" si="13"/>
        <v>23.399497441475852</v>
      </c>
      <c r="AM267" s="269">
        <f t="shared" si="13"/>
        <v>23.639542949527932</v>
      </c>
      <c r="AN267" s="269">
        <f t="shared" si="13"/>
        <v>23.879588457580013</v>
      </c>
      <c r="AO267" s="269">
        <f t="shared" si="13"/>
        <v>24.119633965632094</v>
      </c>
      <c r="AP267" s="269">
        <f t="shared" si="13"/>
        <v>24.359679473684174</v>
      </c>
      <c r="AQ267" s="269">
        <f t="shared" si="13"/>
        <v>24.599724981736255</v>
      </c>
      <c r="AR267" s="269">
        <f t="shared" si="13"/>
        <v>24.839770489788336</v>
      </c>
      <c r="AS267" s="269">
        <f t="shared" si="13"/>
        <v>25.079815997840416</v>
      </c>
      <c r="AT267" s="269">
        <f t="shared" si="13"/>
        <v>25.319861505892497</v>
      </c>
      <c r="AU267" s="269">
        <f t="shared" si="13"/>
        <v>25.559907013944578</v>
      </c>
      <c r="AV267" s="269">
        <f t="shared" si="13"/>
        <v>25.799952521996659</v>
      </c>
      <c r="AW267" s="269">
        <f t="shared" si="13"/>
        <v>26.039998030048739</v>
      </c>
      <c r="AX267" s="270">
        <f>AI267*$B$744</f>
        <v>26.28004353810082</v>
      </c>
      <c r="AY267" s="269">
        <f>AX267+($BM$267-$AX$267)/15</f>
        <v>26.429681543018035</v>
      </c>
      <c r="AZ267" s="269">
        <f t="shared" ref="AZ267:BL267" si="14">AY267+($BM$267-$AX$267)/15</f>
        <v>26.579319547935249</v>
      </c>
      <c r="BA267" s="269">
        <f t="shared" si="14"/>
        <v>26.728957552852464</v>
      </c>
      <c r="BB267" s="269">
        <f t="shared" si="14"/>
        <v>26.878595557769678</v>
      </c>
      <c r="BC267" s="269">
        <f t="shared" si="14"/>
        <v>27.028233562686893</v>
      </c>
      <c r="BD267" s="269">
        <f t="shared" si="14"/>
        <v>27.177871567604107</v>
      </c>
      <c r="BE267" s="269">
        <f t="shared" si="14"/>
        <v>27.327509572521322</v>
      </c>
      <c r="BF267" s="269">
        <f t="shared" si="14"/>
        <v>27.477147577438537</v>
      </c>
      <c r="BG267" s="269">
        <f t="shared" si="14"/>
        <v>27.626785582355751</v>
      </c>
      <c r="BH267" s="269">
        <f t="shared" si="14"/>
        <v>27.776423587272966</v>
      </c>
      <c r="BI267" s="269">
        <f t="shared" si="14"/>
        <v>27.92606159219018</v>
      </c>
      <c r="BJ267" s="269">
        <f t="shared" si="14"/>
        <v>28.075699597107395</v>
      </c>
      <c r="BK267" s="269">
        <f t="shared" si="14"/>
        <v>28.225337602024609</v>
      </c>
      <c r="BL267" s="269">
        <f t="shared" si="14"/>
        <v>28.374975606941824</v>
      </c>
      <c r="BM267" s="270">
        <f>AX267*$C$744</f>
        <v>28.524613611859053</v>
      </c>
      <c r="BN267" s="269">
        <f>BM267+($BR$267-$BM$267)/5</f>
        <v>28.687032150691561</v>
      </c>
      <c r="BO267" s="269">
        <f>BN267+($BR$267-$BM$267)/5</f>
        <v>28.849450689524069</v>
      </c>
      <c r="BP267" s="269">
        <f>BO267+($BR$267-$BM$267)/5</f>
        <v>29.011869228356577</v>
      </c>
      <c r="BQ267" s="269">
        <f>BP267+($BR$267-$BM$267)/5</f>
        <v>29.174287767189085</v>
      </c>
      <c r="BR267" s="270">
        <f>BM267*$D$744</f>
        <v>29.336706306021593</v>
      </c>
    </row>
    <row r="268" spans="1:70" ht="13.5" thickBot="1">
      <c r="A268" s="843" t="s">
        <v>486</v>
      </c>
      <c r="AA268" s="287">
        <v>11.227470397949199</v>
      </c>
      <c r="AB268" s="287">
        <v>11.517865180969199</v>
      </c>
      <c r="AC268" s="287">
        <v>11.5089683532715</v>
      </c>
      <c r="AD268" s="287">
        <v>11.7493782043457</v>
      </c>
    </row>
    <row r="269" spans="1:70" ht="13.5" thickBot="1">
      <c r="A269" s="843" t="s">
        <v>616</v>
      </c>
      <c r="B269" s="845">
        <v>22.296371459960898</v>
      </c>
      <c r="C269" s="845">
        <v>25.0072345733643</v>
      </c>
      <c r="D269" s="845">
        <v>28.759458541870099</v>
      </c>
      <c r="E269" s="845">
        <v>21.685003280639599</v>
      </c>
      <c r="F269" s="845">
        <v>20.534326553344702</v>
      </c>
      <c r="G269" s="845">
        <v>22.796831130981399</v>
      </c>
      <c r="H269" s="845">
        <v>24.8035278320313</v>
      </c>
      <c r="I269" s="845">
        <v>26.570152282714801</v>
      </c>
      <c r="J269" s="845">
        <v>28.076972961425799</v>
      </c>
      <c r="K269" s="845">
        <v>29.693559646606399</v>
      </c>
      <c r="L269" s="845">
        <v>30.7330017089844</v>
      </c>
      <c r="M269" s="845">
        <v>31.595745086669901</v>
      </c>
      <c r="N269" s="845">
        <v>32.463813781738303</v>
      </c>
      <c r="O269" s="845">
        <v>32.853603363037102</v>
      </c>
      <c r="P269" s="845">
        <v>33.095050811767599</v>
      </c>
      <c r="Q269" s="845">
        <v>33.3141899108887</v>
      </c>
      <c r="R269" s="845">
        <v>33.425758361816399</v>
      </c>
      <c r="S269" s="845">
        <v>33.752655029296903</v>
      </c>
      <c r="T269" s="845">
        <v>33.878787994384801</v>
      </c>
      <c r="U269" s="845">
        <v>33.426109313964801</v>
      </c>
      <c r="V269" s="845">
        <v>33.692680358886697</v>
      </c>
      <c r="W269" s="845">
        <v>33.960933685302699</v>
      </c>
      <c r="X269" s="845">
        <v>34.291332244872997</v>
      </c>
      <c r="Y269" s="845">
        <v>34.467491149902301</v>
      </c>
      <c r="Z269" s="845">
        <v>34.819602966308601</v>
      </c>
      <c r="AA269" s="287">
        <v>16.025825500488299</v>
      </c>
      <c r="AB269" s="287">
        <v>16.333782196044901</v>
      </c>
      <c r="AC269" s="287">
        <v>16.2625331878662</v>
      </c>
      <c r="AD269" s="287">
        <v>16.470952987670898</v>
      </c>
      <c r="AE269" s="269">
        <f>AD269+($AI$269-$AD$269)/5</f>
        <v>17.380928094850553</v>
      </c>
      <c r="AF269" s="269">
        <f>AE269+($AI$269-$AD$269)/5</f>
        <v>18.290903202030208</v>
      </c>
      <c r="AG269" s="269">
        <f>AF269+($AI$269-$AD$269)/5</f>
        <v>19.200878309209862</v>
      </c>
      <c r="AH269" s="269">
        <f>AG269+($AI$269-$AD$269)/5</f>
        <v>20.110853416389517</v>
      </c>
      <c r="AI269" s="270">
        <f>T439*$E$744</f>
        <v>21.020828523569172</v>
      </c>
      <c r="AJ269" s="269">
        <f>AI269+($AX$269-$AI$269)/15</f>
        <v>21.243319601735415</v>
      </c>
      <c r="AK269" s="269">
        <f t="shared" ref="AK269:AW269" si="15">AJ269+($AX$269-$AI$269)/15</f>
        <v>21.465810679901658</v>
      </c>
      <c r="AL269" s="269">
        <f t="shared" si="15"/>
        <v>21.688301758067901</v>
      </c>
      <c r="AM269" s="269">
        <f t="shared" si="15"/>
        <v>21.910792836234144</v>
      </c>
      <c r="AN269" s="269">
        <f t="shared" si="15"/>
        <v>22.133283914400387</v>
      </c>
      <c r="AO269" s="269">
        <f t="shared" si="15"/>
        <v>22.35577499256663</v>
      </c>
      <c r="AP269" s="269">
        <f t="shared" si="15"/>
        <v>22.578266070732873</v>
      </c>
      <c r="AQ269" s="269">
        <f t="shared" si="15"/>
        <v>22.800757148899116</v>
      </c>
      <c r="AR269" s="269">
        <f t="shared" si="15"/>
        <v>23.023248227065359</v>
      </c>
      <c r="AS269" s="269">
        <f t="shared" si="15"/>
        <v>23.245739305231602</v>
      </c>
      <c r="AT269" s="269">
        <f t="shared" si="15"/>
        <v>23.468230383397845</v>
      </c>
      <c r="AU269" s="269">
        <f t="shared" si="15"/>
        <v>23.690721461564088</v>
      </c>
      <c r="AV269" s="269">
        <f t="shared" si="15"/>
        <v>23.913212539730331</v>
      </c>
      <c r="AW269" s="269">
        <f t="shared" si="15"/>
        <v>24.135703617896574</v>
      </c>
      <c r="AX269" s="270">
        <f>AI269*$B$744</f>
        <v>24.358194696062842</v>
      </c>
      <c r="AY269" s="269">
        <f>AX269+($BM$269-$AX$269)/15</f>
        <v>24.496889734844629</v>
      </c>
      <c r="AZ269" s="269">
        <f t="shared" ref="AZ269:BL269" si="16">AY269+($BM$269-$AX$269)/15</f>
        <v>24.635584773626416</v>
      </c>
      <c r="BA269" s="269">
        <f t="shared" si="16"/>
        <v>24.774279812408203</v>
      </c>
      <c r="BB269" s="269">
        <f t="shared" si="16"/>
        <v>24.91297485118999</v>
      </c>
      <c r="BC269" s="269">
        <f t="shared" si="16"/>
        <v>25.051669889971777</v>
      </c>
      <c r="BD269" s="269">
        <f t="shared" si="16"/>
        <v>25.190364928753564</v>
      </c>
      <c r="BE269" s="269">
        <f t="shared" si="16"/>
        <v>25.32905996753535</v>
      </c>
      <c r="BF269" s="269">
        <f t="shared" si="16"/>
        <v>25.467755006317137</v>
      </c>
      <c r="BG269" s="269">
        <f t="shared" si="16"/>
        <v>25.606450045098924</v>
      </c>
      <c r="BH269" s="269">
        <f t="shared" si="16"/>
        <v>25.745145083880711</v>
      </c>
      <c r="BI269" s="269">
        <f t="shared" si="16"/>
        <v>25.883840122662498</v>
      </c>
      <c r="BJ269" s="269">
        <f t="shared" si="16"/>
        <v>26.022535161444285</v>
      </c>
      <c r="BK269" s="269">
        <f t="shared" si="16"/>
        <v>26.161230200226072</v>
      </c>
      <c r="BL269" s="269">
        <f t="shared" si="16"/>
        <v>26.299925239007859</v>
      </c>
      <c r="BM269" s="270">
        <f>AX269*$C$744</f>
        <v>26.438620277789649</v>
      </c>
      <c r="BN269" s="269">
        <f>BM269+($BR$269-$BM$269)/5</f>
        <v>26.589161215265516</v>
      </c>
      <c r="BO269" s="269">
        <f>BN269+($BR$269-$BM$269)/5</f>
        <v>26.739702152741383</v>
      </c>
      <c r="BP269" s="269">
        <f>BO269+($BR$269-$BM$269)/5</f>
        <v>26.89024309021725</v>
      </c>
      <c r="BQ269" s="269">
        <f>BP269+($BR$269-$BM$269)/5</f>
        <v>27.040784027693118</v>
      </c>
      <c r="BR269" s="270">
        <f>BM269*$D$744</f>
        <v>27.191324965168981</v>
      </c>
    </row>
    <row r="270" spans="1:70">
      <c r="A270" s="843" t="s">
        <v>617</v>
      </c>
      <c r="B270" s="845">
        <v>25.5142211914063</v>
      </c>
      <c r="C270" s="845">
        <v>26.818180084228501</v>
      </c>
      <c r="D270" s="845">
        <v>34.073703765869098</v>
      </c>
      <c r="E270" s="845">
        <v>20.3962516784668</v>
      </c>
      <c r="F270" s="845">
        <v>18.869060516357401</v>
      </c>
      <c r="G270" s="845">
        <v>22.499189376831101</v>
      </c>
      <c r="H270" s="845">
        <v>24.345371246337901</v>
      </c>
      <c r="I270" s="845">
        <v>25.8835773468018</v>
      </c>
      <c r="J270" s="845">
        <v>27.376197814941399</v>
      </c>
      <c r="K270" s="845">
        <v>25.5507621765137</v>
      </c>
      <c r="L270" s="845">
        <v>26.3307495117188</v>
      </c>
      <c r="M270" s="845">
        <v>27.042121887206999</v>
      </c>
      <c r="N270" s="845">
        <v>27.074653625488299</v>
      </c>
      <c r="O270" s="845">
        <v>28.861484527587901</v>
      </c>
      <c r="P270" s="845">
        <v>29.593324661254901</v>
      </c>
      <c r="Q270" s="845">
        <v>29.691083908081101</v>
      </c>
      <c r="R270" s="845">
        <v>29.8394565582275</v>
      </c>
      <c r="S270" s="845">
        <v>30.056737899780298</v>
      </c>
      <c r="T270" s="845">
        <v>30.123649597168001</v>
      </c>
      <c r="U270" s="845">
        <v>30.045396804809599</v>
      </c>
      <c r="V270" s="845">
        <v>30.335887908935501</v>
      </c>
      <c r="W270" s="845">
        <v>30.1821899414063</v>
      </c>
      <c r="X270" s="845">
        <v>30.567377090454102</v>
      </c>
      <c r="Y270" s="845">
        <v>31.227724075317401</v>
      </c>
      <c r="Z270" s="845">
        <v>30.935503005981399</v>
      </c>
      <c r="AA270" s="287">
        <v>8.1832656860351598</v>
      </c>
      <c r="AB270" s="287">
        <v>8.1197490692138707</v>
      </c>
      <c r="AC270" s="287">
        <v>8.3803300857543892</v>
      </c>
      <c r="AD270" s="287">
        <v>8.2735004425048793</v>
      </c>
    </row>
    <row r="271" spans="1:70">
      <c r="A271" s="843" t="s">
        <v>618</v>
      </c>
      <c r="B271" s="845">
        <v>21.784559249877901</v>
      </c>
      <c r="C271" s="845">
        <v>22.982162475585898</v>
      </c>
      <c r="D271" s="845">
        <v>26.1744689941406</v>
      </c>
      <c r="E271" s="845">
        <v>15.6736001968384</v>
      </c>
      <c r="F271" s="845">
        <v>17.7131462097168</v>
      </c>
      <c r="G271" s="845">
        <v>20.6617527008057</v>
      </c>
      <c r="H271" s="845">
        <v>22.301433563232401</v>
      </c>
      <c r="I271" s="845">
        <v>23.517950057983398</v>
      </c>
      <c r="J271" s="845">
        <v>24.816135406494102</v>
      </c>
      <c r="K271" s="845">
        <v>26.137458801269499</v>
      </c>
      <c r="L271" s="845">
        <v>27.061580657958999</v>
      </c>
      <c r="M271" s="845">
        <v>27.993299484252901</v>
      </c>
      <c r="N271" s="845">
        <v>28.802474975585898</v>
      </c>
      <c r="O271" s="845">
        <v>29.411088943481399</v>
      </c>
      <c r="P271" s="845">
        <v>29.938217163085898</v>
      </c>
      <c r="Q271" s="845">
        <v>30.057752609252901</v>
      </c>
      <c r="R271" s="845">
        <v>30.3159790039063</v>
      </c>
      <c r="S271" s="845">
        <v>30.494945526123001</v>
      </c>
      <c r="T271" s="845">
        <v>30.528341293335</v>
      </c>
      <c r="U271" s="845">
        <v>30.4458103179932</v>
      </c>
      <c r="V271" s="845">
        <v>30.726751327514599</v>
      </c>
      <c r="W271" s="845">
        <v>30.704950332641602</v>
      </c>
      <c r="X271" s="845">
        <v>31.110511779785199</v>
      </c>
      <c r="Y271" s="845">
        <v>31.9617519378662</v>
      </c>
      <c r="Z271" s="845">
        <v>31.583656311035199</v>
      </c>
      <c r="AA271" s="287">
        <v>13.240598678588899</v>
      </c>
      <c r="AB271" s="287">
        <v>13.359972000122101</v>
      </c>
      <c r="AC271" s="287">
        <v>13.395259857177701</v>
      </c>
      <c r="AD271" s="287">
        <v>13.453570365905801</v>
      </c>
    </row>
    <row r="272" spans="1:70">
      <c r="A272" s="843" t="s">
        <v>619</v>
      </c>
      <c r="B272" s="845">
        <v>15.2446508407593</v>
      </c>
      <c r="C272" s="845">
        <v>16.0964660644531</v>
      </c>
      <c r="D272" s="845">
        <v>22.1856594085693</v>
      </c>
      <c r="E272" s="845">
        <v>10.540905952453601</v>
      </c>
      <c r="F272" s="845">
        <v>10.4131317138672</v>
      </c>
      <c r="G272" s="845">
        <v>12.992267608642599</v>
      </c>
      <c r="H272" s="845">
        <v>14.8510446548462</v>
      </c>
      <c r="I272" s="845">
        <v>16.4927158355713</v>
      </c>
      <c r="J272" s="845">
        <v>17.888269424438501</v>
      </c>
      <c r="K272" s="845">
        <v>19.120731353759801</v>
      </c>
      <c r="L272" s="845">
        <v>20.025011062622099</v>
      </c>
      <c r="M272" s="845">
        <v>20.925888061523398</v>
      </c>
      <c r="N272" s="845">
        <v>21.650459289550799</v>
      </c>
      <c r="O272" s="845">
        <v>22.054113388061499</v>
      </c>
      <c r="P272" s="845">
        <v>22.358533859252901</v>
      </c>
      <c r="Q272" s="845">
        <v>22.535087585449201</v>
      </c>
      <c r="R272" s="845">
        <v>22.624557495117202</v>
      </c>
      <c r="S272" s="845">
        <v>22.875423431396499</v>
      </c>
      <c r="T272" s="845">
        <v>23.088819503784201</v>
      </c>
      <c r="U272" s="845">
        <v>22.878332138061499</v>
      </c>
      <c r="V272" s="845">
        <v>23.229129791259801</v>
      </c>
      <c r="W272" s="845">
        <v>23.440977096557599</v>
      </c>
      <c r="X272" s="845">
        <v>23.911849975585898</v>
      </c>
      <c r="Y272" s="845">
        <v>24.3618278503418</v>
      </c>
      <c r="Z272" s="845">
        <v>24.669164657592798</v>
      </c>
      <c r="AA272" s="287">
        <v>24.345100402831999</v>
      </c>
      <c r="AB272" s="287">
        <v>24.401657104492202</v>
      </c>
      <c r="AC272" s="287">
        <v>24.482112884521499</v>
      </c>
      <c r="AD272" s="287">
        <v>24.4609375</v>
      </c>
    </row>
    <row r="273" spans="1:70">
      <c r="A273" s="843" t="s">
        <v>723</v>
      </c>
      <c r="B273" s="845">
        <v>20.2724208831787</v>
      </c>
      <c r="C273" s="845">
        <v>20.921422958373999</v>
      </c>
      <c r="D273" s="845">
        <v>27.066003799438501</v>
      </c>
      <c r="E273" s="845">
        <v>15.379162788391101</v>
      </c>
      <c r="F273" s="845">
        <v>14.6322994232178</v>
      </c>
      <c r="G273" s="845">
        <v>17.082887649536101</v>
      </c>
      <c r="H273" s="845">
        <v>18.906814575195298</v>
      </c>
      <c r="I273" s="845">
        <v>21.012025833129901</v>
      </c>
      <c r="J273" s="845">
        <v>22.391767501831101</v>
      </c>
      <c r="K273" s="845">
        <v>23.401908874511701</v>
      </c>
      <c r="L273" s="845">
        <v>24.249780654907202</v>
      </c>
      <c r="M273" s="845">
        <v>25.151100158691399</v>
      </c>
      <c r="N273" s="845">
        <v>25.830009460449201</v>
      </c>
      <c r="O273" s="845">
        <v>26.267305374145501</v>
      </c>
      <c r="P273" s="845">
        <v>26.5901203155518</v>
      </c>
      <c r="Q273" s="845">
        <v>26.487575531005898</v>
      </c>
      <c r="R273" s="845">
        <v>26.7318305969238</v>
      </c>
      <c r="S273" s="845">
        <v>26.979133605956999</v>
      </c>
      <c r="T273" s="845">
        <v>27.001283645629901</v>
      </c>
      <c r="U273" s="845">
        <v>26.997362136840799</v>
      </c>
      <c r="V273" s="845">
        <v>27.317785263061499</v>
      </c>
      <c r="W273" s="845">
        <v>27.182266235351602</v>
      </c>
      <c r="X273" s="845">
        <v>27.638069152831999</v>
      </c>
      <c r="Y273" s="845">
        <v>28.388862609863299</v>
      </c>
      <c r="Z273" s="845">
        <v>28.337171554565401</v>
      </c>
      <c r="AA273" s="287"/>
      <c r="AB273" s="287"/>
      <c r="AC273" s="287"/>
      <c r="AD273" s="287"/>
    </row>
    <row r="274" spans="1:70">
      <c r="A274" s="843" t="s">
        <v>610</v>
      </c>
      <c r="B274" s="845">
        <v>8.20648097991943</v>
      </c>
      <c r="C274" s="845">
        <v>9.4357099533081108</v>
      </c>
      <c r="D274" s="845">
        <v>14.2847747802734</v>
      </c>
      <c r="E274" s="845">
        <v>6.3925981521606401</v>
      </c>
      <c r="F274" s="845">
        <v>6.5852246284484899</v>
      </c>
      <c r="G274" s="845">
        <v>8.6673641204834002</v>
      </c>
      <c r="H274" s="845">
        <v>10.3328533172607</v>
      </c>
      <c r="I274" s="845">
        <v>11.815202713012701</v>
      </c>
      <c r="J274" s="845">
        <v>13.023598670959499</v>
      </c>
      <c r="K274" s="845">
        <v>14.4141092300415</v>
      </c>
      <c r="L274" s="845">
        <v>15.219378471374499</v>
      </c>
      <c r="M274" s="845">
        <v>15.915946006774901</v>
      </c>
      <c r="N274" s="845">
        <v>16.592523574829102</v>
      </c>
      <c r="O274" s="845">
        <v>16.9536838531494</v>
      </c>
      <c r="P274" s="845">
        <v>17.162534713745099</v>
      </c>
      <c r="Q274" s="845">
        <v>17.429744720458999</v>
      </c>
      <c r="R274" s="845">
        <v>17.456914901733398</v>
      </c>
      <c r="S274" s="845">
        <v>17.5628662109375</v>
      </c>
      <c r="T274" s="845">
        <v>17.630765914916999</v>
      </c>
      <c r="U274" s="845">
        <v>17.410764694213899</v>
      </c>
      <c r="V274" s="845">
        <v>17.6028347015381</v>
      </c>
      <c r="W274" s="845">
        <v>17.926630020141602</v>
      </c>
      <c r="X274" s="845">
        <v>18.257143020629901</v>
      </c>
      <c r="Y274" s="845">
        <v>18.451654434204102</v>
      </c>
      <c r="Z274" s="845">
        <v>18.835027694702099</v>
      </c>
      <c r="AA274" s="287">
        <v>10.4858131408691</v>
      </c>
      <c r="AB274" s="287">
        <v>10.572740554809601</v>
      </c>
      <c r="AC274" s="287">
        <v>10.740042686462401</v>
      </c>
      <c r="AD274" s="287">
        <v>10.786236763000501</v>
      </c>
    </row>
    <row r="275" spans="1:70" ht="13.5" thickBot="1">
      <c r="A275" s="843" t="s">
        <v>621</v>
      </c>
      <c r="B275" s="845">
        <v>15.5415086746216</v>
      </c>
      <c r="C275" s="845">
        <v>15.4958410263062</v>
      </c>
      <c r="D275" s="845">
        <v>16.8896675109863</v>
      </c>
      <c r="E275" s="845">
        <v>12.7877197265625</v>
      </c>
      <c r="F275" s="845">
        <v>13.502610206604</v>
      </c>
      <c r="G275" s="845">
        <v>13.8291311264038</v>
      </c>
      <c r="H275" s="845">
        <v>13.8390712738037</v>
      </c>
      <c r="I275" s="845">
        <v>13.843875885009799</v>
      </c>
      <c r="J275" s="845">
        <v>13.934069633483899</v>
      </c>
      <c r="K275" s="845">
        <v>14.0993509292603</v>
      </c>
      <c r="L275" s="845">
        <v>14.229956626892101</v>
      </c>
      <c r="M275" s="845">
        <v>14.3684740066528</v>
      </c>
      <c r="N275" s="845">
        <v>14.5119123458862</v>
      </c>
      <c r="O275" s="845">
        <v>14.701403617858899</v>
      </c>
      <c r="P275" s="845">
        <v>14.9462375640869</v>
      </c>
      <c r="Q275" s="845">
        <v>15.0934410095215</v>
      </c>
      <c r="R275" s="845">
        <v>15.092455863952599</v>
      </c>
      <c r="S275" s="845">
        <v>14.8220539093018</v>
      </c>
      <c r="T275" s="845">
        <v>14.7596139907837</v>
      </c>
      <c r="U275" s="845">
        <v>14.661186218261699</v>
      </c>
      <c r="V275" s="845">
        <v>14.786495208740201</v>
      </c>
      <c r="W275" s="845">
        <v>15.012266159057599</v>
      </c>
      <c r="X275" s="845">
        <v>15.2852840423584</v>
      </c>
      <c r="Y275" s="845">
        <v>15.4684591293335</v>
      </c>
      <c r="Z275" s="845">
        <v>15.6974124908447</v>
      </c>
      <c r="AA275" s="287">
        <v>6.7344188690185502</v>
      </c>
      <c r="AB275" s="287">
        <v>6.7479009628295898</v>
      </c>
      <c r="AC275" s="287">
        <v>6.8497943878173801</v>
      </c>
      <c r="AD275" s="287">
        <v>6.84698486328125</v>
      </c>
    </row>
    <row r="276" spans="1:70" ht="13.5" thickBot="1">
      <c r="A276" s="843" t="s">
        <v>478</v>
      </c>
      <c r="B276" s="845">
        <v>30.349004745483398</v>
      </c>
      <c r="C276" s="845">
        <v>30.777971267700199</v>
      </c>
      <c r="D276" s="845">
        <v>33.734138488769503</v>
      </c>
      <c r="E276" s="845">
        <v>31.501590728759801</v>
      </c>
      <c r="F276" s="845">
        <v>27.327030181884801</v>
      </c>
      <c r="G276" s="845">
        <v>28.561843872070298</v>
      </c>
      <c r="H276" s="845">
        <v>28.965305328369102</v>
      </c>
      <c r="I276" s="845">
        <v>28.9159030914307</v>
      </c>
      <c r="J276" s="845">
        <v>28.7644939422607</v>
      </c>
      <c r="K276" s="845">
        <v>28.526710510253899</v>
      </c>
      <c r="L276" s="845">
        <v>28.644361495971701</v>
      </c>
      <c r="M276" s="845">
        <v>28.6527919769287</v>
      </c>
      <c r="N276" s="845">
        <v>28.819505691528299</v>
      </c>
      <c r="O276" s="845">
        <v>28.888120651245099</v>
      </c>
      <c r="P276" s="845">
        <v>29.142557144165</v>
      </c>
      <c r="Q276" s="845">
        <v>29.470201492309599</v>
      </c>
      <c r="R276" s="845">
        <v>29.764074325561499</v>
      </c>
      <c r="S276" s="845">
        <v>29.801677703857401</v>
      </c>
      <c r="T276" s="845">
        <v>29.921939849853501</v>
      </c>
      <c r="U276" s="845">
        <v>30.035243988037099</v>
      </c>
      <c r="V276" s="845">
        <v>30.304817199706999</v>
      </c>
      <c r="W276" s="845">
        <v>30.8045558929443</v>
      </c>
      <c r="X276" s="845">
        <v>31.450147628784201</v>
      </c>
      <c r="Y276" s="845">
        <v>31.910936355590799</v>
      </c>
      <c r="Z276" s="845">
        <v>32.484222412109403</v>
      </c>
      <c r="AA276" s="287">
        <v>6.1479806900024396</v>
      </c>
      <c r="AB276" s="287">
        <v>6.2516684532165501</v>
      </c>
      <c r="AC276" s="287">
        <v>6.3134694099426296</v>
      </c>
      <c r="AD276" s="287">
        <v>6.3304243087768599</v>
      </c>
      <c r="AE276" s="265">
        <f>AD276+($AI$276-$AD$276)/5</f>
        <v>6.3370805697154289</v>
      </c>
      <c r="AF276" s="265">
        <f>AE276+($AI$276-$AD$276)/5</f>
        <v>6.3437368306539978</v>
      </c>
      <c r="AG276" s="265">
        <f>AF276+($AI$276-$AD$276)/5</f>
        <v>6.3503930915925668</v>
      </c>
      <c r="AH276" s="265">
        <f>AG276+($AI$276-$AD$276)/5</f>
        <v>6.3570493525311358</v>
      </c>
      <c r="AI276" s="266">
        <f>T446*$E$742</f>
        <v>6.363705613469703</v>
      </c>
      <c r="AJ276" s="265">
        <f>AI276+($AX$276-$AI$276)/15</f>
        <v>6.4357380850865695</v>
      </c>
      <c r="AK276" s="265">
        <f t="shared" ref="AK276:AW276" si="17">AJ276+($AX$276-$AI$276)/15</f>
        <v>6.5077705567034361</v>
      </c>
      <c r="AL276" s="265">
        <f t="shared" si="17"/>
        <v>6.5798030283203026</v>
      </c>
      <c r="AM276" s="265">
        <f t="shared" si="17"/>
        <v>6.6518354999371692</v>
      </c>
      <c r="AN276" s="265">
        <f t="shared" si="17"/>
        <v>6.7238679715540357</v>
      </c>
      <c r="AO276" s="265">
        <f t="shared" si="17"/>
        <v>6.7959004431709022</v>
      </c>
      <c r="AP276" s="265">
        <f t="shared" si="17"/>
        <v>6.8679329147877688</v>
      </c>
      <c r="AQ276" s="265">
        <f t="shared" si="17"/>
        <v>6.9399653864046353</v>
      </c>
      <c r="AR276" s="265">
        <f t="shared" si="17"/>
        <v>7.0119978580215019</v>
      </c>
      <c r="AS276" s="265">
        <f t="shared" si="17"/>
        <v>7.0840303296383684</v>
      </c>
      <c r="AT276" s="265">
        <f t="shared" si="17"/>
        <v>7.156062801255235</v>
      </c>
      <c r="AU276" s="265">
        <f t="shared" si="17"/>
        <v>7.2280952728721015</v>
      </c>
      <c r="AV276" s="265">
        <f t="shared" si="17"/>
        <v>7.3001277444889681</v>
      </c>
      <c r="AW276" s="265">
        <f t="shared" si="17"/>
        <v>7.3721602161058346</v>
      </c>
      <c r="AX276" s="266">
        <f>AI276*$B$742</f>
        <v>7.4441926877227056</v>
      </c>
      <c r="AY276" s="265">
        <f>AX276+($BM$276-$AX$276)/15</f>
        <v>7.51790324705948</v>
      </c>
      <c r="AZ276" s="265">
        <f t="shared" ref="AZ276:BL276" si="18">AY276+($BM$276-$AX$276)/15</f>
        <v>7.5916138063962544</v>
      </c>
      <c r="BA276" s="265">
        <f t="shared" si="18"/>
        <v>7.6653243657330288</v>
      </c>
      <c r="BB276" s="265">
        <f t="shared" si="18"/>
        <v>7.7390349250698032</v>
      </c>
      <c r="BC276" s="265">
        <f t="shared" si="18"/>
        <v>7.8127454844065776</v>
      </c>
      <c r="BD276" s="265">
        <f t="shared" si="18"/>
        <v>7.886456043743352</v>
      </c>
      <c r="BE276" s="265">
        <f t="shared" si="18"/>
        <v>7.9601666030801264</v>
      </c>
      <c r="BF276" s="265">
        <f t="shared" si="18"/>
        <v>8.0338771624169016</v>
      </c>
      <c r="BG276" s="265">
        <f t="shared" si="18"/>
        <v>8.107587721753676</v>
      </c>
      <c r="BH276" s="265">
        <f t="shared" si="18"/>
        <v>8.1812982810904504</v>
      </c>
      <c r="BI276" s="265">
        <f t="shared" si="18"/>
        <v>8.2550088404272248</v>
      </c>
      <c r="BJ276" s="265">
        <f t="shared" si="18"/>
        <v>8.3287193997639992</v>
      </c>
      <c r="BK276" s="265">
        <f t="shared" si="18"/>
        <v>8.4024299591007736</v>
      </c>
      <c r="BL276" s="265">
        <f t="shared" si="18"/>
        <v>8.476140518437548</v>
      </c>
      <c r="BM276" s="266">
        <f>AX276*$C$742</f>
        <v>8.5498510777743242</v>
      </c>
      <c r="BN276" s="265">
        <f>BM276+($BR$276-$BM$276)/5</f>
        <v>8.6345095936975138</v>
      </c>
      <c r="BO276" s="265">
        <f>BN276+($BR$276-$BM$276)/5</f>
        <v>8.7191681096207034</v>
      </c>
      <c r="BP276" s="265">
        <f>BO276+($BR$276-$BM$276)/5</f>
        <v>8.8038266255438931</v>
      </c>
      <c r="BQ276" s="265">
        <f>BP276+($BR$276-$BM$276)/5</f>
        <v>8.8884851414670827</v>
      </c>
      <c r="BR276" s="266">
        <f>BM276*$D$742</f>
        <v>8.9731436573902759</v>
      </c>
    </row>
    <row r="277" spans="1:70" ht="13.5" thickBot="1">
      <c r="AA277" s="287">
        <v>1.65011918544769</v>
      </c>
      <c r="AB277" s="287">
        <v>1.6656291484832799</v>
      </c>
      <c r="AC277" s="287">
        <v>1.67491066455841</v>
      </c>
      <c r="AD277" s="287">
        <v>1.68971908092499</v>
      </c>
      <c r="AE277" s="273">
        <f>AD277+($AI$277-$AD$277)/5</f>
        <v>1.6902380098146863</v>
      </c>
      <c r="AF277" s="273">
        <f>AE277+($AI$277-$AD$277)/5</f>
        <v>1.6907569387043826</v>
      </c>
      <c r="AG277" s="273">
        <f>AF277+($AI$277-$AD$277)/5</f>
        <v>1.6912758675940789</v>
      </c>
      <c r="AH277" s="273">
        <f>AG277+($AI$277-$AD$277)/5</f>
        <v>1.6917947964837752</v>
      </c>
      <c r="AI277" s="274">
        <f>T447*$E$740</f>
        <v>1.692313725373471</v>
      </c>
      <c r="AJ277" s="273">
        <f>AI277+($AX$277-$AI$277)/15</f>
        <v>1.6972753042285647</v>
      </c>
      <c r="AK277" s="273">
        <f t="shared" ref="AK277:AW277" si="19">AJ277+($AX$277-$AI$277)/15</f>
        <v>1.7022368830836583</v>
      </c>
      <c r="AL277" s="273">
        <f t="shared" si="19"/>
        <v>1.7071984619387519</v>
      </c>
      <c r="AM277" s="273">
        <f t="shared" si="19"/>
        <v>1.7121600407938455</v>
      </c>
      <c r="AN277" s="273">
        <f t="shared" si="19"/>
        <v>1.7171216196489392</v>
      </c>
      <c r="AO277" s="273">
        <f t="shared" si="19"/>
        <v>1.7220831985040328</v>
      </c>
      <c r="AP277" s="273">
        <f t="shared" si="19"/>
        <v>1.7270447773591264</v>
      </c>
      <c r="AQ277" s="273">
        <f t="shared" si="19"/>
        <v>1.7320063562142201</v>
      </c>
      <c r="AR277" s="273">
        <f t="shared" si="19"/>
        <v>1.7369679350693137</v>
      </c>
      <c r="AS277" s="273">
        <f t="shared" si="19"/>
        <v>1.7419295139244073</v>
      </c>
      <c r="AT277" s="273">
        <f t="shared" si="19"/>
        <v>1.7468910927795009</v>
      </c>
      <c r="AU277" s="273">
        <f t="shared" si="19"/>
        <v>1.7518526716345946</v>
      </c>
      <c r="AV277" s="273">
        <f t="shared" si="19"/>
        <v>1.7568142504896882</v>
      </c>
      <c r="AW277" s="273">
        <f t="shared" si="19"/>
        <v>1.7617758293447818</v>
      </c>
      <c r="AX277" s="274">
        <f>AI277*$B$740</f>
        <v>1.7667374081998766</v>
      </c>
      <c r="AY277" s="273">
        <f>AX277+($BM$277-$AX$277)/15</f>
        <v>1.7700881577207939</v>
      </c>
      <c r="AZ277" s="273">
        <f t="shared" ref="AZ277:BL277" si="20">AY277+($BM$277-$AX$277)/15</f>
        <v>1.7734389072417112</v>
      </c>
      <c r="BA277" s="273">
        <f t="shared" si="20"/>
        <v>1.7767896567626285</v>
      </c>
      <c r="BB277" s="273">
        <f t="shared" si="20"/>
        <v>1.7801404062835458</v>
      </c>
      <c r="BC277" s="273">
        <f t="shared" si="20"/>
        <v>1.783491155804463</v>
      </c>
      <c r="BD277" s="273">
        <f t="shared" si="20"/>
        <v>1.7868419053253803</v>
      </c>
      <c r="BE277" s="273">
        <f t="shared" si="20"/>
        <v>1.7901926548462976</v>
      </c>
      <c r="BF277" s="273">
        <f t="shared" si="20"/>
        <v>1.7935434043672149</v>
      </c>
      <c r="BG277" s="273">
        <f t="shared" si="20"/>
        <v>1.7968941538881322</v>
      </c>
      <c r="BH277" s="273">
        <f t="shared" si="20"/>
        <v>1.8002449034090495</v>
      </c>
      <c r="BI277" s="273">
        <f t="shared" si="20"/>
        <v>1.8035956529299668</v>
      </c>
      <c r="BJ277" s="273">
        <f t="shared" si="20"/>
        <v>1.8069464024508841</v>
      </c>
      <c r="BK277" s="273">
        <f t="shared" si="20"/>
        <v>1.8102971519718014</v>
      </c>
      <c r="BL277" s="273">
        <f t="shared" si="20"/>
        <v>1.8136479014927187</v>
      </c>
      <c r="BM277" s="274">
        <f>AX277*$C$740</f>
        <v>1.8169986510136373</v>
      </c>
      <c r="BN277" s="273">
        <f>BM277+($BR$277-$BM$277)/5</f>
        <v>1.8204447247375162</v>
      </c>
      <c r="BO277" s="273">
        <f>BN277+($BR$277-$BM$277)/5</f>
        <v>1.823890798461395</v>
      </c>
      <c r="BP277" s="273">
        <f>BO277+($BR$277-$BM$277)/5</f>
        <v>1.8273368721852739</v>
      </c>
      <c r="BQ277" s="273">
        <f>BP277+($BR$277-$BM$277)/5</f>
        <v>1.8307829459091527</v>
      </c>
      <c r="BR277" s="274">
        <f>BM277*$D$740</f>
        <v>1.8342290196330318</v>
      </c>
    </row>
    <row r="278" spans="1:70">
      <c r="A278" s="843" t="s">
        <v>622</v>
      </c>
      <c r="AA278" s="287"/>
      <c r="AB278" s="287"/>
      <c r="AC278" s="287"/>
      <c r="AD278" s="287"/>
    </row>
    <row r="279" spans="1:70">
      <c r="A279" s="843" t="s">
        <v>609</v>
      </c>
      <c r="B279" s="845">
        <v>13.773189544677701</v>
      </c>
      <c r="C279" s="845">
        <v>14.7725219726563</v>
      </c>
      <c r="D279" s="845">
        <v>19.176651000976602</v>
      </c>
      <c r="E279" s="845">
        <v>12.4995737075806</v>
      </c>
      <c r="F279" s="845">
        <v>9.7914295196533203</v>
      </c>
      <c r="G279" s="845">
        <v>12.0805196762085</v>
      </c>
      <c r="H279" s="845">
        <v>13.8671321868896</v>
      </c>
      <c r="I279" s="845">
        <v>15.216549873352101</v>
      </c>
      <c r="J279" s="845">
        <v>16.469785690307599</v>
      </c>
      <c r="K279" s="845">
        <v>17.9636936187744</v>
      </c>
      <c r="L279" s="845">
        <v>18.832237243652301</v>
      </c>
      <c r="M279" s="845">
        <v>19.641151428222699</v>
      </c>
      <c r="N279" s="845">
        <v>20.348432540893601</v>
      </c>
      <c r="O279" s="845">
        <v>20.710233688354499</v>
      </c>
      <c r="P279" s="845">
        <v>20.980741500854499</v>
      </c>
      <c r="Q279" s="845">
        <v>21.161005020141602</v>
      </c>
      <c r="R279" s="845">
        <v>21.2950553894043</v>
      </c>
      <c r="S279" s="845">
        <v>21.596014022827099</v>
      </c>
      <c r="T279" s="845">
        <v>21.884708404541001</v>
      </c>
      <c r="U279" s="845">
        <v>21.582948684692401</v>
      </c>
      <c r="V279" s="845">
        <v>21.8727416992188</v>
      </c>
      <c r="W279" s="845">
        <v>22.200710296630898</v>
      </c>
      <c r="X279" s="845">
        <v>22.548530578613299</v>
      </c>
      <c r="Y279" s="845">
        <v>22.812198638916001</v>
      </c>
      <c r="Z279" s="845">
        <v>23.2114353179932</v>
      </c>
      <c r="AA279" s="287">
        <v>18.0768718719482</v>
      </c>
      <c r="AB279" s="287">
        <v>18.184886932373001</v>
      </c>
      <c r="AC279" s="287">
        <v>18.263076782226602</v>
      </c>
      <c r="AD279" s="287">
        <v>18.304286956787099</v>
      </c>
    </row>
    <row r="280" spans="1:70">
      <c r="A280" s="843" t="s">
        <v>610</v>
      </c>
      <c r="B280" s="845">
        <v>8.3781757354736293</v>
      </c>
      <c r="C280" s="845">
        <v>8.5664386749267596</v>
      </c>
      <c r="D280" s="845">
        <v>14.309384346008301</v>
      </c>
      <c r="E280" s="845">
        <v>6.51324510574341</v>
      </c>
      <c r="F280" s="845">
        <v>6.6763448715209996</v>
      </c>
      <c r="G280" s="845">
        <v>9.3123388290405291</v>
      </c>
      <c r="H280" s="845">
        <v>10.994701385498001</v>
      </c>
      <c r="I280" s="845">
        <v>12.5300750732422</v>
      </c>
      <c r="J280" s="845">
        <v>13.7526693344116</v>
      </c>
      <c r="K280" s="845">
        <v>15.155575752258301</v>
      </c>
      <c r="L280" s="845">
        <v>15.963142395019499</v>
      </c>
      <c r="M280" s="845">
        <v>16.617677688598601</v>
      </c>
      <c r="N280" s="845">
        <v>17.274333953857401</v>
      </c>
      <c r="O280" s="845">
        <v>17.322587966918899</v>
      </c>
      <c r="P280" s="845">
        <v>17.542411804199201</v>
      </c>
      <c r="Q280" s="845">
        <v>17.799869537353501</v>
      </c>
      <c r="R280" s="845">
        <v>17.916141510009801</v>
      </c>
      <c r="S280" s="845">
        <v>18.075910568237301</v>
      </c>
      <c r="T280" s="845">
        <v>18.1613368988037</v>
      </c>
      <c r="U280" s="845">
        <v>17.935956954956101</v>
      </c>
      <c r="V280" s="845">
        <v>18.128087997436499</v>
      </c>
      <c r="W280" s="845">
        <v>18.400978088378899</v>
      </c>
      <c r="X280" s="845">
        <v>18.7218933105469</v>
      </c>
      <c r="Y280" s="845">
        <v>18.9085083007813</v>
      </c>
      <c r="Z280" s="845">
        <v>19.247135162353501</v>
      </c>
      <c r="AA280" s="287">
        <v>21.3195495605469</v>
      </c>
      <c r="AB280" s="287">
        <v>21.43874168396</v>
      </c>
      <c r="AC280" s="287">
        <v>21.398374557495099</v>
      </c>
      <c r="AD280" s="287">
        <v>21.4992275238037</v>
      </c>
    </row>
    <row r="281" spans="1:70">
      <c r="A281" s="843" t="s">
        <v>509</v>
      </c>
      <c r="B281" s="845">
        <v>7.0546379089355504</v>
      </c>
      <c r="C281" s="845">
        <v>7.0191597938537598</v>
      </c>
      <c r="D281" s="845">
        <v>8.8716125488281303</v>
      </c>
      <c r="E281" s="845">
        <v>4.5556221008300799</v>
      </c>
      <c r="F281" s="845">
        <v>5.1293134689331099</v>
      </c>
      <c r="G281" s="845">
        <v>5.4535460472106898</v>
      </c>
      <c r="H281" s="845">
        <v>5.5187635421752903</v>
      </c>
      <c r="I281" s="845">
        <v>5.53977298736572</v>
      </c>
      <c r="J281" s="845">
        <v>5.6835036277770996</v>
      </c>
      <c r="K281" s="845">
        <v>5.8920464515686</v>
      </c>
      <c r="L281" s="845">
        <v>6.0819325447082502</v>
      </c>
      <c r="M281" s="845">
        <v>6.2693996429443404</v>
      </c>
      <c r="N281" s="845">
        <v>6.4775133132934597</v>
      </c>
      <c r="O281" s="845">
        <v>6.7354197502136204</v>
      </c>
      <c r="P281" s="845">
        <v>7.0278439521789604</v>
      </c>
      <c r="Q281" s="845">
        <v>7.2539091110229501</v>
      </c>
      <c r="R281" s="845">
        <v>7.3283839225768999</v>
      </c>
      <c r="S281" s="845">
        <v>7.1506276130676296</v>
      </c>
      <c r="T281" s="845">
        <v>7.1924118995666504</v>
      </c>
      <c r="U281" s="845">
        <v>7.1398839950561497</v>
      </c>
      <c r="V281" s="845">
        <v>7.2806253433227504</v>
      </c>
      <c r="W281" s="845">
        <v>7.5354790687561</v>
      </c>
      <c r="X281" s="845">
        <v>7.8600792884826696</v>
      </c>
      <c r="Y281" s="845">
        <v>8.0742120742797905</v>
      </c>
      <c r="Z281" s="845">
        <v>8.3395175933837908</v>
      </c>
      <c r="AA281" s="287">
        <v>17.291141510009801</v>
      </c>
      <c r="AB281" s="287">
        <v>17.529483795166001</v>
      </c>
      <c r="AC281" s="287">
        <v>17.525184631347699</v>
      </c>
      <c r="AD281" s="287">
        <v>17.7543029785156</v>
      </c>
    </row>
    <row r="282" spans="1:70">
      <c r="A282" s="843" t="s">
        <v>623</v>
      </c>
      <c r="B282" s="845">
        <v>1.7355252504348799</v>
      </c>
      <c r="C282" s="845">
        <v>1.7800002098083501</v>
      </c>
      <c r="D282" s="845">
        <v>1.9310736656189</v>
      </c>
      <c r="E282" s="845">
        <v>1.98230564594269</v>
      </c>
      <c r="F282" s="845">
        <v>1.86225914955139</v>
      </c>
      <c r="G282" s="845">
        <v>1.87335216999054</v>
      </c>
      <c r="H282" s="845">
        <v>1.85759365558624</v>
      </c>
      <c r="I282" s="845">
        <v>1.8817487955093399</v>
      </c>
      <c r="J282" s="845">
        <v>1.9043176174163801</v>
      </c>
      <c r="K282" s="845">
        <v>1.90719401836395</v>
      </c>
      <c r="L282" s="845">
        <v>1.9170492887496899</v>
      </c>
      <c r="M282" s="845">
        <v>1.9259506464004501</v>
      </c>
      <c r="N282" s="845">
        <v>1.94080138206482</v>
      </c>
      <c r="O282" s="845">
        <v>1.94636797904968</v>
      </c>
      <c r="P282" s="845">
        <v>1.9562891721725499</v>
      </c>
      <c r="Q282" s="845">
        <v>1.9622501134872401</v>
      </c>
      <c r="R282" s="845">
        <v>1.9753552675247199</v>
      </c>
      <c r="S282" s="845">
        <v>1.9811542034149201</v>
      </c>
      <c r="T282" s="845">
        <v>1.98549652099609</v>
      </c>
      <c r="U282" s="845">
        <v>1.9898830652236901</v>
      </c>
      <c r="V282" s="845">
        <v>1.99634909629822</v>
      </c>
      <c r="W282" s="845">
        <v>2.00744533538818</v>
      </c>
      <c r="X282" s="845">
        <v>2.0202190876007098</v>
      </c>
      <c r="Y282" s="845">
        <v>2.0336120128631601</v>
      </c>
      <c r="Z282" s="845">
        <v>2.0445194244384801</v>
      </c>
      <c r="AA282" s="287">
        <v>11.227470397949199</v>
      </c>
      <c r="AB282" s="287">
        <v>11.517865180969199</v>
      </c>
      <c r="AC282" s="287">
        <v>11.5089683532715</v>
      </c>
      <c r="AD282" s="287">
        <v>11.7493782043457</v>
      </c>
    </row>
    <row r="283" spans="1:70">
      <c r="AA283" s="287">
        <v>15.2353620529175</v>
      </c>
      <c r="AB283" s="287">
        <v>15.5302953720093</v>
      </c>
      <c r="AC283" s="287">
        <v>15.500846862793001</v>
      </c>
      <c r="AD283" s="287">
        <v>15.7047281265259</v>
      </c>
    </row>
    <row r="284" spans="1:70">
      <c r="A284" s="843" t="s">
        <v>624</v>
      </c>
      <c r="AA284" s="287">
        <v>7.7013258934020996</v>
      </c>
      <c r="AB284" s="287">
        <v>7.6767330169677699</v>
      </c>
      <c r="AC284" s="287">
        <v>7.8322434425354004</v>
      </c>
      <c r="AD284" s="287">
        <v>7.7872447967529297</v>
      </c>
    </row>
    <row r="285" spans="1:70">
      <c r="A285" s="843" t="s">
        <v>608</v>
      </c>
      <c r="B285" s="845">
        <v>15.657142639160201</v>
      </c>
      <c r="C285" s="845">
        <v>18.5313529968262</v>
      </c>
      <c r="D285" s="845">
        <v>19.701341629028299</v>
      </c>
      <c r="E285" s="845">
        <v>16.4090671539307</v>
      </c>
      <c r="F285" s="845">
        <v>16.297544479370099</v>
      </c>
      <c r="G285" s="845">
        <v>18.4262371063232</v>
      </c>
      <c r="H285" s="845">
        <v>20.2184352874756</v>
      </c>
      <c r="I285" s="845">
        <v>21.813219070434599</v>
      </c>
      <c r="J285" s="845">
        <v>23.252103805541999</v>
      </c>
      <c r="K285" s="845">
        <v>24.811630249023398</v>
      </c>
      <c r="L285" s="845">
        <v>25.812454223632798</v>
      </c>
      <c r="M285" s="845">
        <v>26.627546310424801</v>
      </c>
      <c r="N285" s="845">
        <v>27.460300445556602</v>
      </c>
      <c r="O285" s="845">
        <v>27.8579425811768</v>
      </c>
      <c r="P285" s="845">
        <v>28.113265991210898</v>
      </c>
      <c r="Q285" s="845">
        <v>28.325565338134801</v>
      </c>
      <c r="R285" s="845">
        <v>28.4571437835693</v>
      </c>
      <c r="S285" s="845">
        <v>28.7732944488525</v>
      </c>
      <c r="T285" s="845">
        <v>28.920036315918001</v>
      </c>
      <c r="U285" s="845">
        <v>28.525373458862301</v>
      </c>
      <c r="V285" s="845">
        <v>28.814060211181602</v>
      </c>
      <c r="W285" s="845">
        <v>29.1242790222168</v>
      </c>
      <c r="X285" s="845">
        <v>29.486963272094702</v>
      </c>
      <c r="Y285" s="845">
        <v>29.629682540893601</v>
      </c>
      <c r="Z285" s="845">
        <v>30.0484523773193</v>
      </c>
      <c r="AA285" s="287">
        <v>7.8213167190551802</v>
      </c>
      <c r="AB285" s="287">
        <v>7.9383788108825701</v>
      </c>
      <c r="AC285" s="287">
        <v>8.0273618698120099</v>
      </c>
      <c r="AD285" s="287">
        <v>8.0851049423217791</v>
      </c>
    </row>
    <row r="286" spans="1:70">
      <c r="A286" s="843" t="s">
        <v>617</v>
      </c>
      <c r="B286" s="845">
        <v>25.5142211914063</v>
      </c>
      <c r="C286" s="845">
        <v>26.818180084228501</v>
      </c>
      <c r="D286" s="845">
        <v>34.073703765869098</v>
      </c>
      <c r="E286" s="845">
        <v>20.3962516784668</v>
      </c>
      <c r="F286" s="845">
        <v>18.869060516357401</v>
      </c>
      <c r="G286" s="845">
        <v>22.499189376831101</v>
      </c>
      <c r="H286" s="845">
        <v>24.345371246337901</v>
      </c>
      <c r="I286" s="845">
        <v>25.8835773468018</v>
      </c>
      <c r="J286" s="845">
        <v>27.376197814941399</v>
      </c>
      <c r="K286" s="845">
        <v>25.5507621765137</v>
      </c>
      <c r="L286" s="845">
        <v>26.3307495117188</v>
      </c>
      <c r="M286" s="845">
        <v>27.042121887206999</v>
      </c>
      <c r="N286" s="845">
        <v>27.074653625488299</v>
      </c>
      <c r="O286" s="845">
        <v>28.861484527587901</v>
      </c>
      <c r="P286" s="845">
        <v>29.593324661254901</v>
      </c>
      <c r="Q286" s="845">
        <v>29.691083908081101</v>
      </c>
      <c r="R286" s="845">
        <v>29.8394565582275</v>
      </c>
      <c r="S286" s="845">
        <v>30.056737899780298</v>
      </c>
      <c r="T286" s="845">
        <v>30.123649597168001</v>
      </c>
      <c r="U286" s="845">
        <v>30.045396804809599</v>
      </c>
      <c r="V286" s="845">
        <v>30.335887908935501</v>
      </c>
      <c r="W286" s="845">
        <v>30.1821899414063</v>
      </c>
      <c r="X286" s="845">
        <v>30.567377090454102</v>
      </c>
      <c r="Y286" s="845">
        <v>31.227724075317401</v>
      </c>
      <c r="Z286" s="845">
        <v>30.935503005981399</v>
      </c>
      <c r="AA286" s="287">
        <v>2.7168338298797599</v>
      </c>
      <c r="AB286" s="287">
        <v>2.7307398319244398</v>
      </c>
      <c r="AC286" s="287">
        <v>2.7413196563720699</v>
      </c>
      <c r="AD286" s="287">
        <v>2.7546591758728001</v>
      </c>
    </row>
    <row r="287" spans="1:70">
      <c r="A287" s="843" t="s">
        <v>618</v>
      </c>
      <c r="B287" s="845">
        <v>21.649000167846701</v>
      </c>
      <c r="C287" s="845">
        <v>22.8191947937012</v>
      </c>
      <c r="D287" s="845">
        <v>26.0107421875</v>
      </c>
      <c r="E287" s="845">
        <v>15.8019914627075</v>
      </c>
      <c r="F287" s="845">
        <v>17.711067199706999</v>
      </c>
      <c r="G287" s="845">
        <v>20.6589241027832</v>
      </c>
      <c r="H287" s="845">
        <v>22.298402786254901</v>
      </c>
      <c r="I287" s="845">
        <v>23.5152263641357</v>
      </c>
      <c r="J287" s="845">
        <v>24.813198089599599</v>
      </c>
      <c r="K287" s="845">
        <v>26.134485244751001</v>
      </c>
      <c r="L287" s="845">
        <v>27.0586547851563</v>
      </c>
      <c r="M287" s="845">
        <v>27.9900207519531</v>
      </c>
      <c r="N287" s="845">
        <v>28.799554824829102</v>
      </c>
      <c r="O287" s="845">
        <v>29.408401489257798</v>
      </c>
      <c r="P287" s="845">
        <v>29.935087203979499</v>
      </c>
      <c r="Q287" s="845">
        <v>30.054672241210898</v>
      </c>
      <c r="R287" s="845">
        <v>30.314332962036101</v>
      </c>
      <c r="S287" s="845">
        <v>30.492042541503899</v>
      </c>
      <c r="T287" s="845">
        <v>30.525100708007798</v>
      </c>
      <c r="U287" s="845">
        <v>30.442491531372099</v>
      </c>
      <c r="V287" s="845">
        <v>30.723676681518601</v>
      </c>
      <c r="W287" s="845">
        <v>30.701581954956101</v>
      </c>
      <c r="X287" s="845">
        <v>31.107343673706101</v>
      </c>
      <c r="Y287" s="845">
        <v>31.957983016967798</v>
      </c>
      <c r="Z287" s="845">
        <v>31.580909729003899</v>
      </c>
      <c r="AA287" s="287">
        <v>1.67883205413818</v>
      </c>
      <c r="AB287" s="287">
        <v>1.6938681602478001</v>
      </c>
      <c r="AC287" s="287">
        <v>1.7024568319320701</v>
      </c>
      <c r="AD287" s="287">
        <v>1.71655297279358</v>
      </c>
    </row>
    <row r="288" spans="1:70">
      <c r="A288" s="843" t="s">
        <v>625</v>
      </c>
      <c r="B288" s="845">
        <v>15.2446508407593</v>
      </c>
      <c r="C288" s="845">
        <v>16.0964660644531</v>
      </c>
      <c r="D288" s="845">
        <v>22.1856594085693</v>
      </c>
      <c r="E288" s="845">
        <v>10.540905952453601</v>
      </c>
      <c r="F288" s="845">
        <v>10.4131317138672</v>
      </c>
      <c r="G288" s="845">
        <v>12.992267608642599</v>
      </c>
      <c r="H288" s="845">
        <v>14.8510446548462</v>
      </c>
      <c r="I288" s="845">
        <v>16.4927158355713</v>
      </c>
      <c r="J288" s="845">
        <v>17.888269424438501</v>
      </c>
      <c r="K288" s="845">
        <v>19.120731353759801</v>
      </c>
      <c r="L288" s="845">
        <v>20.025011062622099</v>
      </c>
      <c r="M288" s="845">
        <v>20.925888061523398</v>
      </c>
      <c r="N288" s="845">
        <v>21.650459289550799</v>
      </c>
      <c r="O288" s="845">
        <v>22.054113388061499</v>
      </c>
      <c r="P288" s="845">
        <v>22.358533859252901</v>
      </c>
      <c r="Q288" s="845">
        <v>22.535087585449201</v>
      </c>
      <c r="R288" s="845">
        <v>22.624557495117202</v>
      </c>
      <c r="S288" s="845">
        <v>22.875423431396499</v>
      </c>
      <c r="T288" s="845">
        <v>23.088819503784201</v>
      </c>
      <c r="U288" s="845">
        <v>22.878332138061499</v>
      </c>
      <c r="V288" s="845">
        <v>23.229129791259801</v>
      </c>
      <c r="W288" s="845">
        <v>23.440977096557599</v>
      </c>
      <c r="X288" s="845">
        <v>23.911849975585898</v>
      </c>
      <c r="Y288" s="845">
        <v>24.3618278503418</v>
      </c>
      <c r="Z288" s="845">
        <v>24.669164657592798</v>
      </c>
      <c r="AA288" s="287">
        <v>1.2833950519561801</v>
      </c>
      <c r="AB288" s="287">
        <v>1.3286876678466799</v>
      </c>
      <c r="AC288" s="287">
        <v>1.33012855052948</v>
      </c>
      <c r="AD288" s="287">
        <v>1.33445107936859</v>
      </c>
    </row>
    <row r="289" spans="1:30">
      <c r="A289" s="843" t="s">
        <v>609</v>
      </c>
      <c r="B289" s="845">
        <v>19.171348571777301</v>
      </c>
      <c r="C289" s="845">
        <v>19.9431552886963</v>
      </c>
      <c r="D289" s="845">
        <v>25.721439361572301</v>
      </c>
      <c r="E289" s="845">
        <v>15.1513471603394</v>
      </c>
      <c r="F289" s="845">
        <v>13.5963325500488</v>
      </c>
      <c r="G289" s="845">
        <v>16.098552703857401</v>
      </c>
      <c r="H289" s="845">
        <v>18.014595031738299</v>
      </c>
      <c r="I289" s="845">
        <v>20.0945529937744</v>
      </c>
      <c r="J289" s="845">
        <v>21.487236022949201</v>
      </c>
      <c r="K289" s="845">
        <v>22.551927566528299</v>
      </c>
      <c r="L289" s="845">
        <v>23.4185886383057</v>
      </c>
      <c r="M289" s="845">
        <v>24.295482635498001</v>
      </c>
      <c r="N289" s="845">
        <v>25.028078079223601</v>
      </c>
      <c r="O289" s="845">
        <v>25.4735622406006</v>
      </c>
      <c r="P289" s="845">
        <v>25.7968635559082</v>
      </c>
      <c r="Q289" s="845">
        <v>25.744600296020501</v>
      </c>
      <c r="R289" s="845">
        <v>26.0401725769043</v>
      </c>
      <c r="S289" s="845">
        <v>26.245742797851602</v>
      </c>
      <c r="T289" s="845">
        <v>26.316581726074201</v>
      </c>
      <c r="U289" s="845">
        <v>26.282798767089801</v>
      </c>
      <c r="V289" s="845">
        <v>26.623888015747099</v>
      </c>
      <c r="W289" s="845">
        <v>26.532428741455099</v>
      </c>
      <c r="X289" s="845">
        <v>26.9911499023438</v>
      </c>
      <c r="Y289" s="845">
        <v>27.692060470581101</v>
      </c>
      <c r="Z289" s="845">
        <v>27.7130451202393</v>
      </c>
      <c r="AA289" s="287">
        <v>23.429731369018601</v>
      </c>
      <c r="AB289" s="287">
        <v>23.480413436889599</v>
      </c>
      <c r="AC289" s="287">
        <v>23.589033126831101</v>
      </c>
      <c r="AD289" s="287">
        <v>23.596023559570298</v>
      </c>
    </row>
    <row r="290" spans="1:30">
      <c r="A290" s="843" t="s">
        <v>610</v>
      </c>
      <c r="B290" s="845">
        <v>8.4246683120727504</v>
      </c>
      <c r="C290" s="845">
        <v>9.3672227859497106</v>
      </c>
      <c r="D290" s="845">
        <v>14.1781015396118</v>
      </c>
      <c r="E290" s="845">
        <v>6.5043296813964799</v>
      </c>
      <c r="F290" s="845">
        <v>6.9149212837219203</v>
      </c>
      <c r="G290" s="845">
        <v>9.2013835906982404</v>
      </c>
      <c r="H290" s="845">
        <v>10.8588418960571</v>
      </c>
      <c r="I290" s="845">
        <v>12.3554439544678</v>
      </c>
      <c r="J290" s="845">
        <v>13.5696716308594</v>
      </c>
      <c r="K290" s="845">
        <v>14.9571332931519</v>
      </c>
      <c r="L290" s="845">
        <v>15.7562828063965</v>
      </c>
      <c r="M290" s="845">
        <v>16.419845581054702</v>
      </c>
      <c r="N290" s="845">
        <v>17.090215682983398</v>
      </c>
      <c r="O290" s="845">
        <v>17.3671054840088</v>
      </c>
      <c r="P290" s="845">
        <v>17.589653015136701</v>
      </c>
      <c r="Q290" s="845">
        <v>17.8480415344238</v>
      </c>
      <c r="R290" s="845">
        <v>17.911899566650401</v>
      </c>
      <c r="S290" s="845">
        <v>18.041828155517599</v>
      </c>
      <c r="T290" s="845">
        <v>18.112939834594702</v>
      </c>
      <c r="U290" s="845">
        <v>17.862413406372099</v>
      </c>
      <c r="V290" s="845">
        <v>18.047613143920898</v>
      </c>
      <c r="W290" s="845">
        <v>18.333000183105501</v>
      </c>
      <c r="X290" s="845">
        <v>18.6528930664063</v>
      </c>
      <c r="Y290" s="845">
        <v>18.8375339508057</v>
      </c>
      <c r="Z290" s="845">
        <v>19.187860488891602</v>
      </c>
      <c r="AA290" s="287"/>
      <c r="AB290" s="287"/>
      <c r="AC290" s="287"/>
      <c r="AD290" s="287"/>
    </row>
    <row r="291" spans="1:30">
      <c r="A291" s="843" t="s">
        <v>509</v>
      </c>
      <c r="B291" s="845">
        <v>9.5015735626220703</v>
      </c>
      <c r="C291" s="845">
        <v>9.0060253143310494</v>
      </c>
      <c r="D291" s="845">
        <v>10.1816816329956</v>
      </c>
      <c r="E291" s="845">
        <v>6.76324558258057</v>
      </c>
      <c r="F291" s="845">
        <v>7.4289712905883798</v>
      </c>
      <c r="G291" s="845">
        <v>7.7374553680419904</v>
      </c>
      <c r="H291" s="845">
        <v>7.7907910346984899</v>
      </c>
      <c r="I291" s="845">
        <v>7.79954290390015</v>
      </c>
      <c r="J291" s="845">
        <v>7.91036033630371</v>
      </c>
      <c r="K291" s="845">
        <v>8.0721502304077095</v>
      </c>
      <c r="L291" s="845">
        <v>8.2674913406372106</v>
      </c>
      <c r="M291" s="845">
        <v>8.4630060195922905</v>
      </c>
      <c r="N291" s="845">
        <v>8.6615943908691406</v>
      </c>
      <c r="O291" s="845">
        <v>8.9140930175781303</v>
      </c>
      <c r="P291" s="845">
        <v>9.2212562561035192</v>
      </c>
      <c r="Q291" s="845">
        <v>9.4307956695556605</v>
      </c>
      <c r="R291" s="845">
        <v>9.4883728027343803</v>
      </c>
      <c r="S291" s="845">
        <v>9.2674760818481392</v>
      </c>
      <c r="T291" s="845">
        <v>9.2395153045654297</v>
      </c>
      <c r="U291" s="845">
        <v>9.1623344421386701</v>
      </c>
      <c r="V291" s="845">
        <v>9.3142642974853498</v>
      </c>
      <c r="W291" s="845">
        <v>9.5711297988891602</v>
      </c>
      <c r="X291" s="845">
        <v>9.9057645797729492</v>
      </c>
      <c r="Y291" s="845">
        <v>10.151716232299799</v>
      </c>
      <c r="Z291" s="845">
        <v>10.4206848144531</v>
      </c>
      <c r="AA291" s="287"/>
      <c r="AB291" s="287"/>
      <c r="AC291" s="287"/>
      <c r="AD291" s="287"/>
    </row>
    <row r="292" spans="1:30">
      <c r="A292" s="843" t="s">
        <v>613</v>
      </c>
      <c r="B292" s="845">
        <v>3.6353600025177002</v>
      </c>
      <c r="C292" s="845">
        <v>3.6099998950958301</v>
      </c>
      <c r="D292" s="845">
        <v>4.0558156967163104</v>
      </c>
      <c r="E292" s="845">
        <v>4.0487108230590803</v>
      </c>
      <c r="F292" s="845">
        <v>3.9977276325225799</v>
      </c>
      <c r="G292" s="845">
        <v>4.1121706962585396</v>
      </c>
      <c r="H292" s="845">
        <v>4.1809573173522896</v>
      </c>
      <c r="I292" s="845">
        <v>4.2343683242797896</v>
      </c>
      <c r="J292" s="845">
        <v>4.27162742614746</v>
      </c>
      <c r="K292" s="845">
        <v>4.2985162734985396</v>
      </c>
      <c r="L292" s="845">
        <v>4.3192996978759801</v>
      </c>
      <c r="M292" s="845">
        <v>4.3337044715881303</v>
      </c>
      <c r="N292" s="845">
        <v>4.3530845642089799</v>
      </c>
      <c r="O292" s="845">
        <v>4.3696141242981001</v>
      </c>
      <c r="P292" s="845">
        <v>4.3899216651916504</v>
      </c>
      <c r="Q292" s="845">
        <v>4.4470157623290998</v>
      </c>
      <c r="R292" s="845">
        <v>4.5093812942504901</v>
      </c>
      <c r="S292" s="845">
        <v>4.5352845191955602</v>
      </c>
      <c r="T292" s="845">
        <v>4.5618190765380904</v>
      </c>
      <c r="U292" s="845">
        <v>4.5643453598022496</v>
      </c>
      <c r="V292" s="845">
        <v>4.5493078231811497</v>
      </c>
      <c r="W292" s="845">
        <v>4.5490665435790998</v>
      </c>
      <c r="X292" s="845">
        <v>4.5331215858459499</v>
      </c>
      <c r="Y292" s="845">
        <v>4.4955492019653303</v>
      </c>
      <c r="Z292" s="845">
        <v>4.4319190979003897</v>
      </c>
      <c r="AA292" s="287">
        <v>253.732666015625</v>
      </c>
      <c r="AB292" s="287">
        <v>257.28918457031301</v>
      </c>
      <c r="AC292" s="287">
        <v>259.96432495117199</v>
      </c>
      <c r="AD292" s="287">
        <v>262.21316528320301</v>
      </c>
    </row>
    <row r="293" spans="1:30">
      <c r="A293" s="843" t="s">
        <v>626</v>
      </c>
      <c r="B293" s="845">
        <v>1.7776364088058501</v>
      </c>
      <c r="C293" s="845">
        <v>1.81885313987732</v>
      </c>
      <c r="D293" s="845">
        <v>1.9676311016082799</v>
      </c>
      <c r="E293" s="845">
        <v>2.0067975521087602</v>
      </c>
      <c r="F293" s="845">
        <v>1.88941025733948</v>
      </c>
      <c r="G293" s="845">
        <v>1.9042230844497701</v>
      </c>
      <c r="H293" s="845">
        <v>1.89033174514771</v>
      </c>
      <c r="I293" s="845">
        <v>1.9154095649719201</v>
      </c>
      <c r="J293" s="845">
        <v>1.93832087516785</v>
      </c>
      <c r="K293" s="845">
        <v>1.94072294235229</v>
      </c>
      <c r="L293" s="845">
        <v>1.9500694274902299</v>
      </c>
      <c r="M293" s="845">
        <v>1.9586881399154701</v>
      </c>
      <c r="N293" s="845">
        <v>1.9732190370559699</v>
      </c>
      <c r="O293" s="845">
        <v>1.9783339500427199</v>
      </c>
      <c r="P293" s="845">
        <v>1.98810267448425</v>
      </c>
      <c r="Q293" s="845">
        <v>1.9938982725143399</v>
      </c>
      <c r="R293" s="845">
        <v>2.0064799785614</v>
      </c>
      <c r="S293" s="845">
        <v>2.0119984149932901</v>
      </c>
      <c r="T293" s="845">
        <v>2.0163278579711901</v>
      </c>
      <c r="U293" s="845">
        <v>2.0205180644989</v>
      </c>
      <c r="V293" s="845">
        <v>2.0271856784820601</v>
      </c>
      <c r="W293" s="845">
        <v>2.0382561683654798</v>
      </c>
      <c r="X293" s="845">
        <v>2.0508835315704301</v>
      </c>
      <c r="Y293" s="845">
        <v>2.0641281604766801</v>
      </c>
      <c r="Z293" s="845">
        <v>2.0750961303710902</v>
      </c>
      <c r="AA293" s="287">
        <v>208.50216674804699</v>
      </c>
      <c r="AB293" s="287">
        <v>213.246017456055</v>
      </c>
      <c r="AC293" s="287">
        <v>217.97378540039099</v>
      </c>
      <c r="AD293" s="287">
        <v>222.08200073242199</v>
      </c>
    </row>
    <row r="294" spans="1:30">
      <c r="A294" s="843" t="s">
        <v>615</v>
      </c>
      <c r="B294" s="845">
        <v>0</v>
      </c>
      <c r="C294" s="845">
        <v>0</v>
      </c>
      <c r="D294" s="845">
        <v>0</v>
      </c>
      <c r="E294" s="845">
        <v>0</v>
      </c>
      <c r="F294" s="845">
        <v>0</v>
      </c>
      <c r="G294" s="845">
        <v>1.5133428573608401</v>
      </c>
      <c r="H294" s="845">
        <v>1.3742095232009901</v>
      </c>
      <c r="I294" s="845">
        <v>1.19064140319824</v>
      </c>
      <c r="J294" s="845">
        <v>1.3664953708648699</v>
      </c>
      <c r="K294" s="845">
        <v>1.33487153053284</v>
      </c>
      <c r="L294" s="845">
        <v>1.31654036045074</v>
      </c>
      <c r="M294" s="845">
        <v>1.30223417282104</v>
      </c>
      <c r="N294" s="845">
        <v>1.30838906764984</v>
      </c>
      <c r="O294" s="845">
        <v>1.32146644592285</v>
      </c>
      <c r="P294" s="845">
        <v>1.3489345312118499</v>
      </c>
      <c r="Q294" s="845">
        <v>1.3524934053421001</v>
      </c>
      <c r="R294" s="845">
        <v>1.3570195436477701</v>
      </c>
      <c r="S294" s="845">
        <v>1.3626403808593801</v>
      </c>
      <c r="T294" s="845">
        <v>1.37119424343109</v>
      </c>
      <c r="U294" s="845">
        <v>1.3635557889938399</v>
      </c>
      <c r="V294" s="845">
        <v>1.3662919998168901</v>
      </c>
      <c r="W294" s="845">
        <v>1.37254309654236</v>
      </c>
      <c r="X294" s="845">
        <v>1.37609398365021</v>
      </c>
      <c r="Y294" s="845">
        <v>1.3784751892089799</v>
      </c>
      <c r="Z294" s="845">
        <v>1.3805129528045701</v>
      </c>
      <c r="AA294" s="287">
        <v>212.89649963378901</v>
      </c>
      <c r="AB294" s="287">
        <v>216.30204772949199</v>
      </c>
      <c r="AC294" s="287">
        <v>219.267822265625</v>
      </c>
      <c r="AD294" s="287">
        <v>222.079177856445</v>
      </c>
    </row>
    <row r="295" spans="1:30">
      <c r="A295" s="843" t="s">
        <v>478</v>
      </c>
      <c r="B295" s="845">
        <v>26.672916412353501</v>
      </c>
      <c r="C295" s="845">
        <v>26.680915832519499</v>
      </c>
      <c r="D295" s="845">
        <v>27.799331665039102</v>
      </c>
      <c r="E295" s="845">
        <v>26.6892414093018</v>
      </c>
      <c r="F295" s="845">
        <v>24.2756156921387</v>
      </c>
      <c r="G295" s="845">
        <v>25.0947151184082</v>
      </c>
      <c r="H295" s="845">
        <v>25.0493679046631</v>
      </c>
      <c r="I295" s="845">
        <v>25.093559265136701</v>
      </c>
      <c r="J295" s="845">
        <v>25.339256286621101</v>
      </c>
      <c r="K295" s="845">
        <v>25.454051971435501</v>
      </c>
      <c r="L295" s="845">
        <v>25.7708930969238</v>
      </c>
      <c r="M295" s="845">
        <v>26.1124782562256</v>
      </c>
      <c r="N295" s="845">
        <v>26.474697113037099</v>
      </c>
      <c r="O295" s="845">
        <v>26.7419338226318</v>
      </c>
      <c r="P295" s="845">
        <v>27.1641750335693</v>
      </c>
      <c r="Q295" s="845">
        <v>27.529588699340799</v>
      </c>
      <c r="R295" s="845">
        <v>27.7828693389893</v>
      </c>
      <c r="S295" s="845">
        <v>27.754991531372099</v>
      </c>
      <c r="T295" s="845">
        <v>27.792310714721701</v>
      </c>
      <c r="U295" s="845">
        <v>27.7856330871582</v>
      </c>
      <c r="V295" s="845">
        <v>27.867961883544901</v>
      </c>
      <c r="W295" s="845">
        <v>28.2280673980713</v>
      </c>
      <c r="X295" s="845">
        <v>28.6754856109619</v>
      </c>
      <c r="Y295" s="845">
        <v>29.0858860015869</v>
      </c>
      <c r="Z295" s="845">
        <v>29.4564533233643</v>
      </c>
      <c r="AA295" s="287">
        <v>588.97521972656295</v>
      </c>
      <c r="AB295" s="287">
        <v>607.12139892578102</v>
      </c>
      <c r="AC295" s="287">
        <v>615.45501708984398</v>
      </c>
      <c r="AD295" s="287">
        <v>632.78991699218795</v>
      </c>
    </row>
    <row r="296" spans="1:30">
      <c r="AA296" s="287">
        <v>1264.10656738281</v>
      </c>
      <c r="AB296" s="287">
        <v>1293.95861816406</v>
      </c>
      <c r="AC296" s="287">
        <v>1312.66088867188</v>
      </c>
      <c r="AD296" s="287">
        <v>1339.16430664063</v>
      </c>
    </row>
    <row r="297" spans="1:30">
      <c r="A297" s="843" t="s">
        <v>512</v>
      </c>
      <c r="AA297" s="287">
        <v>0.38684526085853599</v>
      </c>
      <c r="AB297" s="287">
        <v>0.443235874176025</v>
      </c>
      <c r="AC297" s="287">
        <v>0.46923574805259699</v>
      </c>
      <c r="AD297" s="287">
        <v>0.51463860273361195</v>
      </c>
    </row>
    <row r="298" spans="1:30">
      <c r="A298" s="843" t="s">
        <v>724</v>
      </c>
      <c r="AA298" s="287">
        <v>1264.49340820313</v>
      </c>
      <c r="AB298" s="287">
        <v>1294.40185546875</v>
      </c>
      <c r="AC298" s="287">
        <v>1313.13012695313</v>
      </c>
      <c r="AD298" s="287">
        <v>1339.67895507813</v>
      </c>
    </row>
    <row r="299" spans="1:30">
      <c r="A299" s="843" t="s">
        <v>472</v>
      </c>
      <c r="B299" s="845">
        <v>231.10064697265599</v>
      </c>
      <c r="C299" s="845">
        <v>238.40081787109401</v>
      </c>
      <c r="D299" s="845">
        <v>250.00378417968801</v>
      </c>
      <c r="E299" s="845">
        <v>223.81915283203099</v>
      </c>
      <c r="F299" s="845">
        <v>215.29118347168</v>
      </c>
      <c r="G299" s="845">
        <v>224.09677124023401</v>
      </c>
      <c r="H299" s="845">
        <v>227.34310913085901</v>
      </c>
      <c r="I299" s="845">
        <v>227.85260009765599</v>
      </c>
      <c r="J299" s="845">
        <v>231.24415588378901</v>
      </c>
      <c r="K299" s="845">
        <v>234.18721008300801</v>
      </c>
      <c r="L299" s="845">
        <v>238.75100708007801</v>
      </c>
      <c r="M299" s="845">
        <v>243.18489074707</v>
      </c>
      <c r="N299" s="845">
        <v>248.169021606445</v>
      </c>
      <c r="O299" s="845">
        <v>252.72660827636699</v>
      </c>
      <c r="P299" s="845">
        <v>258.44952392578102</v>
      </c>
      <c r="Q299" s="845">
        <v>262.50808715820301</v>
      </c>
      <c r="R299" s="845">
        <v>265.94851684570301</v>
      </c>
      <c r="S299" s="845">
        <v>267.30322265625</v>
      </c>
      <c r="T299" s="845">
        <v>270.58847045898398</v>
      </c>
      <c r="U299" s="845">
        <v>272.04168701171898</v>
      </c>
      <c r="V299" s="845">
        <v>276.25186157226602</v>
      </c>
      <c r="W299" s="845">
        <v>282.20260620117199</v>
      </c>
      <c r="X299" s="845">
        <v>288.93267822265602</v>
      </c>
      <c r="Y299" s="845">
        <v>293.60751342773398</v>
      </c>
      <c r="Z299" s="845">
        <v>298.90402221679699</v>
      </c>
      <c r="AA299" s="287"/>
      <c r="AB299" s="287"/>
      <c r="AC299" s="287"/>
      <c r="AD299" s="287"/>
    </row>
    <row r="300" spans="1:30">
      <c r="A300" s="843" t="s">
        <v>479</v>
      </c>
      <c r="B300" s="845">
        <v>170.28274536132801</v>
      </c>
      <c r="C300" s="845">
        <v>172.89260864257801</v>
      </c>
      <c r="D300" s="845">
        <v>183.352294921875</v>
      </c>
      <c r="E300" s="845">
        <v>163.89425659179699</v>
      </c>
      <c r="F300" s="845">
        <v>157.14476013183599</v>
      </c>
      <c r="G300" s="845">
        <v>164.69047546386699</v>
      </c>
      <c r="H300" s="845">
        <v>166.42567443847699</v>
      </c>
      <c r="I300" s="845">
        <v>169.00093078613301</v>
      </c>
      <c r="J300" s="845">
        <v>173.04789733886699</v>
      </c>
      <c r="K300" s="845">
        <v>176.93461608886699</v>
      </c>
      <c r="L300" s="845">
        <v>182.04042053222699</v>
      </c>
      <c r="M300" s="845">
        <v>187.24485778808599</v>
      </c>
      <c r="N300" s="845">
        <v>192.69107055664099</v>
      </c>
      <c r="O300" s="845">
        <v>197.508544921875</v>
      </c>
      <c r="P300" s="845">
        <v>203.26272583007801</v>
      </c>
      <c r="Q300" s="845">
        <v>208.31881713867199</v>
      </c>
      <c r="R300" s="845">
        <v>212.33370971679699</v>
      </c>
      <c r="S300" s="845">
        <v>214.22947692871099</v>
      </c>
      <c r="T300" s="845">
        <v>217.23475646972699</v>
      </c>
      <c r="U300" s="845">
        <v>219.65505981445301</v>
      </c>
      <c r="V300" s="845">
        <v>223.61666870117199</v>
      </c>
      <c r="W300" s="845">
        <v>229.31947326660199</v>
      </c>
      <c r="X300" s="845">
        <v>235.82908630371099</v>
      </c>
      <c r="Y300" s="845">
        <v>241.79779052734401</v>
      </c>
      <c r="Z300" s="845">
        <v>247.76422119140599</v>
      </c>
      <c r="AA300" s="287"/>
      <c r="AB300" s="287"/>
      <c r="AC300" s="287"/>
      <c r="AD300" s="287"/>
    </row>
    <row r="301" spans="1:30">
      <c r="A301" s="843" t="s">
        <v>514</v>
      </c>
      <c r="B301" s="845">
        <v>216.08058166503901</v>
      </c>
      <c r="C301" s="845">
        <v>226.88609313964801</v>
      </c>
      <c r="D301" s="845">
        <v>248.66896057128901</v>
      </c>
      <c r="E301" s="845">
        <v>181.39601135253901</v>
      </c>
      <c r="F301" s="845">
        <v>151.70443725585901</v>
      </c>
      <c r="G301" s="845">
        <v>172.23597717285199</v>
      </c>
      <c r="H301" s="845">
        <v>186.63681030273401</v>
      </c>
      <c r="I301" s="845">
        <v>200.19924926757801</v>
      </c>
      <c r="J301" s="845">
        <v>207.03741455078099</v>
      </c>
      <c r="K301" s="845">
        <v>213.45352172851599</v>
      </c>
      <c r="L301" s="845">
        <v>218.62767028808599</v>
      </c>
      <c r="M301" s="845">
        <v>224.29528808593801</v>
      </c>
      <c r="N301" s="845">
        <v>229.96401977539099</v>
      </c>
      <c r="O301" s="845">
        <v>233.76069641113301</v>
      </c>
      <c r="P301" s="845">
        <v>239.065841674805</v>
      </c>
      <c r="Q301" s="845">
        <v>241.45851135253901</v>
      </c>
      <c r="R301" s="845">
        <v>242.383544921875</v>
      </c>
      <c r="S301" s="845">
        <v>242.41815185546901</v>
      </c>
      <c r="T301" s="845">
        <v>242.89247131347699</v>
      </c>
      <c r="U301" s="845">
        <v>240.916915893555</v>
      </c>
      <c r="V301" s="845">
        <v>241.41357421875</v>
      </c>
      <c r="W301" s="845">
        <v>242.50785827636699</v>
      </c>
      <c r="X301" s="845">
        <v>244.85752868652301</v>
      </c>
      <c r="Y301" s="845">
        <v>245.86729431152301</v>
      </c>
      <c r="Z301" s="845">
        <v>245.87216186523401</v>
      </c>
      <c r="AA301" s="287"/>
      <c r="AB301" s="287"/>
      <c r="AC301" s="287"/>
      <c r="AD301" s="287"/>
    </row>
    <row r="302" spans="1:30">
      <c r="A302" s="843" t="s">
        <v>486</v>
      </c>
      <c r="B302" s="845">
        <v>564.62982177734398</v>
      </c>
      <c r="C302" s="845">
        <v>596.84759521484398</v>
      </c>
      <c r="D302" s="845">
        <v>693.65460205078102</v>
      </c>
      <c r="E302" s="845">
        <v>393.76574707031301</v>
      </c>
      <c r="F302" s="845">
        <v>430.90808105468801</v>
      </c>
      <c r="G302" s="845">
        <v>516.84307861328102</v>
      </c>
      <c r="H302" s="845">
        <v>568.141357421875</v>
      </c>
      <c r="I302" s="845">
        <v>610.89111328125</v>
      </c>
      <c r="J302" s="845">
        <v>646.41064453125</v>
      </c>
      <c r="K302" s="845">
        <v>676.39013671875</v>
      </c>
      <c r="L302" s="845">
        <v>696.72686767578102</v>
      </c>
      <c r="M302" s="845">
        <v>719.33160400390602</v>
      </c>
      <c r="N302" s="845">
        <v>737.13671875</v>
      </c>
      <c r="O302" s="845">
        <v>750.27301025390602</v>
      </c>
      <c r="P302" s="845">
        <v>759.33123779296898</v>
      </c>
      <c r="Q302" s="845">
        <v>760.33734130859398</v>
      </c>
      <c r="R302" s="845">
        <v>761.04602050781295</v>
      </c>
      <c r="S302" s="845">
        <v>771.55059814453102</v>
      </c>
      <c r="T302" s="845">
        <v>780.57421875</v>
      </c>
      <c r="U302" s="845">
        <v>783.147216796875</v>
      </c>
      <c r="V302" s="845">
        <v>796.70227050781295</v>
      </c>
      <c r="W302" s="845">
        <v>794.56842041015602</v>
      </c>
      <c r="X302" s="845">
        <v>811.39251708984398</v>
      </c>
      <c r="Y302" s="845">
        <v>832.07995605468795</v>
      </c>
      <c r="Z302" s="845">
        <v>835.36431884765602</v>
      </c>
      <c r="AA302" s="287"/>
      <c r="AB302" s="287"/>
      <c r="AC302" s="287"/>
      <c r="AD302" s="287"/>
    </row>
    <row r="303" spans="1:30">
      <c r="A303" s="843" t="s">
        <v>515</v>
      </c>
      <c r="B303" s="845">
        <v>1182.09375</v>
      </c>
      <c r="C303" s="845">
        <v>1235.02709960938</v>
      </c>
      <c r="D303" s="845">
        <v>1375.6796875</v>
      </c>
      <c r="E303" s="845">
        <v>962.87518310546898</v>
      </c>
      <c r="F303" s="845">
        <v>955.04846191406295</v>
      </c>
      <c r="G303" s="845">
        <v>1077.86633300781</v>
      </c>
      <c r="H303" s="845">
        <v>1148.54699707031</v>
      </c>
      <c r="I303" s="845">
        <v>1207.94384765625</v>
      </c>
      <c r="J303" s="845">
        <v>1257.74011230469</v>
      </c>
      <c r="K303" s="845">
        <v>1300.96545410156</v>
      </c>
      <c r="L303" s="845">
        <v>1336.14599609375</v>
      </c>
      <c r="M303" s="845">
        <v>1374.056640625</v>
      </c>
      <c r="N303" s="845">
        <v>1407.96081542969</v>
      </c>
      <c r="O303" s="845">
        <v>1434.26879882813</v>
      </c>
      <c r="P303" s="845">
        <v>1460.109375</v>
      </c>
      <c r="Q303" s="845">
        <v>1472.62280273438</v>
      </c>
      <c r="R303" s="845">
        <v>1481.71179199219</v>
      </c>
      <c r="S303" s="845">
        <v>1495.50146484375</v>
      </c>
      <c r="T303" s="845">
        <v>1511.28991699219</v>
      </c>
      <c r="U303" s="845">
        <v>1515.76086425781</v>
      </c>
      <c r="V303" s="845">
        <v>1537.984375</v>
      </c>
      <c r="W303" s="845">
        <v>1548.59838867188</v>
      </c>
      <c r="X303" s="845">
        <v>1581.01184082031</v>
      </c>
      <c r="Y303" s="845">
        <v>1613.3525390625</v>
      </c>
      <c r="Z303" s="845">
        <v>1627.90478515625</v>
      </c>
      <c r="AA303" s="287"/>
      <c r="AB303" s="287"/>
      <c r="AC303" s="287"/>
      <c r="AD303" s="287"/>
    </row>
    <row r="304" spans="1:30">
      <c r="A304" s="843" t="s">
        <v>628</v>
      </c>
      <c r="B304" s="845">
        <v>3.2131362706422799E-2</v>
      </c>
      <c r="C304" s="845">
        <v>4.0145620703697198E-2</v>
      </c>
      <c r="D304" s="845">
        <v>3.7687420845031697E-2</v>
      </c>
      <c r="E304" s="845">
        <v>2.54867300391197E-2</v>
      </c>
      <c r="F304" s="845">
        <v>5.4010055959224701E-2</v>
      </c>
      <c r="G304" s="845">
        <v>6.77362531423569E-2</v>
      </c>
      <c r="H304" s="845">
        <v>8.3178348839283003E-2</v>
      </c>
      <c r="I304" s="845">
        <v>9.4869345426559407E-2</v>
      </c>
      <c r="J304" s="845">
        <v>0.113030456006527</v>
      </c>
      <c r="K304" s="845">
        <v>1.97330021858215</v>
      </c>
      <c r="L304" s="845">
        <v>4.8567194938659703</v>
      </c>
      <c r="M304" s="845">
        <v>6.7303171157836896</v>
      </c>
      <c r="N304" s="845">
        <v>10.514961242675801</v>
      </c>
      <c r="O304" s="845">
        <v>15.7356252670288</v>
      </c>
      <c r="P304" s="845">
        <v>22.100711822509801</v>
      </c>
      <c r="Q304" s="845">
        <v>25.9892463684082</v>
      </c>
      <c r="R304" s="845">
        <v>35.539012908935497</v>
      </c>
      <c r="S304" s="845">
        <v>35.597633361816399</v>
      </c>
      <c r="T304" s="845">
        <v>34.1677055358887</v>
      </c>
      <c r="U304" s="845">
        <v>35.613494873046903</v>
      </c>
      <c r="V304" s="845">
        <v>37.140151977539098</v>
      </c>
      <c r="W304" s="845">
        <v>45.276290893554702</v>
      </c>
      <c r="X304" s="845">
        <v>47.974498748779297</v>
      </c>
      <c r="Y304" s="845">
        <v>53.190200805664098</v>
      </c>
      <c r="Z304" s="845">
        <v>54.179977416992202</v>
      </c>
      <c r="AA304" s="287"/>
      <c r="AB304" s="287"/>
      <c r="AC304" s="287"/>
      <c r="AD304" s="287"/>
    </row>
    <row r="305" spans="1:30">
      <c r="A305" s="843" t="s">
        <v>517</v>
      </c>
      <c r="B305" s="845">
        <v>1182.12585449219</v>
      </c>
      <c r="C305" s="845">
        <v>1235.06726074219</v>
      </c>
      <c r="D305" s="845">
        <v>1375.71740722656</v>
      </c>
      <c r="E305" s="845">
        <v>962.90069580078102</v>
      </c>
      <c r="F305" s="845">
        <v>955.10247802734398</v>
      </c>
      <c r="G305" s="845">
        <v>1077.93408203125</v>
      </c>
      <c r="H305" s="845">
        <v>1148.63012695313</v>
      </c>
      <c r="I305" s="845">
        <v>1208.03869628906</v>
      </c>
      <c r="J305" s="845">
        <v>1257.85314941406</v>
      </c>
      <c r="K305" s="845">
        <v>1302.93872070313</v>
      </c>
      <c r="L305" s="845">
        <v>1341.00268554688</v>
      </c>
      <c r="M305" s="845">
        <v>1380.78698730469</v>
      </c>
      <c r="N305" s="845">
        <v>1418.47583007813</v>
      </c>
      <c r="O305" s="845">
        <v>1450.00439453125</v>
      </c>
      <c r="P305" s="845">
        <v>1482.21008300781</v>
      </c>
      <c r="Q305" s="845">
        <v>1498.61206054688</v>
      </c>
      <c r="R305" s="845">
        <v>1517.25085449219</v>
      </c>
      <c r="S305" s="845">
        <v>1531.09912109375</v>
      </c>
      <c r="T305" s="845">
        <v>1545.45764160156</v>
      </c>
      <c r="U305" s="845">
        <v>1551.37438964844</v>
      </c>
      <c r="V305" s="845">
        <v>1575.12451171875</v>
      </c>
      <c r="W305" s="845">
        <v>1593.87463378906</v>
      </c>
      <c r="X305" s="845">
        <v>1628.986328125</v>
      </c>
      <c r="Y305" s="845">
        <v>1666.54272460938</v>
      </c>
      <c r="Z305" s="845">
        <v>1682.08471679688</v>
      </c>
      <c r="AA305" s="287"/>
      <c r="AB305" s="287"/>
      <c r="AC305" s="287"/>
      <c r="AD305" s="287"/>
    </row>
    <row r="306" spans="1:30">
      <c r="AA306" s="287"/>
      <c r="AB306" s="287"/>
      <c r="AC306" s="287"/>
      <c r="AD306" s="287"/>
    </row>
    <row r="307" spans="1:30">
      <c r="AA307" s="287"/>
      <c r="AB307" s="287"/>
      <c r="AC307" s="287"/>
      <c r="AD307" s="287"/>
    </row>
    <row r="308" spans="1:30">
      <c r="A308" s="843" t="s">
        <v>725</v>
      </c>
      <c r="AA308" s="287"/>
      <c r="AB308" s="287"/>
      <c r="AC308" s="287"/>
      <c r="AD308" s="287"/>
    </row>
    <row r="309" spans="1:30">
      <c r="A309" s="843" t="s">
        <v>472</v>
      </c>
      <c r="AA309" s="287"/>
      <c r="AB309" s="287"/>
      <c r="AC309" s="287"/>
      <c r="AD309" s="287"/>
    </row>
    <row r="310" spans="1:30">
      <c r="A310" s="843" t="s">
        <v>608</v>
      </c>
      <c r="B310" s="845">
        <v>23.2563285827637</v>
      </c>
      <c r="C310" s="845">
        <v>24.973464965820298</v>
      </c>
      <c r="D310" s="845">
        <v>29.096658706665</v>
      </c>
      <c r="E310" s="845">
        <v>22.194786071777301</v>
      </c>
      <c r="F310" s="845">
        <v>21.477947235107401</v>
      </c>
      <c r="G310" s="845">
        <v>24.1509113311768</v>
      </c>
      <c r="H310" s="845">
        <v>26.557428359985401</v>
      </c>
      <c r="I310" s="845">
        <v>28.936630249023398</v>
      </c>
      <c r="J310" s="845">
        <v>31.2247924804688</v>
      </c>
      <c r="K310" s="845">
        <v>33.758499145507798</v>
      </c>
      <c r="L310" s="845">
        <v>35.743316650390597</v>
      </c>
      <c r="M310" s="845">
        <v>37.599853515625</v>
      </c>
      <c r="N310" s="845">
        <v>39.552177429199197</v>
      </c>
      <c r="O310" s="845">
        <v>40.9905815124512</v>
      </c>
      <c r="P310" s="845">
        <v>42.334590911865199</v>
      </c>
      <c r="Q310" s="845">
        <v>43.7123832702637</v>
      </c>
      <c r="R310" s="845">
        <v>44.985881805419901</v>
      </c>
      <c r="S310" s="845">
        <v>46.523696899414098</v>
      </c>
      <c r="T310" s="845">
        <v>47.765018463134801</v>
      </c>
      <c r="U310" s="845">
        <v>48.143123626708999</v>
      </c>
      <c r="V310" s="845">
        <v>49.548942565917997</v>
      </c>
      <c r="W310" s="845">
        <v>50.986961364746101</v>
      </c>
      <c r="X310" s="845">
        <v>52.580905914306598</v>
      </c>
      <c r="Y310" s="845">
        <v>53.965934753417997</v>
      </c>
      <c r="Z310" s="845">
        <v>55.648300170898402</v>
      </c>
      <c r="AA310" s="287"/>
      <c r="AB310" s="287"/>
      <c r="AC310" s="287"/>
      <c r="AD310" s="287"/>
    </row>
    <row r="311" spans="1:30">
      <c r="A311" s="843" t="s">
        <v>609</v>
      </c>
      <c r="B311" s="845">
        <v>17.979913711547901</v>
      </c>
      <c r="C311" s="845">
        <v>19.664405822753899</v>
      </c>
      <c r="D311" s="845">
        <v>24.466548919677699</v>
      </c>
      <c r="E311" s="845">
        <v>16.188474655151399</v>
      </c>
      <c r="F311" s="845">
        <v>13.8549404144287</v>
      </c>
      <c r="G311" s="845">
        <v>16.4927158355713</v>
      </c>
      <c r="H311" s="845">
        <v>18.5955104827881</v>
      </c>
      <c r="I311" s="845">
        <v>20.348911285400401</v>
      </c>
      <c r="J311" s="845">
        <v>22.1809597015381</v>
      </c>
      <c r="K311" s="845">
        <v>24.3712253570557</v>
      </c>
      <c r="L311" s="845">
        <v>25.9372863769531</v>
      </c>
      <c r="M311" s="845">
        <v>27.5034885406494</v>
      </c>
      <c r="N311" s="845">
        <v>29.0146675109863</v>
      </c>
      <c r="O311" s="845">
        <v>30.168525695800799</v>
      </c>
      <c r="P311" s="845">
        <v>31.2883205413818</v>
      </c>
      <c r="Q311" s="845">
        <v>32.275276184082003</v>
      </c>
      <c r="R311" s="845">
        <v>33.246475219726598</v>
      </c>
      <c r="S311" s="845">
        <v>34.4459838867188</v>
      </c>
      <c r="T311" s="845">
        <v>35.640113830566399</v>
      </c>
      <c r="U311" s="845">
        <v>35.882171630859403</v>
      </c>
      <c r="V311" s="845">
        <v>37.065284729003899</v>
      </c>
      <c r="W311" s="845">
        <v>38.310382843017599</v>
      </c>
      <c r="X311" s="845">
        <v>39.641868591308601</v>
      </c>
      <c r="Y311" s="845">
        <v>40.905982971191399</v>
      </c>
      <c r="Z311" s="845">
        <v>42.365245819091797</v>
      </c>
      <c r="AA311" s="287"/>
      <c r="AB311" s="287"/>
      <c r="AC311" s="287"/>
      <c r="AD311" s="287"/>
    </row>
    <row r="312" spans="1:30">
      <c r="A312" s="843" t="s">
        <v>509</v>
      </c>
      <c r="B312" s="845">
        <v>13.3406887054443</v>
      </c>
      <c r="C312" s="845">
        <v>12.691158294677701</v>
      </c>
      <c r="D312" s="845">
        <v>13.2631158828735</v>
      </c>
      <c r="E312" s="845">
        <v>11.061133384704601</v>
      </c>
      <c r="F312" s="845">
        <v>11.614992141723601</v>
      </c>
      <c r="G312" s="845">
        <v>12.061012268066399</v>
      </c>
      <c r="H312" s="845">
        <v>12.1186227798462</v>
      </c>
      <c r="I312" s="845">
        <v>12.236530303955099</v>
      </c>
      <c r="J312" s="845">
        <v>12.476335525512701</v>
      </c>
      <c r="K312" s="845">
        <v>12.8177757263184</v>
      </c>
      <c r="L312" s="845">
        <v>13.333586692810099</v>
      </c>
      <c r="M312" s="845">
        <v>13.900782585144</v>
      </c>
      <c r="N312" s="845">
        <v>14.492022514343301</v>
      </c>
      <c r="O312" s="845">
        <v>15.1641521453857</v>
      </c>
      <c r="P312" s="845">
        <v>15.945101737976101</v>
      </c>
      <c r="Q312" s="845">
        <v>16.661958694458001</v>
      </c>
      <c r="R312" s="845">
        <v>17.186347961425799</v>
      </c>
      <c r="S312" s="845">
        <v>17.308622360229499</v>
      </c>
      <c r="T312" s="845">
        <v>17.6488857269287</v>
      </c>
      <c r="U312" s="845">
        <v>17.9868679046631</v>
      </c>
      <c r="V312" s="845">
        <v>18.635103225708001</v>
      </c>
      <c r="W312" s="845">
        <v>19.4500408172607</v>
      </c>
      <c r="X312" s="845">
        <v>20.3657627105713</v>
      </c>
      <c r="Y312" s="845">
        <v>21.1996364593506</v>
      </c>
      <c r="Z312" s="845">
        <v>22.095756530761701</v>
      </c>
      <c r="AA312" s="287"/>
      <c r="AB312" s="287"/>
      <c r="AC312" s="287"/>
      <c r="AD312" s="287"/>
    </row>
    <row r="313" spans="1:30">
      <c r="A313" s="843" t="s">
        <v>478</v>
      </c>
      <c r="B313" s="845">
        <v>30.388185501098601</v>
      </c>
      <c r="C313" s="845">
        <v>31.181957244873001</v>
      </c>
      <c r="D313" s="845">
        <v>32.471218109130902</v>
      </c>
      <c r="E313" s="845">
        <v>31.722009658813501</v>
      </c>
      <c r="F313" s="845">
        <v>29.6958332061768</v>
      </c>
      <c r="G313" s="845">
        <v>31.365653991699201</v>
      </c>
      <c r="H313" s="845">
        <v>32.001548767089801</v>
      </c>
      <c r="I313" s="845">
        <v>32.924289703369098</v>
      </c>
      <c r="J313" s="845">
        <v>34.030689239502003</v>
      </c>
      <c r="K313" s="845">
        <v>34.890899658203097</v>
      </c>
      <c r="L313" s="845">
        <v>35.995761871337898</v>
      </c>
      <c r="M313" s="845">
        <v>37.227577209472699</v>
      </c>
      <c r="N313" s="845">
        <v>38.5026245117188</v>
      </c>
      <c r="O313" s="845">
        <v>39.672031402587898</v>
      </c>
      <c r="P313" s="845">
        <v>41.180412292480497</v>
      </c>
      <c r="Q313" s="845">
        <v>42.698352813720703</v>
      </c>
      <c r="R313" s="845">
        <v>44.053905487060497</v>
      </c>
      <c r="S313" s="845">
        <v>45.011627197265597</v>
      </c>
      <c r="T313" s="845">
        <v>46.023651123046903</v>
      </c>
      <c r="U313" s="845">
        <v>46.971866607666001</v>
      </c>
      <c r="V313" s="845">
        <v>48.032154083252003</v>
      </c>
      <c r="W313" s="845">
        <v>49.565544128417997</v>
      </c>
      <c r="X313" s="845">
        <v>51.240451812744098</v>
      </c>
      <c r="Y313" s="845">
        <v>52.949665069580099</v>
      </c>
      <c r="Z313" s="845">
        <v>54.583251953125</v>
      </c>
      <c r="AA313" s="287"/>
      <c r="AB313" s="287"/>
      <c r="AC313" s="287"/>
      <c r="AD313" s="287"/>
    </row>
    <row r="314" spans="1:30">
      <c r="AA314" s="287"/>
      <c r="AB314" s="287"/>
      <c r="AC314" s="287"/>
      <c r="AD314" s="287"/>
    </row>
    <row r="315" spans="1:30">
      <c r="A315" s="843" t="s">
        <v>479</v>
      </c>
      <c r="AA315" s="287"/>
      <c r="AB315" s="287"/>
      <c r="AC315" s="287"/>
      <c r="AD315" s="287"/>
    </row>
    <row r="316" spans="1:30">
      <c r="A316" s="843" t="s">
        <v>608</v>
      </c>
      <c r="B316" s="845">
        <v>20.6414604187012</v>
      </c>
      <c r="C316" s="845">
        <v>23.041419982910199</v>
      </c>
      <c r="D316" s="845">
        <v>24.0578727722168</v>
      </c>
      <c r="E316" s="845">
        <v>21.6475944519043</v>
      </c>
      <c r="F316" s="845">
        <v>18.202018737793001</v>
      </c>
      <c r="G316" s="845">
        <v>20.8180141448975</v>
      </c>
      <c r="H316" s="845">
        <v>23.171899795532202</v>
      </c>
      <c r="I316" s="845">
        <v>25.4778232574463</v>
      </c>
      <c r="J316" s="845">
        <v>27.6801948547363</v>
      </c>
      <c r="K316" s="845">
        <v>30.122516632080099</v>
      </c>
      <c r="L316" s="845">
        <v>32.012001037597699</v>
      </c>
      <c r="M316" s="845">
        <v>33.770454406738303</v>
      </c>
      <c r="N316" s="845">
        <v>35.6212158203125</v>
      </c>
      <c r="O316" s="845">
        <v>36.9546508789063</v>
      </c>
      <c r="P316" s="845">
        <v>38.187240600585902</v>
      </c>
      <c r="Q316" s="845">
        <v>39.449775695800803</v>
      </c>
      <c r="R316" s="845">
        <v>40.605808258056598</v>
      </c>
      <c r="S316" s="845">
        <v>42.0293998718262</v>
      </c>
      <c r="T316" s="845">
        <v>43.160079956054702</v>
      </c>
      <c r="U316" s="845">
        <v>43.432140350341797</v>
      </c>
      <c r="V316" s="845">
        <v>44.7312202453613</v>
      </c>
      <c r="W316" s="845">
        <v>46.061283111572301</v>
      </c>
      <c r="X316" s="845">
        <v>47.542713165283203</v>
      </c>
      <c r="Y316" s="845">
        <v>48.814918518066399</v>
      </c>
      <c r="Z316" s="845">
        <v>50.382663726806598</v>
      </c>
      <c r="AA316" s="287"/>
      <c r="AB316" s="287"/>
      <c r="AC316" s="287"/>
      <c r="AD316" s="287"/>
    </row>
    <row r="317" spans="1:30">
      <c r="A317" s="843" t="s">
        <v>609</v>
      </c>
      <c r="B317" s="845">
        <v>14.625953674316399</v>
      </c>
      <c r="C317" s="845">
        <v>16.054100036621101</v>
      </c>
      <c r="D317" s="845">
        <v>21.4175109863281</v>
      </c>
      <c r="E317" s="845">
        <v>14.1806936264038</v>
      </c>
      <c r="F317" s="845">
        <v>11.1656141281128</v>
      </c>
      <c r="G317" s="845">
        <v>13.940697669982899</v>
      </c>
      <c r="H317" s="845">
        <v>16.055301666259801</v>
      </c>
      <c r="I317" s="845">
        <v>18.2004089355469</v>
      </c>
      <c r="J317" s="845">
        <v>20.072311401367202</v>
      </c>
      <c r="K317" s="845">
        <v>21.922914505004901</v>
      </c>
      <c r="L317" s="845">
        <v>23.436100006103501</v>
      </c>
      <c r="M317" s="845">
        <v>24.993484497070298</v>
      </c>
      <c r="N317" s="845">
        <v>26.4673175811768</v>
      </c>
      <c r="O317" s="845">
        <v>27.614213943481399</v>
      </c>
      <c r="P317" s="845">
        <v>28.7058811187744</v>
      </c>
      <c r="Q317" s="845">
        <v>29.4854850769043</v>
      </c>
      <c r="R317" s="845">
        <v>30.5256862640381</v>
      </c>
      <c r="S317" s="845">
        <v>31.597146987915</v>
      </c>
      <c r="T317" s="845">
        <v>32.548923492431598</v>
      </c>
      <c r="U317" s="845">
        <v>32.997859954833999</v>
      </c>
      <c r="V317" s="845">
        <v>34.165657043457003</v>
      </c>
      <c r="W317" s="845">
        <v>35.000114440917997</v>
      </c>
      <c r="X317" s="845">
        <v>36.3691596984863</v>
      </c>
      <c r="Y317" s="845">
        <v>37.943679809570298</v>
      </c>
      <c r="Z317" s="845">
        <v>39.006439208984403</v>
      </c>
      <c r="AA317" s="287"/>
      <c r="AB317" s="287"/>
      <c r="AC317" s="287"/>
      <c r="AD317" s="287"/>
    </row>
    <row r="318" spans="1:30">
      <c r="A318" s="843" t="s">
        <v>722</v>
      </c>
      <c r="B318" s="845">
        <v>8.64862155914307</v>
      </c>
      <c r="C318" s="845">
        <v>10.3074436187744</v>
      </c>
      <c r="D318" s="845">
        <v>13.7067270278931</v>
      </c>
      <c r="E318" s="845">
        <v>6.9139137268066397</v>
      </c>
      <c r="F318" s="845">
        <v>6.0204734802246103</v>
      </c>
      <c r="G318" s="845">
        <v>9.0269355773925799</v>
      </c>
      <c r="H318" s="845">
        <v>10.767860412597701</v>
      </c>
      <c r="I318" s="845">
        <v>12.611166954040501</v>
      </c>
      <c r="J318" s="845">
        <v>14.3083610534668</v>
      </c>
      <c r="K318" s="845">
        <v>16.269037246704102</v>
      </c>
      <c r="L318" s="845">
        <v>17.569841384887699</v>
      </c>
      <c r="M318" s="845">
        <v>18.511304855346701</v>
      </c>
      <c r="N318" s="845">
        <v>19.7891235351563</v>
      </c>
      <c r="O318" s="845">
        <v>20.573390960693398</v>
      </c>
      <c r="P318" s="845">
        <v>21.404872894287099</v>
      </c>
      <c r="Q318" s="845">
        <v>22.193275451660199</v>
      </c>
      <c r="R318" s="845">
        <v>22.9593410491943</v>
      </c>
      <c r="S318" s="845">
        <v>23.7928276062012</v>
      </c>
      <c r="T318" s="845">
        <v>24.398706436157202</v>
      </c>
      <c r="U318" s="845">
        <v>24.292516708373999</v>
      </c>
      <c r="V318" s="845">
        <v>25.0136394500732</v>
      </c>
      <c r="W318" s="845">
        <v>25.751762390136701</v>
      </c>
      <c r="X318" s="845">
        <v>26.606601715087901</v>
      </c>
      <c r="Y318" s="845">
        <v>27.4516487121582</v>
      </c>
      <c r="Z318" s="845">
        <v>28.286119461059599</v>
      </c>
      <c r="AA318" s="287"/>
      <c r="AB318" s="287"/>
      <c r="AC318" s="287"/>
      <c r="AD318" s="287"/>
    </row>
    <row r="319" spans="1:30">
      <c r="A319" s="843" t="s">
        <v>509</v>
      </c>
      <c r="B319" s="845">
        <v>11.5840444564819</v>
      </c>
      <c r="C319" s="845">
        <v>10.9898433685303</v>
      </c>
      <c r="D319" s="845">
        <v>11.588038444519</v>
      </c>
      <c r="E319" s="845">
        <v>9.1930990219116193</v>
      </c>
      <c r="F319" s="845">
        <v>9.8226709365844709</v>
      </c>
      <c r="G319" s="845">
        <v>10.233100891113301</v>
      </c>
      <c r="H319" s="845">
        <v>10.334647178649901</v>
      </c>
      <c r="I319" s="845">
        <v>10.4663095474243</v>
      </c>
      <c r="J319" s="845">
        <v>10.734943389892599</v>
      </c>
      <c r="K319" s="845">
        <v>11.106437683105501</v>
      </c>
      <c r="L319" s="845">
        <v>11.600093841552701</v>
      </c>
      <c r="M319" s="845">
        <v>12.1229543685913</v>
      </c>
      <c r="N319" s="845">
        <v>12.6781578063965</v>
      </c>
      <c r="O319" s="845">
        <v>13.3144483566284</v>
      </c>
      <c r="P319" s="845">
        <v>14.069993019104</v>
      </c>
      <c r="Q319" s="845">
        <v>14.7329454421997</v>
      </c>
      <c r="R319" s="845">
        <v>15.223674774169901</v>
      </c>
      <c r="S319" s="845">
        <v>15.329276084899901</v>
      </c>
      <c r="T319" s="845">
        <v>15.6546773910522</v>
      </c>
      <c r="U319" s="845">
        <v>15.9318437576294</v>
      </c>
      <c r="V319" s="845">
        <v>16.5416469573975</v>
      </c>
      <c r="W319" s="845">
        <v>17.316057205200199</v>
      </c>
      <c r="X319" s="845">
        <v>18.194717407226602</v>
      </c>
      <c r="Y319" s="845">
        <v>18.967941284179702</v>
      </c>
      <c r="Z319" s="845">
        <v>19.811794281005898</v>
      </c>
      <c r="AA319" s="287"/>
      <c r="AB319" s="287"/>
      <c r="AC319" s="287"/>
      <c r="AD319" s="287"/>
    </row>
    <row r="320" spans="1:30">
      <c r="A320" s="843" t="s">
        <v>478</v>
      </c>
      <c r="B320" s="845">
        <v>27.631908416748001</v>
      </c>
      <c r="C320" s="845">
        <v>28.029735565185501</v>
      </c>
      <c r="D320" s="845">
        <v>29.6960258483887</v>
      </c>
      <c r="E320" s="845">
        <v>28.491619110107401</v>
      </c>
      <c r="F320" s="845">
        <v>25.7724418640137</v>
      </c>
      <c r="G320" s="845">
        <v>26.858903884887699</v>
      </c>
      <c r="H320" s="845">
        <v>27.045906066894499</v>
      </c>
      <c r="I320" s="845">
        <v>27.5620422363281</v>
      </c>
      <c r="J320" s="845">
        <v>28.370775222778299</v>
      </c>
      <c r="K320" s="845">
        <v>29.106733322143601</v>
      </c>
      <c r="L320" s="845">
        <v>30.1617736816406</v>
      </c>
      <c r="M320" s="845">
        <v>31.290737152099599</v>
      </c>
      <c r="N320" s="845">
        <v>32.536418914794901</v>
      </c>
      <c r="O320" s="845">
        <v>33.661582946777301</v>
      </c>
      <c r="P320" s="845">
        <v>35.072307586669901</v>
      </c>
      <c r="Q320" s="845">
        <v>36.4632377624512</v>
      </c>
      <c r="R320" s="845">
        <v>37.713531494140597</v>
      </c>
      <c r="S320" s="845">
        <v>38.535266876220703</v>
      </c>
      <c r="T320" s="845">
        <v>39.429233551025398</v>
      </c>
      <c r="U320" s="845">
        <v>40.172752380371101</v>
      </c>
      <c r="V320" s="845">
        <v>41.0662841796875</v>
      </c>
      <c r="W320" s="845">
        <v>42.386928558349602</v>
      </c>
      <c r="X320" s="845">
        <v>43.920989990234403</v>
      </c>
      <c r="Y320" s="845">
        <v>45.4139213562012</v>
      </c>
      <c r="Z320" s="845">
        <v>46.925571441650398</v>
      </c>
      <c r="AA320" s="287"/>
      <c r="AB320" s="287"/>
      <c r="AC320" s="287"/>
      <c r="AD320" s="287"/>
    </row>
    <row r="321" spans="1:30">
      <c r="AA321" s="287"/>
      <c r="AB321" s="287"/>
      <c r="AC321" s="287"/>
      <c r="AD321" s="287"/>
    </row>
    <row r="322" spans="1:30">
      <c r="A322" s="843" t="s">
        <v>611</v>
      </c>
      <c r="AA322" s="287"/>
      <c r="AB322" s="287"/>
      <c r="AC322" s="287"/>
      <c r="AD322" s="287"/>
    </row>
    <row r="323" spans="1:30">
      <c r="A323" s="843" t="s">
        <v>608</v>
      </c>
      <c r="B323" s="845">
        <v>20.489143371581999</v>
      </c>
      <c r="C323" s="845">
        <v>23.3795166015625</v>
      </c>
      <c r="D323" s="845">
        <v>27.232301712036101</v>
      </c>
      <c r="E323" s="845">
        <v>22.957033157348601</v>
      </c>
      <c r="F323" s="845">
        <v>17.265552520751999</v>
      </c>
      <c r="G323" s="845">
        <v>19.8652458190918</v>
      </c>
      <c r="H323" s="845">
        <v>22.207704544067401</v>
      </c>
      <c r="I323" s="845">
        <v>24.495702743530298</v>
      </c>
      <c r="J323" s="845">
        <v>26.6714878082275</v>
      </c>
      <c r="K323" s="845">
        <v>29.0830192565918</v>
      </c>
      <c r="L323" s="845">
        <v>30.951156616210898</v>
      </c>
      <c r="M323" s="845">
        <v>32.690711975097699</v>
      </c>
      <c r="N323" s="845">
        <v>34.514808654785199</v>
      </c>
      <c r="O323" s="845">
        <v>35.846107482910199</v>
      </c>
      <c r="P323" s="845">
        <v>37.040077209472699</v>
      </c>
      <c r="Q323" s="845">
        <v>38.301750183105497</v>
      </c>
      <c r="R323" s="845">
        <v>39.421558380127003</v>
      </c>
      <c r="S323" s="845">
        <v>40.814861297607401</v>
      </c>
      <c r="T323" s="845">
        <v>41.884078979492202</v>
      </c>
      <c r="U323" s="845">
        <v>42.155609130859403</v>
      </c>
      <c r="V323" s="845">
        <v>43.402267456054702</v>
      </c>
      <c r="W323" s="845">
        <v>44.705905914306598</v>
      </c>
      <c r="X323" s="845">
        <v>46.153343200683601</v>
      </c>
      <c r="Y323" s="845">
        <v>47.236614227294901</v>
      </c>
      <c r="Z323" s="845">
        <v>48.820529937744098</v>
      </c>
      <c r="AA323" s="287"/>
      <c r="AB323" s="287"/>
      <c r="AC323" s="287"/>
      <c r="AD323" s="287"/>
    </row>
    <row r="324" spans="1:30">
      <c r="A324" s="843" t="s">
        <v>609</v>
      </c>
      <c r="B324" s="845">
        <v>15.3226671218872</v>
      </c>
      <c r="C324" s="845">
        <v>16.8219394683838</v>
      </c>
      <c r="D324" s="845">
        <v>22.4200763702393</v>
      </c>
      <c r="E324" s="845">
        <v>14.749831199646</v>
      </c>
      <c r="F324" s="845">
        <v>11.025536537170399</v>
      </c>
      <c r="G324" s="845">
        <v>14.0721025466919</v>
      </c>
      <c r="H324" s="845">
        <v>16.2283020019531</v>
      </c>
      <c r="I324" s="845">
        <v>18.6841716766357</v>
      </c>
      <c r="J324" s="845">
        <v>20.619239807128899</v>
      </c>
      <c r="K324" s="845">
        <v>22.302150726318398</v>
      </c>
      <c r="L324" s="845">
        <v>23.831027984619102</v>
      </c>
      <c r="M324" s="845">
        <v>25.434989929199201</v>
      </c>
      <c r="N324" s="845">
        <v>26.940843582153299</v>
      </c>
      <c r="O324" s="845">
        <v>28.1489963531494</v>
      </c>
      <c r="P324" s="845">
        <v>29.2844352722168</v>
      </c>
      <c r="Q324" s="845">
        <v>29.987220764160199</v>
      </c>
      <c r="R324" s="845">
        <v>31.1475830078125</v>
      </c>
      <c r="S324" s="845">
        <v>32.191192626953097</v>
      </c>
      <c r="T324" s="845">
        <v>33.043167114257798</v>
      </c>
      <c r="U324" s="845">
        <v>33.6753120422363</v>
      </c>
      <c r="V324" s="845">
        <v>34.892765045166001</v>
      </c>
      <c r="W324" s="845">
        <v>35.508182525634801</v>
      </c>
      <c r="X324" s="845">
        <v>36.966400146484403</v>
      </c>
      <c r="Y324" s="845">
        <v>38.821296691894503</v>
      </c>
      <c r="Z324" s="845">
        <v>39.679729461669901</v>
      </c>
      <c r="AA324" s="287"/>
      <c r="AB324" s="287"/>
      <c r="AC324" s="287"/>
      <c r="AD324" s="287"/>
    </row>
    <row r="325" spans="1:30">
      <c r="A325" s="843" t="s">
        <v>610</v>
      </c>
      <c r="B325" s="845">
        <v>8.9709205627441406</v>
      </c>
      <c r="C325" s="845">
        <v>10.5954837799072</v>
      </c>
      <c r="D325" s="845">
        <v>14.049506187439</v>
      </c>
      <c r="E325" s="845">
        <v>7.1343002319335902</v>
      </c>
      <c r="F325" s="845">
        <v>10.215766906738301</v>
      </c>
      <c r="G325" s="845">
        <v>12.8617763519287</v>
      </c>
      <c r="H325" s="845">
        <v>14.814771652221699</v>
      </c>
      <c r="I325" s="845">
        <v>16.696189880371101</v>
      </c>
      <c r="J325" s="845">
        <v>18.396284103393601</v>
      </c>
      <c r="K325" s="845">
        <v>20.378862380981399</v>
      </c>
      <c r="L325" s="845">
        <v>21.7460041046143</v>
      </c>
      <c r="M325" s="845">
        <v>22.969861984252901</v>
      </c>
      <c r="N325" s="845">
        <v>24.3396511077881</v>
      </c>
      <c r="O325" s="845">
        <v>25.3345756530762</v>
      </c>
      <c r="P325" s="845">
        <v>26.3205471038818</v>
      </c>
      <c r="Q325" s="845">
        <v>27.310920715331999</v>
      </c>
      <c r="R325" s="845">
        <v>28.174968719482401</v>
      </c>
      <c r="S325" s="845">
        <v>29.129919052123999</v>
      </c>
      <c r="T325" s="845">
        <v>29.910713195800799</v>
      </c>
      <c r="U325" s="845">
        <v>30.004579544067401</v>
      </c>
      <c r="V325" s="845">
        <v>30.867444992065401</v>
      </c>
      <c r="W325" s="845">
        <v>31.741449356079102</v>
      </c>
      <c r="X325" s="845">
        <v>32.901214599609403</v>
      </c>
      <c r="Y325" s="845">
        <v>33.791465759277301</v>
      </c>
      <c r="Z325" s="845">
        <v>34.9404487609863</v>
      </c>
      <c r="AA325" s="287"/>
      <c r="AB325" s="287"/>
      <c r="AC325" s="287"/>
      <c r="AD325" s="287"/>
    </row>
    <row r="326" spans="1:30">
      <c r="A326" s="843" t="s">
        <v>612</v>
      </c>
      <c r="B326" s="845">
        <v>7.7454247474670401</v>
      </c>
      <c r="C326" s="845">
        <v>7.5152516365051296</v>
      </c>
      <c r="D326" s="845">
        <v>8.9947338104247994</v>
      </c>
      <c r="E326" s="845">
        <v>5.0039734840393102</v>
      </c>
      <c r="F326" s="845">
        <v>5.7063522338867196</v>
      </c>
      <c r="G326" s="845">
        <v>6.1171517372131303</v>
      </c>
      <c r="H326" s="845">
        <v>6.2487673759460396</v>
      </c>
      <c r="I326" s="845">
        <v>6.4428400993347203</v>
      </c>
      <c r="J326" s="845">
        <v>6.7520828247070304</v>
      </c>
      <c r="K326" s="845">
        <v>7.1508984565734899</v>
      </c>
      <c r="L326" s="845">
        <v>7.5258989334106401</v>
      </c>
      <c r="M326" s="845">
        <v>7.9240221977233896</v>
      </c>
      <c r="N326" s="845">
        <v>8.3488731384277308</v>
      </c>
      <c r="O326" s="845">
        <v>8.8619937896728498</v>
      </c>
      <c r="P326" s="845">
        <v>9.4837093353271502</v>
      </c>
      <c r="Q326" s="845">
        <v>9.9987487792968803</v>
      </c>
      <c r="R326" s="845">
        <v>10.352954864501999</v>
      </c>
      <c r="S326" s="845">
        <v>10.3336448669434</v>
      </c>
      <c r="T326" s="845">
        <v>10.549848556518601</v>
      </c>
      <c r="U326" s="845">
        <v>10.6489877700806</v>
      </c>
      <c r="V326" s="845">
        <v>11.076291084289601</v>
      </c>
      <c r="W326" s="845">
        <v>11.6912574768066</v>
      </c>
      <c r="X326" s="845">
        <v>12.4464559555054</v>
      </c>
      <c r="Y326" s="845">
        <v>13.0579080581665</v>
      </c>
      <c r="Z326" s="845">
        <v>13.758059501647899</v>
      </c>
      <c r="AA326" s="287"/>
      <c r="AB326" s="287"/>
      <c r="AC326" s="287"/>
      <c r="AD326" s="287"/>
    </row>
    <row r="327" spans="1:30">
      <c r="A327" s="843" t="s">
        <v>613</v>
      </c>
      <c r="B327" s="845">
        <v>3.53999996185303</v>
      </c>
      <c r="C327" s="845">
        <v>3.6099998950958301</v>
      </c>
      <c r="D327" s="845">
        <v>4.1449666023254403</v>
      </c>
      <c r="E327" s="845">
        <v>4.1784791946411097</v>
      </c>
      <c r="F327" s="845">
        <v>4.1485314369201696</v>
      </c>
      <c r="G327" s="845">
        <v>4.3175525665283203</v>
      </c>
      <c r="H327" s="845">
        <v>4.44484186172485</v>
      </c>
      <c r="I327" s="845">
        <v>4.5821456909179696</v>
      </c>
      <c r="J327" s="845">
        <v>4.7206311225891104</v>
      </c>
      <c r="K327" s="845">
        <v>4.8563599586486799</v>
      </c>
      <c r="L327" s="845">
        <v>4.9913563728332502</v>
      </c>
      <c r="M327" s="845">
        <v>5.1233406066894496</v>
      </c>
      <c r="N327" s="845">
        <v>5.2680139541626003</v>
      </c>
      <c r="O327" s="845">
        <v>5.4137320518493697</v>
      </c>
      <c r="P327" s="845">
        <v>5.5743689537048304</v>
      </c>
      <c r="Q327" s="845">
        <v>5.7906579971313503</v>
      </c>
      <c r="R327" s="845">
        <v>6.0209679603576696</v>
      </c>
      <c r="S327" s="845">
        <v>6.20045709609985</v>
      </c>
      <c r="T327" s="845">
        <v>6.3775997161865199</v>
      </c>
      <c r="U327" s="845">
        <v>6.5161404609680202</v>
      </c>
      <c r="V327" s="845">
        <v>6.6299972534179696</v>
      </c>
      <c r="W327" s="845">
        <v>6.7667918205261204</v>
      </c>
      <c r="X327" s="845">
        <v>6.88553714752197</v>
      </c>
      <c r="Y327" s="845">
        <v>6.9704546928405797</v>
      </c>
      <c r="Z327" s="845">
        <v>7.0137753486633301</v>
      </c>
    </row>
    <row r="328" spans="1:30">
      <c r="A328" s="843" t="s">
        <v>614</v>
      </c>
      <c r="B328" s="845">
        <v>2.3399634361267099</v>
      </c>
      <c r="C328" s="845">
        <v>2.4299483299255402</v>
      </c>
      <c r="D328" s="845">
        <v>2.5979068279266402</v>
      </c>
      <c r="E328" s="845">
        <v>2.52754878997803</v>
      </c>
      <c r="F328" s="845">
        <v>2.4808654785156299</v>
      </c>
      <c r="G328" s="845">
        <v>2.6002757549285902</v>
      </c>
      <c r="H328" s="845">
        <v>2.6509947776794398</v>
      </c>
      <c r="I328" s="845">
        <v>2.73208808898926</v>
      </c>
      <c r="J328" s="845">
        <v>2.8122007846832302</v>
      </c>
      <c r="K328" s="845">
        <v>2.8687095642089799</v>
      </c>
      <c r="L328" s="845">
        <v>2.94158983230591</v>
      </c>
      <c r="M328" s="845">
        <v>3.0178208351135298</v>
      </c>
      <c r="N328" s="845">
        <v>3.1028199195861799</v>
      </c>
      <c r="O328" s="845">
        <v>3.17316722869873</v>
      </c>
      <c r="P328" s="845">
        <v>3.2616541385650599</v>
      </c>
      <c r="Q328" s="845">
        <v>3.3479356765747101</v>
      </c>
      <c r="R328" s="845">
        <v>3.4371068477630602</v>
      </c>
      <c r="S328" s="845">
        <v>3.5193088054657</v>
      </c>
      <c r="T328" s="845">
        <v>3.6053638458252002</v>
      </c>
      <c r="U328" s="845">
        <v>3.6816923618316699</v>
      </c>
      <c r="V328" s="845">
        <v>3.7800858020782502</v>
      </c>
      <c r="W328" s="845">
        <v>3.88063645362854</v>
      </c>
      <c r="X328" s="845">
        <v>3.98858737945557</v>
      </c>
      <c r="Y328" s="845">
        <v>4.1003923416137704</v>
      </c>
      <c r="Z328" s="845">
        <v>4.2166938781738299</v>
      </c>
    </row>
    <row r="329" spans="1:30">
      <c r="A329" s="843" t="s">
        <v>615</v>
      </c>
      <c r="B329" s="845">
        <v>0</v>
      </c>
      <c r="C329" s="845">
        <v>0</v>
      </c>
      <c r="D329" s="845">
        <v>0</v>
      </c>
      <c r="E329" s="845">
        <v>0</v>
      </c>
      <c r="F329" s="845">
        <v>0</v>
      </c>
      <c r="G329" s="845">
        <v>1.5889266729354901</v>
      </c>
      <c r="H329" s="845">
        <v>1.46094393730164</v>
      </c>
      <c r="I329" s="845">
        <v>1.28843116760254</v>
      </c>
      <c r="J329" s="845">
        <v>1.5101318359375</v>
      </c>
      <c r="K329" s="845">
        <v>1.50810551643372</v>
      </c>
      <c r="L329" s="845">
        <v>1.5213859081268299</v>
      </c>
      <c r="M329" s="845">
        <v>1.53951179981232</v>
      </c>
      <c r="N329" s="845">
        <v>1.58338570594788</v>
      </c>
      <c r="O329" s="845">
        <v>1.63723039627075</v>
      </c>
      <c r="P329" s="845">
        <v>1.71289122104645</v>
      </c>
      <c r="Q329" s="845">
        <v>1.76114201545715</v>
      </c>
      <c r="R329" s="845">
        <v>1.8119050264358501</v>
      </c>
      <c r="S329" s="845">
        <v>1.8629466295242301</v>
      </c>
      <c r="T329" s="845">
        <v>1.9169825315475499</v>
      </c>
      <c r="U329" s="845">
        <v>1.9466364383697501</v>
      </c>
      <c r="V329" s="845">
        <v>1.9911848306655899</v>
      </c>
      <c r="W329" s="845">
        <v>2.0416746139526398</v>
      </c>
      <c r="X329" s="845">
        <v>2.09020328521729</v>
      </c>
      <c r="Y329" s="845">
        <v>2.1373581886291499</v>
      </c>
      <c r="Z329" s="845">
        <v>2.1847438812255899</v>
      </c>
    </row>
    <row r="330" spans="1:30">
      <c r="A330" s="843" t="s">
        <v>478</v>
      </c>
      <c r="B330" s="845">
        <v>17.918214797973601</v>
      </c>
      <c r="C330" s="845">
        <v>18.6226921081543</v>
      </c>
      <c r="D330" s="845">
        <v>20.7813816070557</v>
      </c>
      <c r="E330" s="845">
        <v>19.773582458496101</v>
      </c>
      <c r="F330" s="845">
        <v>17.462970733642599</v>
      </c>
      <c r="G330" s="845">
        <v>18.126573562622099</v>
      </c>
      <c r="H330" s="845">
        <v>18.238889694213899</v>
      </c>
      <c r="I330" s="845">
        <v>18.4867153167725</v>
      </c>
      <c r="J330" s="845">
        <v>19.006654739379901</v>
      </c>
      <c r="K330" s="845">
        <v>19.565620422363299</v>
      </c>
      <c r="L330" s="845">
        <v>20.355871200561499</v>
      </c>
      <c r="M330" s="845">
        <v>21.173530578613299</v>
      </c>
      <c r="N330" s="845">
        <v>22.037576675415</v>
      </c>
      <c r="O330" s="845">
        <v>22.867145538330099</v>
      </c>
      <c r="P330" s="845">
        <v>23.876249313354499</v>
      </c>
      <c r="Q330" s="845">
        <v>24.851699829101602</v>
      </c>
      <c r="R330" s="845">
        <v>25.777753829956101</v>
      </c>
      <c r="S330" s="845">
        <v>26.392097473144499</v>
      </c>
      <c r="T330" s="845">
        <v>27.017583847045898</v>
      </c>
      <c r="U330" s="845">
        <v>27.588447570800799</v>
      </c>
      <c r="V330" s="845">
        <v>28.206142425537099</v>
      </c>
      <c r="W330" s="845">
        <v>29.1773777008057</v>
      </c>
      <c r="X330" s="845">
        <v>30.336851119995099</v>
      </c>
      <c r="Y330" s="845">
        <v>31.4674072265625</v>
      </c>
      <c r="Z330" s="845">
        <v>32.538986206054702</v>
      </c>
    </row>
    <row r="332" spans="1:30">
      <c r="A332" s="843" t="s">
        <v>486</v>
      </c>
    </row>
    <row r="333" spans="1:30">
      <c r="A333" s="843" t="s">
        <v>616</v>
      </c>
      <c r="B333" s="845">
        <v>21.711509704589801</v>
      </c>
      <c r="C333" s="845">
        <v>25.0072345733643</v>
      </c>
      <c r="D333" s="845">
        <v>29.391622543335</v>
      </c>
      <c r="E333" s="845">
        <v>22.380046844482401</v>
      </c>
      <c r="F333" s="845">
        <v>21.3089294433594</v>
      </c>
      <c r="G333" s="845">
        <v>23.935417175293001</v>
      </c>
      <c r="H333" s="845">
        <v>26.369024276733398</v>
      </c>
      <c r="I333" s="845">
        <v>28.752412796020501</v>
      </c>
      <c r="J333" s="845">
        <v>31.0282287597656</v>
      </c>
      <c r="K333" s="845">
        <v>33.547065734863303</v>
      </c>
      <c r="L333" s="845">
        <v>35.514869689941399</v>
      </c>
      <c r="M333" s="845">
        <v>37.352748870849602</v>
      </c>
      <c r="N333" s="845">
        <v>39.287044525146499</v>
      </c>
      <c r="O333" s="845">
        <v>40.7039604187012</v>
      </c>
      <c r="P333" s="845">
        <v>42.024444580078097</v>
      </c>
      <c r="Q333" s="845">
        <v>43.379894256591797</v>
      </c>
      <c r="R333" s="845">
        <v>44.630382537841797</v>
      </c>
      <c r="S333" s="845">
        <v>46.145259857177699</v>
      </c>
      <c r="T333" s="845">
        <v>47.363857269287102</v>
      </c>
      <c r="U333" s="845">
        <v>47.7197074890137</v>
      </c>
      <c r="V333" s="845">
        <v>49.102500915527301</v>
      </c>
      <c r="W333" s="845">
        <v>50.517303466796903</v>
      </c>
      <c r="X333" s="845">
        <v>52.086456298828097</v>
      </c>
      <c r="Y333" s="845">
        <v>53.442653656005902</v>
      </c>
      <c r="Z333" s="845">
        <v>55.104091644287102</v>
      </c>
    </row>
    <row r="334" spans="1:30">
      <c r="A334" s="843" t="s">
        <v>617</v>
      </c>
      <c r="B334" s="845">
        <v>24.84494972229</v>
      </c>
      <c r="C334" s="845">
        <v>26.818180084228501</v>
      </c>
      <c r="D334" s="845">
        <v>34.822681427002003</v>
      </c>
      <c r="E334" s="845">
        <v>21.049989700317401</v>
      </c>
      <c r="F334" s="845">
        <v>19.580844879150401</v>
      </c>
      <c r="G334" s="845">
        <v>23.622909545898398</v>
      </c>
      <c r="H334" s="845">
        <v>25.881950378418001</v>
      </c>
      <c r="I334" s="845">
        <v>28.009447097778299</v>
      </c>
      <c r="J334" s="845">
        <v>30.2537937164307</v>
      </c>
      <c r="K334" s="845">
        <v>28.866632461547901</v>
      </c>
      <c r="L334" s="845">
        <v>30.4276523590088</v>
      </c>
      <c r="M334" s="845">
        <v>31.969417572021499</v>
      </c>
      <c r="N334" s="845">
        <v>32.765193939208999</v>
      </c>
      <c r="O334" s="845">
        <v>35.757926940917997</v>
      </c>
      <c r="P334" s="845">
        <v>37.577915191650398</v>
      </c>
      <c r="Q334" s="845">
        <v>38.662086486816399</v>
      </c>
      <c r="R334" s="845">
        <v>39.8419189453125</v>
      </c>
      <c r="S334" s="845">
        <v>41.092353820800803</v>
      </c>
      <c r="T334" s="845">
        <v>42.114028930664098</v>
      </c>
      <c r="U334" s="845">
        <v>42.893341064453097</v>
      </c>
      <c r="V334" s="845">
        <v>44.2104301452637</v>
      </c>
      <c r="W334" s="845">
        <v>44.896373748779297</v>
      </c>
      <c r="X334" s="845">
        <v>46.4299926757813</v>
      </c>
      <c r="Y334" s="845">
        <v>48.419319152832003</v>
      </c>
      <c r="Z334" s="845">
        <v>48.957271575927699</v>
      </c>
    </row>
    <row r="335" spans="1:30">
      <c r="A335" s="843" t="s">
        <v>618</v>
      </c>
      <c r="B335" s="845">
        <v>21.213121414184599</v>
      </c>
      <c r="C335" s="845">
        <v>22.982162475585898</v>
      </c>
      <c r="D335" s="845">
        <v>26.749811172485401</v>
      </c>
      <c r="E335" s="845">
        <v>16.175968170166001</v>
      </c>
      <c r="F335" s="845">
        <v>18.381326675415</v>
      </c>
      <c r="G335" s="845">
        <v>21.693702697753899</v>
      </c>
      <c r="H335" s="845">
        <v>23.709007263183601</v>
      </c>
      <c r="I335" s="845">
        <v>25.449525833129901</v>
      </c>
      <c r="J335" s="845">
        <v>27.424634933471701</v>
      </c>
      <c r="K335" s="845">
        <v>29.529468536376999</v>
      </c>
      <c r="L335" s="845">
        <v>31.27219581604</v>
      </c>
      <c r="M335" s="845">
        <v>33.093906402587898</v>
      </c>
      <c r="N335" s="845">
        <v>34.856166839599602</v>
      </c>
      <c r="O335" s="845">
        <v>36.438858032226598</v>
      </c>
      <c r="P335" s="845">
        <v>38.015861511230497</v>
      </c>
      <c r="Q335" s="845">
        <v>39.139541625976598</v>
      </c>
      <c r="R335" s="845">
        <v>40.478176116943402</v>
      </c>
      <c r="S335" s="845">
        <v>41.691452026367202</v>
      </c>
      <c r="T335" s="845">
        <v>42.679801940917997</v>
      </c>
      <c r="U335" s="845">
        <v>43.464977264404297</v>
      </c>
      <c r="V335" s="845">
        <v>44.780059814453097</v>
      </c>
      <c r="W335" s="845">
        <v>45.673988342285199</v>
      </c>
      <c r="X335" s="845">
        <v>47.254981994628899</v>
      </c>
      <c r="Y335" s="845">
        <v>49.557445526122997</v>
      </c>
      <c r="Z335" s="845">
        <v>49.9830131530762</v>
      </c>
    </row>
    <row r="336" spans="1:30">
      <c r="A336" s="843" t="s">
        <v>619</v>
      </c>
      <c r="B336" s="845">
        <v>14.844763755798301</v>
      </c>
      <c r="C336" s="845">
        <v>16.0964660644531</v>
      </c>
      <c r="D336" s="845">
        <v>22.673322677612301</v>
      </c>
      <c r="E336" s="845">
        <v>10.878761291503899</v>
      </c>
      <c r="F336" s="845">
        <v>10.805939674377401</v>
      </c>
      <c r="G336" s="845">
        <v>13.641165733337401</v>
      </c>
      <c r="H336" s="845">
        <v>15.7883806228638</v>
      </c>
      <c r="I336" s="845">
        <v>17.847295761108398</v>
      </c>
      <c r="J336" s="845">
        <v>19.768560409545898</v>
      </c>
      <c r="K336" s="845">
        <v>21.6021404266357</v>
      </c>
      <c r="L336" s="845">
        <v>23.1407794952393</v>
      </c>
      <c r="M336" s="845">
        <v>24.738756179809599</v>
      </c>
      <c r="N336" s="845">
        <v>26.200944900512699</v>
      </c>
      <c r="O336" s="845">
        <v>27.323936462402301</v>
      </c>
      <c r="P336" s="845">
        <v>28.3911018371582</v>
      </c>
      <c r="Q336" s="845">
        <v>29.343944549560501</v>
      </c>
      <c r="R336" s="845">
        <v>30.208518981933601</v>
      </c>
      <c r="S336" s="845">
        <v>31.274351119995099</v>
      </c>
      <c r="T336" s="845">
        <v>32.279064178466797</v>
      </c>
      <c r="U336" s="845">
        <v>32.661514282226598</v>
      </c>
      <c r="V336" s="845">
        <v>33.853298187255902</v>
      </c>
      <c r="W336" s="845">
        <v>34.868740081787102</v>
      </c>
      <c r="X336" s="845">
        <v>36.320652008056598</v>
      </c>
      <c r="Y336" s="845">
        <v>37.773586273193402</v>
      </c>
      <c r="Z336" s="845">
        <v>39.040420532226598</v>
      </c>
    </row>
    <row r="337" spans="1:70">
      <c r="A337" s="843" t="s">
        <v>723</v>
      </c>
      <c r="B337" s="845">
        <v>19.740650177001999</v>
      </c>
      <c r="C337" s="845">
        <v>20.921422958373999</v>
      </c>
      <c r="D337" s="845">
        <v>27.660943984985401</v>
      </c>
      <c r="E337" s="845">
        <v>15.872093200683601</v>
      </c>
      <c r="F337" s="845">
        <v>15.1842641830444</v>
      </c>
      <c r="G337" s="845">
        <v>17.936090469360401</v>
      </c>
      <c r="H337" s="845">
        <v>20.100133895873999</v>
      </c>
      <c r="I337" s="845">
        <v>22.737785339355501</v>
      </c>
      <c r="J337" s="845">
        <v>24.745433807373001</v>
      </c>
      <c r="K337" s="845">
        <v>26.438911437988299</v>
      </c>
      <c r="L337" s="845">
        <v>28.0228977203369</v>
      </c>
      <c r="M337" s="845">
        <v>29.7338352203369</v>
      </c>
      <c r="N337" s="845">
        <v>31.2589511871338</v>
      </c>
      <c r="O337" s="845">
        <v>32.543869018554702</v>
      </c>
      <c r="P337" s="845">
        <v>33.764415740966797</v>
      </c>
      <c r="Q337" s="845">
        <v>34.490653991699197</v>
      </c>
      <c r="R337" s="845">
        <v>35.692588806152301</v>
      </c>
      <c r="S337" s="845">
        <v>36.884777069091797</v>
      </c>
      <c r="T337" s="845">
        <v>37.7488403320313</v>
      </c>
      <c r="U337" s="845">
        <v>38.541912078857401</v>
      </c>
      <c r="V337" s="845">
        <v>39.811958312988303</v>
      </c>
      <c r="W337" s="845">
        <v>40.433952331542997</v>
      </c>
      <c r="X337" s="845">
        <v>41.980552673339801</v>
      </c>
      <c r="Y337" s="845">
        <v>44.0175971984863</v>
      </c>
      <c r="Z337" s="845">
        <v>44.845256805419901</v>
      </c>
    </row>
    <row r="338" spans="1:70">
      <c r="A338" s="843" t="s">
        <v>610</v>
      </c>
      <c r="B338" s="845">
        <v>7.9912142753601101</v>
      </c>
      <c r="C338" s="845">
        <v>9.4357099533081108</v>
      </c>
      <c r="D338" s="845">
        <v>14.5987691879272</v>
      </c>
      <c r="E338" s="845">
        <v>6.5974926948547399</v>
      </c>
      <c r="F338" s="845">
        <v>6.8336348533630398</v>
      </c>
      <c r="G338" s="845">
        <v>9.1002550125122106</v>
      </c>
      <c r="H338" s="845">
        <v>10.9850196838379</v>
      </c>
      <c r="I338" s="845">
        <v>12.7856092453003</v>
      </c>
      <c r="J338" s="845">
        <v>14.3925485610962</v>
      </c>
      <c r="K338" s="845">
        <v>16.284711837768601</v>
      </c>
      <c r="L338" s="845">
        <v>17.587419509887699</v>
      </c>
      <c r="M338" s="845">
        <v>18.815961837768601</v>
      </c>
      <c r="N338" s="845">
        <v>20.079933166503899</v>
      </c>
      <c r="O338" s="845">
        <v>21.0047607421875</v>
      </c>
      <c r="P338" s="845">
        <v>21.793167114257798</v>
      </c>
      <c r="Q338" s="845">
        <v>22.696048736572301</v>
      </c>
      <c r="R338" s="845">
        <v>23.3086338043213</v>
      </c>
      <c r="S338" s="845">
        <v>24.011238098144499</v>
      </c>
      <c r="T338" s="845">
        <v>24.648492813110401</v>
      </c>
      <c r="U338" s="845">
        <v>24.8559169769287</v>
      </c>
      <c r="V338" s="845">
        <v>25.6537380218506</v>
      </c>
      <c r="W338" s="845">
        <v>26.666080474853501</v>
      </c>
      <c r="X338" s="845">
        <v>27.731492996215799</v>
      </c>
      <c r="Y338" s="845">
        <v>28.609724044799801</v>
      </c>
      <c r="Z338" s="845">
        <v>29.807550430297901</v>
      </c>
    </row>
    <row r="339" spans="1:70">
      <c r="A339" s="843" t="s">
        <v>621</v>
      </c>
      <c r="B339" s="845">
        <v>15.1338348388672</v>
      </c>
      <c r="C339" s="845">
        <v>15.4958410263062</v>
      </c>
      <c r="D339" s="845">
        <v>17.260919570922901</v>
      </c>
      <c r="E339" s="845">
        <v>13.197589874267599</v>
      </c>
      <c r="F339" s="845">
        <v>14.011960029602101</v>
      </c>
      <c r="G339" s="845">
        <v>14.5198259353638</v>
      </c>
      <c r="H339" s="845">
        <v>14.7125358581543</v>
      </c>
      <c r="I339" s="845">
        <v>14.9809007644653</v>
      </c>
      <c r="J339" s="845">
        <v>15.3987216949463</v>
      </c>
      <c r="K339" s="845">
        <v>15.929105758666999</v>
      </c>
      <c r="L339" s="845">
        <v>16.444049835205099</v>
      </c>
      <c r="M339" s="845">
        <v>16.986526489257798</v>
      </c>
      <c r="N339" s="845">
        <v>17.562019348144499</v>
      </c>
      <c r="O339" s="845">
        <v>18.214298248291001</v>
      </c>
      <c r="P339" s="845">
        <v>18.978889465331999</v>
      </c>
      <c r="Q339" s="845">
        <v>19.653842926025401</v>
      </c>
      <c r="R339" s="845">
        <v>20.151586532592798</v>
      </c>
      <c r="S339" s="845">
        <v>20.264110565185501</v>
      </c>
      <c r="T339" s="845">
        <v>20.6345119476318</v>
      </c>
      <c r="U339" s="845">
        <v>20.930568695068398</v>
      </c>
      <c r="V339" s="845">
        <v>21.5493049621582</v>
      </c>
      <c r="W339" s="845">
        <v>22.330928802490199</v>
      </c>
      <c r="X339" s="845">
        <v>23.217420578002901</v>
      </c>
      <c r="Y339" s="845">
        <v>23.984209060668899</v>
      </c>
      <c r="Z339" s="845">
        <v>24.842088699340799</v>
      </c>
    </row>
    <row r="340" spans="1:70">
      <c r="A340" s="843" t="s">
        <v>478</v>
      </c>
      <c r="B340" s="845">
        <v>29.552911758422901</v>
      </c>
      <c r="C340" s="845">
        <v>30.777971267700199</v>
      </c>
      <c r="D340" s="845">
        <v>34.475650787353501</v>
      </c>
      <c r="E340" s="845">
        <v>32.511272430419901</v>
      </c>
      <c r="F340" s="845">
        <v>28.3578701019287</v>
      </c>
      <c r="G340" s="845">
        <v>29.9883632659912</v>
      </c>
      <c r="H340" s="845">
        <v>30.793474197387699</v>
      </c>
      <c r="I340" s="845">
        <v>31.290824890136701</v>
      </c>
      <c r="J340" s="845">
        <v>31.788017272949201</v>
      </c>
      <c r="K340" s="845">
        <v>32.228786468505902</v>
      </c>
      <c r="L340" s="845">
        <v>33.101249694824197</v>
      </c>
      <c r="M340" s="845">
        <v>33.873565673828097</v>
      </c>
      <c r="N340" s="845">
        <v>34.876777648925803</v>
      </c>
      <c r="O340" s="845">
        <v>35.790927886962898</v>
      </c>
      <c r="P340" s="845">
        <v>37.005527496337898</v>
      </c>
      <c r="Q340" s="845">
        <v>38.374465942382798</v>
      </c>
      <c r="R340" s="845">
        <v>39.741268157958999</v>
      </c>
      <c r="S340" s="845">
        <v>40.743644714355497</v>
      </c>
      <c r="T340" s="845">
        <v>41.832027435302699</v>
      </c>
      <c r="U340" s="845">
        <v>42.8788452148438</v>
      </c>
      <c r="V340" s="845">
        <v>44.165149688720703</v>
      </c>
      <c r="W340" s="845">
        <v>45.822151184082003</v>
      </c>
      <c r="X340" s="845">
        <v>47.770866394042997</v>
      </c>
      <c r="Y340" s="845">
        <v>49.4786567687988</v>
      </c>
      <c r="Z340" s="845">
        <v>51.408214569091797</v>
      </c>
    </row>
    <row r="341" spans="1:70">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c r="A342" s="843" t="s">
        <v>622</v>
      </c>
    </row>
    <row r="343" spans="1:70">
      <c r="A343" s="843" t="s">
        <v>609</v>
      </c>
      <c r="B343" s="845">
        <v>13.411901473999</v>
      </c>
      <c r="C343" s="845">
        <v>14.7725219726563</v>
      </c>
      <c r="D343" s="845">
        <v>19.598173141479499</v>
      </c>
      <c r="E343" s="845">
        <v>12.9002075195313</v>
      </c>
      <c r="F343" s="845">
        <v>10.160784721374499</v>
      </c>
      <c r="G343" s="845">
        <v>12.683879852294901</v>
      </c>
      <c r="H343" s="845">
        <v>14.742367744445801</v>
      </c>
      <c r="I343" s="845">
        <v>16.466316223144499</v>
      </c>
      <c r="J343" s="845">
        <v>18.200975418090799</v>
      </c>
      <c r="K343" s="845">
        <v>20.294946670532202</v>
      </c>
      <c r="L343" s="845">
        <v>21.762416839599599</v>
      </c>
      <c r="M343" s="845">
        <v>23.219928741455099</v>
      </c>
      <c r="N343" s="845">
        <v>24.625257492065401</v>
      </c>
      <c r="O343" s="845">
        <v>25.658937454223601</v>
      </c>
      <c r="P343" s="845">
        <v>26.641567230224599</v>
      </c>
      <c r="Q343" s="845">
        <v>27.554689407348601</v>
      </c>
      <c r="R343" s="845">
        <v>28.433355331420898</v>
      </c>
      <c r="S343" s="845">
        <v>29.525194168090799</v>
      </c>
      <c r="T343" s="845">
        <v>30.595668792724599</v>
      </c>
      <c r="U343" s="845">
        <v>30.812200546264599</v>
      </c>
      <c r="V343" s="845">
        <v>31.8765468597412</v>
      </c>
      <c r="W343" s="845">
        <v>33.023826599121101</v>
      </c>
      <c r="X343" s="845">
        <v>34.249851226806598</v>
      </c>
      <c r="Y343" s="845">
        <v>35.370849609375</v>
      </c>
      <c r="Z343" s="845">
        <v>36.733474731445298</v>
      </c>
    </row>
    <row r="344" spans="1:70">
      <c r="A344" s="843" t="s">
        <v>610</v>
      </c>
      <c r="B344" s="845">
        <v>8.1584053039550799</v>
      </c>
      <c r="C344" s="845">
        <v>8.5664386749267596</v>
      </c>
      <c r="D344" s="845">
        <v>14.623919486999499</v>
      </c>
      <c r="E344" s="845">
        <v>6.72200632095337</v>
      </c>
      <c r="F344" s="845">
        <v>6.9281921386718803</v>
      </c>
      <c r="G344" s="845">
        <v>9.7774429321289098</v>
      </c>
      <c r="H344" s="845">
        <v>11.688641548156699</v>
      </c>
      <c r="I344" s="845">
        <v>13.5591955184937</v>
      </c>
      <c r="J344" s="845">
        <v>15.198254585266101</v>
      </c>
      <c r="K344" s="845">
        <v>17.122402191162099</v>
      </c>
      <c r="L344" s="845">
        <v>18.4469089508057</v>
      </c>
      <c r="M344" s="845">
        <v>19.645553588867202</v>
      </c>
      <c r="N344" s="845">
        <v>20.905046463012699</v>
      </c>
      <c r="O344" s="845">
        <v>21.461814880371101</v>
      </c>
      <c r="P344" s="845">
        <v>22.275539398193398</v>
      </c>
      <c r="Q344" s="845">
        <v>23.178005218505898</v>
      </c>
      <c r="R344" s="845">
        <v>23.921798706054702</v>
      </c>
      <c r="S344" s="845">
        <v>24.712652206420898</v>
      </c>
      <c r="T344" s="845">
        <v>25.390251159668001</v>
      </c>
      <c r="U344" s="845">
        <v>25.605690002441399</v>
      </c>
      <c r="V344" s="845">
        <v>26.419223785400401</v>
      </c>
      <c r="W344" s="845">
        <v>27.371679306030298</v>
      </c>
      <c r="X344" s="845">
        <v>28.437421798706101</v>
      </c>
      <c r="Y344" s="845">
        <v>29.318086624145501</v>
      </c>
      <c r="Z344" s="845">
        <v>30.4597358703613</v>
      </c>
    </row>
    <row r="345" spans="1:70">
      <c r="A345" s="843" t="s">
        <v>509</v>
      </c>
      <c r="B345" s="845">
        <v>6.8695855140686</v>
      </c>
      <c r="C345" s="845">
        <v>7.0191597938537598</v>
      </c>
      <c r="D345" s="845">
        <v>9.0666198730468803</v>
      </c>
      <c r="E345" s="845">
        <v>4.70163822174072</v>
      </c>
      <c r="F345" s="845">
        <v>5.3228030204772896</v>
      </c>
      <c r="G345" s="845">
        <v>5.7259230613708496</v>
      </c>
      <c r="H345" s="845">
        <v>5.8670849800109899</v>
      </c>
      <c r="I345" s="845">
        <v>5.9947657585143999</v>
      </c>
      <c r="J345" s="845">
        <v>6.2809138298034703</v>
      </c>
      <c r="K345" s="845">
        <v>6.6566915512084996</v>
      </c>
      <c r="L345" s="845">
        <v>7.0282440185546902</v>
      </c>
      <c r="M345" s="845">
        <v>7.4117355346679696</v>
      </c>
      <c r="N345" s="845">
        <v>7.8389544486999503</v>
      </c>
      <c r="O345" s="845">
        <v>8.3448457717895508</v>
      </c>
      <c r="P345" s="845">
        <v>8.9240303039550799</v>
      </c>
      <c r="Q345" s="845">
        <v>9.4456386566162092</v>
      </c>
      <c r="R345" s="845">
        <v>9.7849264144897496</v>
      </c>
      <c r="S345" s="845">
        <v>9.7760477066040004</v>
      </c>
      <c r="T345" s="845">
        <v>10.055270195007299</v>
      </c>
      <c r="U345" s="845">
        <v>10.193024635314901</v>
      </c>
      <c r="V345" s="845">
        <v>10.610521316528301</v>
      </c>
      <c r="W345" s="845">
        <v>11.20911693573</v>
      </c>
      <c r="X345" s="845">
        <v>11.9389839172363</v>
      </c>
      <c r="Y345" s="845">
        <v>12.519255638122599</v>
      </c>
      <c r="Z345" s="845">
        <v>13.197782516479499</v>
      </c>
    </row>
    <row r="346" spans="1:70">
      <c r="A346" s="843" t="s">
        <v>623</v>
      </c>
      <c r="B346" s="845">
        <v>1.6900001764297501</v>
      </c>
      <c r="C346" s="845">
        <v>1.7800002098083501</v>
      </c>
      <c r="D346" s="845">
        <v>1.97352075576782</v>
      </c>
      <c r="E346" s="845">
        <v>2.0458421707153298</v>
      </c>
      <c r="F346" s="845">
        <v>1.9325078725814799</v>
      </c>
      <c r="G346" s="845">
        <v>1.9669165611267101</v>
      </c>
      <c r="H346" s="845">
        <v>1.97483730316162</v>
      </c>
      <c r="I346" s="845">
        <v>2.0363006591796902</v>
      </c>
      <c r="J346" s="845">
        <v>2.1044862270355198</v>
      </c>
      <c r="K346" s="845">
        <v>2.15470170974731</v>
      </c>
      <c r="L346" s="845">
        <v>2.2153303623199498</v>
      </c>
      <c r="M346" s="845">
        <v>2.2768745422363299</v>
      </c>
      <c r="N346" s="845">
        <v>2.3487181663513201</v>
      </c>
      <c r="O346" s="845">
        <v>2.4114518165588401</v>
      </c>
      <c r="P346" s="845">
        <v>2.4841165542602499</v>
      </c>
      <c r="Q346" s="845">
        <v>2.5551335811614999</v>
      </c>
      <c r="R346" s="845">
        <v>2.63751268386841</v>
      </c>
      <c r="S346" s="845">
        <v>2.7085535526275599</v>
      </c>
      <c r="T346" s="845">
        <v>2.7758009433746298</v>
      </c>
      <c r="U346" s="845">
        <v>2.84079241752625</v>
      </c>
      <c r="V346" s="845">
        <v>2.9094073772430402</v>
      </c>
      <c r="W346" s="845">
        <v>2.9860992431640598</v>
      </c>
      <c r="X346" s="845">
        <v>3.0685904026031499</v>
      </c>
      <c r="Y346" s="845">
        <v>3.1531631946563698</v>
      </c>
      <c r="Z346" s="845">
        <v>3.23557353019714</v>
      </c>
    </row>
    <row r="348" spans="1:70">
      <c r="A348" s="843" t="s">
        <v>624</v>
      </c>
    </row>
    <row r="349" spans="1:70">
      <c r="A349" s="843" t="s">
        <v>608</v>
      </c>
      <c r="B349" s="845">
        <v>15.246436119079601</v>
      </c>
      <c r="C349" s="845">
        <v>18.5313529968262</v>
      </c>
      <c r="D349" s="845">
        <v>20.134397506713899</v>
      </c>
      <c r="E349" s="845">
        <v>16.9350070953369</v>
      </c>
      <c r="F349" s="845">
        <v>16.912326812744102</v>
      </c>
      <c r="G349" s="845">
        <v>19.346534729003899</v>
      </c>
      <c r="H349" s="845">
        <v>21.4945392608643</v>
      </c>
      <c r="I349" s="845">
        <v>23.604782104492202</v>
      </c>
      <c r="J349" s="845">
        <v>25.696203231811499</v>
      </c>
      <c r="K349" s="845">
        <v>28.031579971313501</v>
      </c>
      <c r="L349" s="845">
        <v>29.828712463378899</v>
      </c>
      <c r="M349" s="845">
        <v>31.479301452636701</v>
      </c>
      <c r="N349" s="845">
        <v>33.231895446777301</v>
      </c>
      <c r="O349" s="845">
        <v>34.5145874023438</v>
      </c>
      <c r="P349" s="845">
        <v>35.698520660400398</v>
      </c>
      <c r="Q349" s="845">
        <v>36.883983612060497</v>
      </c>
      <c r="R349" s="845">
        <v>37.996242523193402</v>
      </c>
      <c r="S349" s="845">
        <v>39.337680816650398</v>
      </c>
      <c r="T349" s="845">
        <v>40.431327819824197</v>
      </c>
      <c r="U349" s="845">
        <v>40.7233276367188</v>
      </c>
      <c r="V349" s="845">
        <v>41.9925727844238</v>
      </c>
      <c r="W349" s="845">
        <v>43.322719573974602</v>
      </c>
      <c r="X349" s="845">
        <v>44.788909912109403</v>
      </c>
      <c r="Y349" s="845">
        <v>45.941520690917997</v>
      </c>
      <c r="Z349" s="845">
        <v>47.553462982177699</v>
      </c>
    </row>
    <row r="350" spans="1:70">
      <c r="A350" s="843" t="s">
        <v>617</v>
      </c>
      <c r="B350" s="845">
        <v>24.84494972229</v>
      </c>
      <c r="C350" s="845">
        <v>26.818180084228501</v>
      </c>
      <c r="D350" s="845">
        <v>34.822681427002003</v>
      </c>
      <c r="E350" s="845">
        <v>21.049989700317401</v>
      </c>
      <c r="F350" s="845">
        <v>19.580844879150401</v>
      </c>
      <c r="G350" s="845">
        <v>23.622909545898398</v>
      </c>
      <c r="H350" s="845">
        <v>25.881950378418001</v>
      </c>
      <c r="I350" s="845">
        <v>28.009447097778299</v>
      </c>
      <c r="J350" s="845">
        <v>30.2537937164307</v>
      </c>
      <c r="K350" s="845">
        <v>28.866632461547901</v>
      </c>
      <c r="L350" s="845">
        <v>30.4276523590088</v>
      </c>
      <c r="M350" s="845">
        <v>31.969417572021499</v>
      </c>
      <c r="N350" s="845">
        <v>32.765193939208999</v>
      </c>
      <c r="O350" s="845">
        <v>35.757926940917997</v>
      </c>
      <c r="P350" s="845">
        <v>37.577915191650398</v>
      </c>
      <c r="Q350" s="845">
        <v>38.662086486816399</v>
      </c>
      <c r="R350" s="845">
        <v>39.8419189453125</v>
      </c>
      <c r="S350" s="845">
        <v>41.092353820800803</v>
      </c>
      <c r="T350" s="845">
        <v>42.114028930664098</v>
      </c>
      <c r="U350" s="845">
        <v>42.893341064453097</v>
      </c>
      <c r="V350" s="845">
        <v>44.2104301452637</v>
      </c>
      <c r="W350" s="845">
        <v>44.896373748779297</v>
      </c>
      <c r="X350" s="845">
        <v>46.4299926757813</v>
      </c>
      <c r="Y350" s="845">
        <v>48.419319152832003</v>
      </c>
      <c r="Z350" s="845">
        <v>48.957271575927699</v>
      </c>
    </row>
    <row r="351" spans="1:70">
      <c r="A351" s="843" t="s">
        <v>618</v>
      </c>
      <c r="B351" s="845">
        <v>21.081119537353501</v>
      </c>
      <c r="C351" s="845">
        <v>22.8191947937012</v>
      </c>
      <c r="D351" s="845">
        <v>26.582485198974599</v>
      </c>
      <c r="E351" s="845">
        <v>16.308473587036101</v>
      </c>
      <c r="F351" s="845">
        <v>18.3791694641113</v>
      </c>
      <c r="G351" s="845">
        <v>21.690732955932599</v>
      </c>
      <c r="H351" s="845">
        <v>23.705785751342798</v>
      </c>
      <c r="I351" s="845">
        <v>25.446578979492202</v>
      </c>
      <c r="J351" s="845">
        <v>27.421388626098601</v>
      </c>
      <c r="K351" s="845">
        <v>29.526109695434599</v>
      </c>
      <c r="L351" s="845">
        <v>31.268815994262699</v>
      </c>
      <c r="M351" s="845">
        <v>33.090030670166001</v>
      </c>
      <c r="N351" s="845">
        <v>34.852634429931598</v>
      </c>
      <c r="O351" s="845">
        <v>36.4355278015137</v>
      </c>
      <c r="P351" s="845">
        <v>38.011890411377003</v>
      </c>
      <c r="Q351" s="845">
        <v>39.135532379150398</v>
      </c>
      <c r="R351" s="845">
        <v>40.475978851318402</v>
      </c>
      <c r="S351" s="845">
        <v>41.687484741210902</v>
      </c>
      <c r="T351" s="845">
        <v>42.675270080566399</v>
      </c>
      <c r="U351" s="845">
        <v>43.460239410400398</v>
      </c>
      <c r="V351" s="845">
        <v>44.775581359863303</v>
      </c>
      <c r="W351" s="845">
        <v>45.668975830078097</v>
      </c>
      <c r="X351" s="845">
        <v>47.250167846679702</v>
      </c>
      <c r="Y351" s="845">
        <v>49.551605224609403</v>
      </c>
      <c r="Z351" s="845">
        <v>49.978668212890597</v>
      </c>
    </row>
    <row r="352" spans="1:70">
      <c r="A352" s="843" t="s">
        <v>625</v>
      </c>
      <c r="B352" s="845">
        <v>14.844763755798301</v>
      </c>
      <c r="C352" s="845">
        <v>16.0964660644531</v>
      </c>
      <c r="D352" s="845">
        <v>22.673322677612301</v>
      </c>
      <c r="E352" s="845">
        <v>10.878761291503899</v>
      </c>
      <c r="F352" s="845">
        <v>10.805939674377401</v>
      </c>
      <c r="G352" s="845">
        <v>13.641165733337401</v>
      </c>
      <c r="H352" s="845">
        <v>15.7883806228638</v>
      </c>
      <c r="I352" s="845">
        <v>17.847295761108398</v>
      </c>
      <c r="J352" s="845">
        <v>19.768560409545898</v>
      </c>
      <c r="K352" s="845">
        <v>21.6021404266357</v>
      </c>
      <c r="L352" s="845">
        <v>23.1407794952393</v>
      </c>
      <c r="M352" s="845">
        <v>24.738756179809599</v>
      </c>
      <c r="N352" s="845">
        <v>26.200944900512699</v>
      </c>
      <c r="O352" s="845">
        <v>27.323936462402301</v>
      </c>
      <c r="P352" s="845">
        <v>28.3911018371582</v>
      </c>
      <c r="Q352" s="845">
        <v>29.343944549560501</v>
      </c>
      <c r="R352" s="845">
        <v>30.208518981933601</v>
      </c>
      <c r="S352" s="845">
        <v>31.274351119995099</v>
      </c>
      <c r="T352" s="845">
        <v>32.279064178466797</v>
      </c>
      <c r="U352" s="845">
        <v>32.661514282226598</v>
      </c>
      <c r="V352" s="845">
        <v>33.853298187255902</v>
      </c>
      <c r="W352" s="845">
        <v>34.868740081787102</v>
      </c>
      <c r="X352" s="845">
        <v>36.320652008056598</v>
      </c>
      <c r="Y352" s="845">
        <v>37.773586273193402</v>
      </c>
      <c r="Z352" s="845">
        <v>39.040420532226598</v>
      </c>
    </row>
    <row r="353" spans="1:70">
      <c r="A353" s="843" t="s">
        <v>609</v>
      </c>
      <c r="B353" s="845">
        <v>18.668458938598601</v>
      </c>
      <c r="C353" s="845">
        <v>19.9431552886963</v>
      </c>
      <c r="D353" s="845">
        <v>26.286823272705099</v>
      </c>
      <c r="E353" s="845">
        <v>15.636975288391101</v>
      </c>
      <c r="F353" s="845">
        <v>14.1092176437378</v>
      </c>
      <c r="G353" s="845">
        <v>16.902593612670898</v>
      </c>
      <c r="H353" s="845">
        <v>19.1516017913818</v>
      </c>
      <c r="I353" s="845">
        <v>21.744958877563501</v>
      </c>
      <c r="J353" s="845">
        <v>23.745824813842798</v>
      </c>
      <c r="K353" s="845">
        <v>25.478622436523398</v>
      </c>
      <c r="L353" s="845">
        <v>27.0623779296875</v>
      </c>
      <c r="M353" s="845">
        <v>28.722316741943398</v>
      </c>
      <c r="N353" s="845">
        <v>30.288469314575199</v>
      </c>
      <c r="O353" s="845">
        <v>31.560461044311499</v>
      </c>
      <c r="P353" s="845">
        <v>32.757129669189503</v>
      </c>
      <c r="Q353" s="845">
        <v>33.523193359375</v>
      </c>
      <c r="R353" s="845">
        <v>34.769081115722699</v>
      </c>
      <c r="S353" s="845">
        <v>35.882114410400398</v>
      </c>
      <c r="T353" s="845">
        <v>36.791599273681598</v>
      </c>
      <c r="U353" s="845">
        <v>37.5217895507813</v>
      </c>
      <c r="V353" s="845">
        <v>38.800697326660199</v>
      </c>
      <c r="W353" s="845">
        <v>39.467311859130902</v>
      </c>
      <c r="X353" s="845">
        <v>40.997920989990199</v>
      </c>
      <c r="Y353" s="845">
        <v>42.937191009521499</v>
      </c>
      <c r="Z353" s="845">
        <v>43.857540130615199</v>
      </c>
    </row>
    <row r="354" spans="1:70">
      <c r="A354" s="843" t="s">
        <v>610</v>
      </c>
      <c r="B354" s="845">
        <v>8.2036781311035192</v>
      </c>
      <c r="C354" s="845">
        <v>9.3672227859497106</v>
      </c>
      <c r="D354" s="845">
        <v>14.4897508621216</v>
      </c>
      <c r="E354" s="845">
        <v>6.7128052711486799</v>
      </c>
      <c r="F354" s="845">
        <v>7.1757683753967303</v>
      </c>
      <c r="G354" s="845">
        <v>9.6609458923339808</v>
      </c>
      <c r="H354" s="845">
        <v>11.544206619262701</v>
      </c>
      <c r="I354" s="845">
        <v>13.370221138000501</v>
      </c>
      <c r="J354" s="845">
        <v>14.996021270751999</v>
      </c>
      <c r="K354" s="845">
        <v>16.898206710815401</v>
      </c>
      <c r="L354" s="845">
        <v>18.207862854003899</v>
      </c>
      <c r="M354" s="845">
        <v>19.411674499511701</v>
      </c>
      <c r="N354" s="845">
        <v>20.6822299957275</v>
      </c>
      <c r="O354" s="845">
        <v>21.516969680786101</v>
      </c>
      <c r="P354" s="845">
        <v>22.335527420043899</v>
      </c>
      <c r="Q354" s="845">
        <v>23.2407321929932</v>
      </c>
      <c r="R354" s="845">
        <v>23.916133880615199</v>
      </c>
      <c r="S354" s="845">
        <v>24.6660556793213</v>
      </c>
      <c r="T354" s="845">
        <v>25.322589874267599</v>
      </c>
      <c r="U354" s="845">
        <v>25.500698089599599</v>
      </c>
      <c r="V354" s="845">
        <v>26.3019409179688</v>
      </c>
      <c r="W354" s="845">
        <v>27.270561218261701</v>
      </c>
      <c r="X354" s="845">
        <v>28.332614898681602</v>
      </c>
      <c r="Y354" s="845">
        <v>29.2080383300781</v>
      </c>
      <c r="Z354" s="845">
        <v>30.365930557251001</v>
      </c>
    </row>
    <row r="355" spans="1:70">
      <c r="A355" s="843" t="s">
        <v>509</v>
      </c>
      <c r="B355" s="845">
        <v>9.2523355484008807</v>
      </c>
      <c r="C355" s="845">
        <v>9.0060253143310494</v>
      </c>
      <c r="D355" s="845">
        <v>10.405486106872599</v>
      </c>
      <c r="E355" s="845">
        <v>6.98002004623413</v>
      </c>
      <c r="F355" s="845">
        <v>7.7092094421386701</v>
      </c>
      <c r="G355" s="845">
        <v>8.12390232086182</v>
      </c>
      <c r="H355" s="845">
        <v>8.2825136184692401</v>
      </c>
      <c r="I355" s="845">
        <v>8.4401350021362305</v>
      </c>
      <c r="J355" s="845">
        <v>8.7418422698974592</v>
      </c>
      <c r="K355" s="845">
        <v>9.1197204589843803</v>
      </c>
      <c r="L355" s="845">
        <v>9.5538625717163104</v>
      </c>
      <c r="M355" s="845">
        <v>10.0050344467163</v>
      </c>
      <c r="N355" s="845">
        <v>10.4820852279663</v>
      </c>
      <c r="O355" s="845">
        <v>11.0441122055054</v>
      </c>
      <c r="P355" s="845">
        <v>11.7092485427856</v>
      </c>
      <c r="Q355" s="845">
        <v>12.280260086059601</v>
      </c>
      <c r="R355" s="845">
        <v>12.668963432311999</v>
      </c>
      <c r="S355" s="845">
        <v>12.670117378234901</v>
      </c>
      <c r="T355" s="845">
        <v>12.917200088501</v>
      </c>
      <c r="U355" s="845">
        <v>13.0803108215332</v>
      </c>
      <c r="V355" s="845">
        <v>13.574273109436</v>
      </c>
      <c r="W355" s="845">
        <v>14.23717212677</v>
      </c>
      <c r="X355" s="845">
        <v>15.0462560653687</v>
      </c>
      <c r="Y355" s="845">
        <v>15.740474700927701</v>
      </c>
      <c r="Z355" s="845">
        <v>16.4913539886475</v>
      </c>
    </row>
    <row r="356" spans="1:70" ht="13.5" thickBot="1">
      <c r="A356" s="843" t="s">
        <v>613</v>
      </c>
      <c r="B356" s="845">
        <v>3.53999996185303</v>
      </c>
      <c r="C356" s="845">
        <v>3.6099998950958301</v>
      </c>
      <c r="D356" s="845">
        <v>4.1449666023254403</v>
      </c>
      <c r="E356" s="845">
        <v>4.1784791946411097</v>
      </c>
      <c r="F356" s="845">
        <v>4.1485314369201696</v>
      </c>
      <c r="G356" s="845">
        <v>4.3175525665283203</v>
      </c>
      <c r="H356" s="845">
        <v>4.44484186172485</v>
      </c>
      <c r="I356" s="845">
        <v>4.5821456909179696</v>
      </c>
      <c r="J356" s="845">
        <v>4.7206311225891104</v>
      </c>
      <c r="K356" s="845">
        <v>4.8563599586486799</v>
      </c>
      <c r="L356" s="845">
        <v>4.9913563728332502</v>
      </c>
      <c r="M356" s="845">
        <v>5.1233406066894496</v>
      </c>
      <c r="N356" s="845">
        <v>5.2680139541626003</v>
      </c>
      <c r="O356" s="845">
        <v>5.4137320518493697</v>
      </c>
      <c r="P356" s="845">
        <v>5.5743689537048304</v>
      </c>
      <c r="Q356" s="845">
        <v>5.7906579971313503</v>
      </c>
      <c r="R356" s="845">
        <v>6.0209679603576696</v>
      </c>
      <c r="S356" s="845">
        <v>6.20045709609985</v>
      </c>
      <c r="T356" s="845">
        <v>6.3775997161865199</v>
      </c>
      <c r="U356" s="845">
        <v>6.5161404609680202</v>
      </c>
      <c r="V356" s="845">
        <v>6.6299972534179696</v>
      </c>
      <c r="W356" s="845">
        <v>6.7667918205261204</v>
      </c>
      <c r="X356" s="845">
        <v>6.88553714752197</v>
      </c>
      <c r="Y356" s="845">
        <v>6.9704546928405797</v>
      </c>
      <c r="Z356" s="845">
        <v>7.0137753486633301</v>
      </c>
    </row>
    <row r="357" spans="1:70" ht="13.5" thickBot="1">
      <c r="A357" s="843" t="s">
        <v>626</v>
      </c>
      <c r="B357" s="845">
        <v>1.73100674152374</v>
      </c>
      <c r="C357" s="845">
        <v>1.81885313987732</v>
      </c>
      <c r="D357" s="845">
        <v>2.01088166236877</v>
      </c>
      <c r="E357" s="845">
        <v>2.0711190700531001</v>
      </c>
      <c r="F357" s="845">
        <v>1.96068322658539</v>
      </c>
      <c r="G357" s="845">
        <v>1.99932932853699</v>
      </c>
      <c r="H357" s="845">
        <v>2.0096416473388699</v>
      </c>
      <c r="I357" s="845">
        <v>2.07272601127625</v>
      </c>
      <c r="J357" s="845">
        <v>2.1420636177063002</v>
      </c>
      <c r="K357" s="845">
        <v>2.1925818920135498</v>
      </c>
      <c r="L357" s="845">
        <v>2.2534883022308301</v>
      </c>
      <c r="M357" s="845">
        <v>2.3155770301818799</v>
      </c>
      <c r="N357" s="845">
        <v>2.38794946670532</v>
      </c>
      <c r="O357" s="845">
        <v>2.4510562419891402</v>
      </c>
      <c r="P357" s="845">
        <v>2.52451372146606</v>
      </c>
      <c r="Q357" s="845">
        <v>2.5963439941406299</v>
      </c>
      <c r="R357" s="845">
        <v>2.6790707111358598</v>
      </c>
      <c r="S357" s="845">
        <v>2.7507226467132599</v>
      </c>
      <c r="T357" s="845">
        <v>2.8189043998718302</v>
      </c>
      <c r="U357" s="845">
        <v>2.8845274448394802</v>
      </c>
      <c r="V357" s="845">
        <v>2.9543473720550502</v>
      </c>
      <c r="W357" s="845">
        <v>3.0319309234619101</v>
      </c>
      <c r="X357" s="845">
        <v>3.1151678562164302</v>
      </c>
      <c r="Y357" s="845">
        <v>3.20047926902771</v>
      </c>
      <c r="Z357" s="845">
        <v>3.2839629650115998</v>
      </c>
      <c r="AA357" s="265">
        <f>Z527+($AI$357-$Y$527)/10</f>
        <v>8.0623037763536161</v>
      </c>
      <c r="AB357" s="265">
        <f t="shared" ref="AB357:AH357" si="21">AA357+($AI$357-$Y$527)/10</f>
        <v>8.1146083992868938</v>
      </c>
      <c r="AC357" s="265">
        <f t="shared" si="21"/>
        <v>8.1669130222201716</v>
      </c>
      <c r="AD357" s="265">
        <f t="shared" si="21"/>
        <v>8.2192176451534493</v>
      </c>
      <c r="AE357" s="265">
        <f t="shared" si="21"/>
        <v>8.2715222680867271</v>
      </c>
      <c r="AF357" s="265">
        <f t="shared" si="21"/>
        <v>8.3238268910200048</v>
      </c>
      <c r="AG357" s="265">
        <f t="shared" si="21"/>
        <v>8.3761315139532826</v>
      </c>
      <c r="AH357" s="265">
        <f t="shared" si="21"/>
        <v>8.4284361368865603</v>
      </c>
      <c r="AI357" s="266">
        <f>T527*$E$742</f>
        <v>8.4807407598198452</v>
      </c>
      <c r="AJ357" s="265">
        <f>AI357+($AX$357-$AI$357)/15</f>
        <v>8.5767365137369804</v>
      </c>
      <c r="AK357" s="265">
        <f t="shared" ref="AK357:AW357" si="22">AJ357+($AX$357-$AI$357)/15</f>
        <v>8.6727322676541156</v>
      </c>
      <c r="AL357" s="265">
        <f t="shared" si="22"/>
        <v>8.7687280215712509</v>
      </c>
      <c r="AM357" s="265">
        <f t="shared" si="22"/>
        <v>8.8647237754883861</v>
      </c>
      <c r="AN357" s="265">
        <f t="shared" si="22"/>
        <v>8.9607195294055213</v>
      </c>
      <c r="AO357" s="265">
        <f t="shared" si="22"/>
        <v>9.0567152833226565</v>
      </c>
      <c r="AP357" s="265">
        <f t="shared" si="22"/>
        <v>9.1527110372397917</v>
      </c>
      <c r="AQ357" s="265">
        <f t="shared" si="22"/>
        <v>9.248706791156927</v>
      </c>
      <c r="AR357" s="265">
        <f t="shared" si="22"/>
        <v>9.3447025450740622</v>
      </c>
      <c r="AS357" s="265">
        <f t="shared" si="22"/>
        <v>9.4406982989911974</v>
      </c>
      <c r="AT357" s="265">
        <f t="shared" si="22"/>
        <v>9.5366940529083326</v>
      </c>
      <c r="AU357" s="265">
        <f t="shared" si="22"/>
        <v>9.6326898068254678</v>
      </c>
      <c r="AV357" s="265">
        <f t="shared" si="22"/>
        <v>9.728685560742603</v>
      </c>
      <c r="AW357" s="265">
        <f t="shared" si="22"/>
        <v>9.8246813146597383</v>
      </c>
      <c r="AX357" s="266">
        <f>AI357*$B$742</f>
        <v>9.9206770685768717</v>
      </c>
      <c r="AY357" s="265">
        <f>AX357+($BM$357-$AX$357)/15</f>
        <v>10.018909165246043</v>
      </c>
      <c r="AZ357" s="265">
        <f t="shared" ref="AZ357:BL357" si="23">AY357+($BM$357-$AX$357)/15</f>
        <v>10.117141261915215</v>
      </c>
      <c r="BA357" s="265">
        <f t="shared" si="23"/>
        <v>10.215373358584387</v>
      </c>
      <c r="BB357" s="265">
        <f t="shared" si="23"/>
        <v>10.313605455253558</v>
      </c>
      <c r="BC357" s="265">
        <f t="shared" si="23"/>
        <v>10.41183755192273</v>
      </c>
      <c r="BD357" s="265">
        <f t="shared" si="23"/>
        <v>10.510069648591902</v>
      </c>
      <c r="BE357" s="265">
        <f t="shared" si="23"/>
        <v>10.608301745261073</v>
      </c>
      <c r="BF357" s="265">
        <f t="shared" si="23"/>
        <v>10.706533841930245</v>
      </c>
      <c r="BG357" s="265">
        <f t="shared" si="23"/>
        <v>10.804765938599417</v>
      </c>
      <c r="BH357" s="265">
        <f t="shared" si="23"/>
        <v>10.902998035268588</v>
      </c>
      <c r="BI357" s="265">
        <f t="shared" si="23"/>
        <v>11.00123013193776</v>
      </c>
      <c r="BJ357" s="265">
        <f t="shared" si="23"/>
        <v>11.099462228606932</v>
      </c>
      <c r="BK357" s="265">
        <f t="shared" si="23"/>
        <v>11.197694325276103</v>
      </c>
      <c r="BL357" s="265">
        <f t="shared" si="23"/>
        <v>11.295926421945275</v>
      </c>
      <c r="BM357" s="266">
        <f>AX357*$C$742</f>
        <v>11.394158518614441</v>
      </c>
      <c r="BN357" s="265">
        <f>BM357+($BR$357-$BM$357)/5</f>
        <v>11.506980665059427</v>
      </c>
      <c r="BO357" s="265">
        <f>BN357+($BR$357-$BM$357)/5</f>
        <v>11.619802811504412</v>
      </c>
      <c r="BP357" s="265">
        <f>BO357+($BR$357-$BM$357)/5</f>
        <v>11.732624957949398</v>
      </c>
      <c r="BQ357" s="265">
        <f>BP357+($BR$357-$BM$357)/5</f>
        <v>11.845447104394383</v>
      </c>
      <c r="BR357" s="266">
        <f>BM357*$D$742</f>
        <v>11.95826925083937</v>
      </c>
    </row>
    <row r="358" spans="1:70" ht="13.5" thickBot="1">
      <c r="A358" s="843" t="s">
        <v>615</v>
      </c>
      <c r="B358" s="845">
        <v>0</v>
      </c>
      <c r="C358" s="845">
        <v>0</v>
      </c>
      <c r="D358" s="845">
        <v>0</v>
      </c>
      <c r="E358" s="845">
        <v>0</v>
      </c>
      <c r="F358" s="845">
        <v>0</v>
      </c>
      <c r="G358" s="845">
        <v>1.5889266729354901</v>
      </c>
      <c r="H358" s="845">
        <v>1.46094393730164</v>
      </c>
      <c r="I358" s="845">
        <v>1.28843116760254</v>
      </c>
      <c r="J358" s="845">
        <v>1.5101318359375</v>
      </c>
      <c r="K358" s="845">
        <v>1.50810551643372</v>
      </c>
      <c r="L358" s="845">
        <v>1.5213859081268299</v>
      </c>
      <c r="M358" s="845">
        <v>1.53951179981232</v>
      </c>
      <c r="N358" s="845">
        <v>1.58338570594788</v>
      </c>
      <c r="O358" s="845">
        <v>1.63723039627075</v>
      </c>
      <c r="P358" s="845">
        <v>1.71289122104645</v>
      </c>
      <c r="Q358" s="845">
        <v>1.76114201545715</v>
      </c>
      <c r="R358" s="845">
        <v>1.8119050264358501</v>
      </c>
      <c r="S358" s="845">
        <v>1.8629466295242301</v>
      </c>
      <c r="T358" s="845">
        <v>1.9169825315475499</v>
      </c>
      <c r="U358" s="845">
        <v>1.9466364383697501</v>
      </c>
      <c r="V358" s="845">
        <v>1.9911848306655899</v>
      </c>
      <c r="W358" s="845">
        <v>2.0416746139526398</v>
      </c>
      <c r="X358" s="845">
        <v>2.09020328521729</v>
      </c>
      <c r="Y358" s="845">
        <v>2.1373581886291499</v>
      </c>
      <c r="Z358" s="845">
        <v>2.1847438812255899</v>
      </c>
      <c r="AA358" s="267">
        <f>Z528+($AI$358-$Y$528)/10</f>
        <v>22.224617194901626</v>
      </c>
      <c r="AB358" s="267">
        <f t="shared" ref="AB358:AH358" si="24">AA358+($AI$358-$Y$528)/10</f>
        <v>22.135413455621489</v>
      </c>
      <c r="AC358" s="267">
        <f t="shared" si="24"/>
        <v>22.046209716341352</v>
      </c>
      <c r="AD358" s="267">
        <f t="shared" si="24"/>
        <v>21.957005977061215</v>
      </c>
      <c r="AE358" s="267">
        <f t="shared" si="24"/>
        <v>21.867802237781078</v>
      </c>
      <c r="AF358" s="267">
        <f t="shared" si="24"/>
        <v>21.778598498500941</v>
      </c>
      <c r="AG358" s="267">
        <f t="shared" si="24"/>
        <v>21.689394759220804</v>
      </c>
      <c r="AH358" s="267">
        <f t="shared" si="24"/>
        <v>21.600191019940667</v>
      </c>
      <c r="AI358" s="268">
        <f>T528*$E$745</f>
        <v>21.510987280660522</v>
      </c>
      <c r="AJ358" s="267">
        <f>AI358+($AX$358-$AI$358)/15</f>
        <v>21.502530865644818</v>
      </c>
      <c r="AK358" s="267">
        <f t="shared" ref="AK358:AW358" si="25">AJ358+($AX$358-$AI$358)/15</f>
        <v>21.494074450629114</v>
      </c>
      <c r="AL358" s="267">
        <f t="shared" si="25"/>
        <v>21.48561803561341</v>
      </c>
      <c r="AM358" s="267">
        <f t="shared" si="25"/>
        <v>21.477161620597705</v>
      </c>
      <c r="AN358" s="267">
        <f t="shared" si="25"/>
        <v>21.468705205582001</v>
      </c>
      <c r="AO358" s="267">
        <f t="shared" si="25"/>
        <v>21.460248790566297</v>
      </c>
      <c r="AP358" s="267">
        <f t="shared" si="25"/>
        <v>21.451792375550593</v>
      </c>
      <c r="AQ358" s="267">
        <f t="shared" si="25"/>
        <v>21.443335960534888</v>
      </c>
      <c r="AR358" s="267">
        <f t="shared" si="25"/>
        <v>21.434879545519184</v>
      </c>
      <c r="AS358" s="267">
        <f t="shared" si="25"/>
        <v>21.42642313050348</v>
      </c>
      <c r="AT358" s="267">
        <f t="shared" si="25"/>
        <v>21.417966715487776</v>
      </c>
      <c r="AU358" s="267">
        <f t="shared" si="25"/>
        <v>21.409510300472071</v>
      </c>
      <c r="AV358" s="267">
        <f t="shared" si="25"/>
        <v>21.401053885456367</v>
      </c>
      <c r="AW358" s="267">
        <f t="shared" si="25"/>
        <v>21.392597470440663</v>
      </c>
      <c r="AX358" s="268">
        <f>AI358*$B$745</f>
        <v>21.384141055424955</v>
      </c>
      <c r="AY358" s="267">
        <f>AX358+($BM$358-$AX$358)/15</f>
        <v>21.397725276976207</v>
      </c>
      <c r="AZ358" s="267">
        <f t="shared" ref="AZ358:BL358" si="26">AY358+($BM$358-$AX$358)/15</f>
        <v>21.411309498527459</v>
      </c>
      <c r="BA358" s="267">
        <f t="shared" si="26"/>
        <v>21.42489372007871</v>
      </c>
      <c r="BB358" s="267">
        <f t="shared" si="26"/>
        <v>21.438477941629962</v>
      </c>
      <c r="BC358" s="267">
        <f t="shared" si="26"/>
        <v>21.452062163181214</v>
      </c>
      <c r="BD358" s="267">
        <f t="shared" si="26"/>
        <v>21.465646384732466</v>
      </c>
      <c r="BE358" s="267">
        <f t="shared" si="26"/>
        <v>21.479230606283718</v>
      </c>
      <c r="BF358" s="267">
        <f t="shared" si="26"/>
        <v>21.49281482783497</v>
      </c>
      <c r="BG358" s="267">
        <f t="shared" si="26"/>
        <v>21.506399049386221</v>
      </c>
      <c r="BH358" s="267">
        <f t="shared" si="26"/>
        <v>21.519983270937473</v>
      </c>
      <c r="BI358" s="267">
        <f t="shared" si="26"/>
        <v>21.533567492488725</v>
      </c>
      <c r="BJ358" s="267">
        <f t="shared" si="26"/>
        <v>21.547151714039977</v>
      </c>
      <c r="BK358" s="267">
        <f t="shared" si="26"/>
        <v>21.560735935591229</v>
      </c>
      <c r="BL358" s="267">
        <f t="shared" si="26"/>
        <v>21.574320157142481</v>
      </c>
      <c r="BM358" s="268">
        <f>AX358*$C$745</f>
        <v>21.587904378693722</v>
      </c>
      <c r="BN358" s="267">
        <f>BM358+($BR$358-$BM$358)/5</f>
        <v>21.601618040381013</v>
      </c>
      <c r="BO358" s="267">
        <f>BN358+($BR$358-$BM$358)/5</f>
        <v>21.615331702068303</v>
      </c>
      <c r="BP358" s="267">
        <f>BO358+($BR$358-$BM$358)/5</f>
        <v>21.629045363755594</v>
      </c>
      <c r="BQ358" s="267">
        <f>BP358+($BR$358-$BM$358)/5</f>
        <v>21.642759025442885</v>
      </c>
      <c r="BR358" s="268">
        <f>BM358*$D$745</f>
        <v>21.656472687130176</v>
      </c>
    </row>
    <row r="359" spans="1:70">
      <c r="A359" s="843" t="s">
        <v>478</v>
      </c>
      <c r="B359" s="845">
        <v>25.973251342773398</v>
      </c>
      <c r="C359" s="845">
        <v>26.680915832519499</v>
      </c>
      <c r="D359" s="845">
        <v>28.4103908538818</v>
      </c>
      <c r="E359" s="845">
        <v>27.544679641723601</v>
      </c>
      <c r="F359" s="845">
        <v>25.191349029541001</v>
      </c>
      <c r="G359" s="845">
        <v>26.348068237304702</v>
      </c>
      <c r="H359" s="845">
        <v>26.6303806304932</v>
      </c>
      <c r="I359" s="845">
        <v>27.154542922973601</v>
      </c>
      <c r="J359" s="845">
        <v>28.002742767333999</v>
      </c>
      <c r="K359" s="845">
        <v>28.757371902465799</v>
      </c>
      <c r="L359" s="845">
        <v>29.780685424804702</v>
      </c>
      <c r="M359" s="845">
        <v>30.870384216308601</v>
      </c>
      <c r="N359" s="845">
        <v>32.039138793945298</v>
      </c>
      <c r="O359" s="845">
        <v>33.131908416747997</v>
      </c>
      <c r="P359" s="845">
        <v>34.493354797363303</v>
      </c>
      <c r="Q359" s="845">
        <v>35.847507476806598</v>
      </c>
      <c r="R359" s="845">
        <v>37.095943450927699</v>
      </c>
      <c r="S359" s="845">
        <v>37.945499420166001</v>
      </c>
      <c r="T359" s="845">
        <v>38.854724884033203</v>
      </c>
      <c r="U359" s="845">
        <v>39.667263031005902</v>
      </c>
      <c r="V359" s="845">
        <v>40.613765716552699</v>
      </c>
      <c r="W359" s="845">
        <v>41.989593505859403</v>
      </c>
      <c r="X359" s="845">
        <v>43.556324005127003</v>
      </c>
      <c r="Y359" s="845">
        <v>45.098350524902301</v>
      </c>
      <c r="Z359" s="845">
        <v>46.616588592529297</v>
      </c>
    </row>
    <row r="361" spans="1:70">
      <c r="A361" s="843" t="s">
        <v>512</v>
      </c>
    </row>
    <row r="362" spans="1:70">
      <c r="A362" s="843" t="s">
        <v>726</v>
      </c>
    </row>
    <row r="363" spans="1:70">
      <c r="A363" s="843" t="s">
        <v>472</v>
      </c>
      <c r="B363" s="845">
        <v>225.03859096661196</v>
      </c>
      <c r="C363" s="845">
        <v>238.40081787109398</v>
      </c>
      <c r="D363" s="845">
        <v>255.49913625772319</v>
      </c>
      <c r="E363" s="845">
        <v>230.9929746666815</v>
      </c>
      <c r="F363" s="845">
        <v>223.41247611699868</v>
      </c>
      <c r="G363" s="845">
        <v>235.2892736225177</v>
      </c>
      <c r="H363" s="845">
        <v>241.6920712265439</v>
      </c>
      <c r="I363" s="845">
        <v>246.56659612211084</v>
      </c>
      <c r="J363" s="845">
        <v>255.55094332875294</v>
      </c>
      <c r="K363" s="845">
        <v>264.57905396662414</v>
      </c>
      <c r="L363" s="845">
        <v>275.89920726734971</v>
      </c>
      <c r="M363" s="845">
        <v>287.49516661999758</v>
      </c>
      <c r="N363" s="845">
        <v>300.32909110683801</v>
      </c>
      <c r="O363" s="845">
        <v>313.11554742582229</v>
      </c>
      <c r="P363" s="845">
        <v>328.18192619930682</v>
      </c>
      <c r="Q363" s="845">
        <v>341.8235015289352</v>
      </c>
      <c r="R363" s="845">
        <v>355.09694320426638</v>
      </c>
      <c r="S363" s="845">
        <v>365.44612056098629</v>
      </c>
      <c r="T363" s="845">
        <v>378.29315112389759</v>
      </c>
      <c r="U363" s="845">
        <v>388.37155634393389</v>
      </c>
      <c r="V363" s="845">
        <v>402.59953615177363</v>
      </c>
      <c r="W363" s="845">
        <v>419.77981120164446</v>
      </c>
      <c r="X363" s="845">
        <v>438.87123825530841</v>
      </c>
      <c r="Y363" s="845">
        <v>455.24534715742953</v>
      </c>
      <c r="Z363" s="845">
        <v>473.03338245571979</v>
      </c>
    </row>
    <row r="364" spans="1:70">
      <c r="A364" s="843" t="s">
        <v>479</v>
      </c>
      <c r="B364" s="845">
        <v>165.81601818957134</v>
      </c>
      <c r="C364" s="845">
        <v>172.89260864257801</v>
      </c>
      <c r="D364" s="845">
        <v>187.38257557629601</v>
      </c>
      <c r="E364" s="845">
        <v>169.14737359110225</v>
      </c>
      <c r="F364" s="845">
        <v>163.07263216137929</v>
      </c>
      <c r="G364" s="845">
        <v>172.91593328178766</v>
      </c>
      <c r="H364" s="845">
        <v>176.9297785804325</v>
      </c>
      <c r="I364" s="845">
        <v>182.88131988639063</v>
      </c>
      <c r="J364" s="845">
        <v>191.23749630338142</v>
      </c>
      <c r="K364" s="845">
        <v>199.89645601118545</v>
      </c>
      <c r="L364" s="845">
        <v>210.36479941888081</v>
      </c>
      <c r="M364" s="845">
        <v>221.36240217535854</v>
      </c>
      <c r="N364" s="845">
        <v>233.19080564556924</v>
      </c>
      <c r="O364" s="845">
        <v>244.70314616363081</v>
      </c>
      <c r="P364" s="845">
        <v>258.1051490216438</v>
      </c>
      <c r="Q364" s="845">
        <v>271.26123343313407</v>
      </c>
      <c r="R364" s="845">
        <v>283.50995205362011</v>
      </c>
      <c r="S364" s="845">
        <v>292.88584879534454</v>
      </c>
      <c r="T364" s="845">
        <v>303.70259464185926</v>
      </c>
      <c r="U364" s="845">
        <v>313.58347456242666</v>
      </c>
      <c r="V364" s="845">
        <v>325.89089746765683</v>
      </c>
      <c r="W364" s="845">
        <v>341.11550736031069</v>
      </c>
      <c r="X364" s="845">
        <v>358.21009848865214</v>
      </c>
      <c r="Y364" s="845">
        <v>374.9131546581271</v>
      </c>
      <c r="Z364" s="845">
        <v>392.1016075075479</v>
      </c>
    </row>
    <row r="365" spans="1:70" ht="13.5" thickBot="1">
      <c r="A365" s="843" t="s">
        <v>514</v>
      </c>
      <c r="B365" s="845">
        <v>210.41252056252281</v>
      </c>
      <c r="C365" s="845">
        <v>226.88609313964801</v>
      </c>
      <c r="D365" s="845">
        <v>254.13497179068762</v>
      </c>
      <c r="E365" s="845">
        <v>187.2100922767749</v>
      </c>
      <c r="F365" s="845">
        <v>157.4270874391178</v>
      </c>
      <c r="G365" s="845">
        <v>180.83829470805441</v>
      </c>
      <c r="H365" s="845">
        <v>198.41655822177904</v>
      </c>
      <c r="I365" s="845">
        <v>216.64201952030527</v>
      </c>
      <c r="J365" s="845">
        <v>228.79975664936245</v>
      </c>
      <c r="K365" s="845">
        <v>241.15463361452254</v>
      </c>
      <c r="L365" s="845">
        <v>252.64480203410886</v>
      </c>
      <c r="M365" s="845">
        <v>265.1637238738445</v>
      </c>
      <c r="N365" s="845">
        <v>278.29776899368039</v>
      </c>
      <c r="O365" s="845">
        <v>289.61773721654419</v>
      </c>
      <c r="P365" s="845">
        <v>303.56832242347855</v>
      </c>
      <c r="Q365" s="845">
        <v>314.41390898844122</v>
      </c>
      <c r="R365" s="845">
        <v>323.63277263436424</v>
      </c>
      <c r="S365" s="845">
        <v>331.42426143912343</v>
      </c>
      <c r="T365" s="845">
        <v>339.57307272400601</v>
      </c>
      <c r="U365" s="845">
        <v>343.93727888891527</v>
      </c>
      <c r="V365" s="845">
        <v>351.82746805051073</v>
      </c>
      <c r="W365" s="845">
        <v>360.73339056833169</v>
      </c>
      <c r="X365" s="845">
        <v>371.92375563686846</v>
      </c>
      <c r="Y365" s="845">
        <v>381.22301587849751</v>
      </c>
      <c r="Z365" s="845">
        <v>389.10731115707301</v>
      </c>
    </row>
    <row r="366" spans="1:70" ht="13.5" thickBot="1">
      <c r="A366" s="843" t="s">
        <v>486</v>
      </c>
      <c r="B366" s="845">
        <v>549.81888270324475</v>
      </c>
      <c r="C366" s="845">
        <v>596.84759521484398</v>
      </c>
      <c r="D366" s="845">
        <v>708.90187629235277</v>
      </c>
      <c r="E366" s="845">
        <v>406.38667462869051</v>
      </c>
      <c r="F366" s="845">
        <v>447.16295305198071</v>
      </c>
      <c r="G366" s="845">
        <v>542.65678113398656</v>
      </c>
      <c r="H366" s="845">
        <v>604.00010341071868</v>
      </c>
      <c r="I366" s="845">
        <v>661.06483901631009</v>
      </c>
      <c r="J366" s="845">
        <v>714.35686387994281</v>
      </c>
      <c r="K366" s="845">
        <v>764.16924059162022</v>
      </c>
      <c r="L366" s="845">
        <v>805.13331786340132</v>
      </c>
      <c r="M366" s="845">
        <v>850.39970498506295</v>
      </c>
      <c r="N366" s="845">
        <v>892.06783074940802</v>
      </c>
      <c r="O366" s="845">
        <v>929.55049698437085</v>
      </c>
      <c r="P366" s="845">
        <v>964.20679928883487</v>
      </c>
      <c r="Q366" s="845">
        <v>990.06920191633094</v>
      </c>
      <c r="R366" s="845">
        <v>1016.1557534719609</v>
      </c>
      <c r="S366" s="845">
        <v>1054.8326731961108</v>
      </c>
      <c r="T366" s="845">
        <v>1091.2729592511287</v>
      </c>
      <c r="U366" s="845">
        <v>1118.0349113947391</v>
      </c>
      <c r="V366" s="845">
        <v>1161.085260138974</v>
      </c>
      <c r="W366" s="845">
        <v>1181.9301954596156</v>
      </c>
      <c r="X366" s="845">
        <v>1232.4560893451367</v>
      </c>
      <c r="Y366" s="845">
        <v>1290.1595195386233</v>
      </c>
      <c r="Z366" s="845">
        <v>1322.0136898683704</v>
      </c>
      <c r="AA366" s="265">
        <f>Z536+($AI$366-$Y$536)/10</f>
        <v>5.5334229650972304</v>
      </c>
      <c r="AB366" s="265">
        <f t="shared" ref="AB366:AH366" si="27">AA366+($AI$366-$Y$536)/10</f>
        <v>5.5639341150042458</v>
      </c>
      <c r="AC366" s="265">
        <f t="shared" si="27"/>
        <v>5.5944452649112613</v>
      </c>
      <c r="AD366" s="265">
        <f t="shared" si="27"/>
        <v>5.6249564148182767</v>
      </c>
      <c r="AE366" s="265">
        <f t="shared" si="27"/>
        <v>5.6554675647252921</v>
      </c>
      <c r="AF366" s="265">
        <f t="shared" si="27"/>
        <v>5.6859787146323075</v>
      </c>
      <c r="AG366" s="265">
        <f t="shared" si="27"/>
        <v>5.716489864539323</v>
      </c>
      <c r="AH366" s="265">
        <f t="shared" si="27"/>
        <v>5.7470010144463384</v>
      </c>
      <c r="AI366" s="266">
        <f>T536*$E$742</f>
        <v>5.7775121643533494</v>
      </c>
      <c r="AJ366" s="265">
        <f>AI366+($AX$366-$AI$366)/15</f>
        <v>5.8429093568498098</v>
      </c>
      <c r="AK366" s="265">
        <f t="shared" ref="AK366:AW366" si="28">AJ366+($AX$366-$AI$366)/15</f>
        <v>5.9083065493462703</v>
      </c>
      <c r="AL366" s="265">
        <f t="shared" si="28"/>
        <v>5.9737037418427308</v>
      </c>
      <c r="AM366" s="265">
        <f t="shared" si="28"/>
        <v>6.0391009343391913</v>
      </c>
      <c r="AN366" s="265">
        <f t="shared" si="28"/>
        <v>6.1044981268356517</v>
      </c>
      <c r="AO366" s="265">
        <f t="shared" si="28"/>
        <v>6.1698953193321122</v>
      </c>
      <c r="AP366" s="265">
        <f t="shared" si="28"/>
        <v>6.2352925118285727</v>
      </c>
      <c r="AQ366" s="265">
        <f t="shared" si="28"/>
        <v>6.3006897043250332</v>
      </c>
      <c r="AR366" s="265">
        <f t="shared" si="28"/>
        <v>6.3660868968214936</v>
      </c>
      <c r="AS366" s="265">
        <f t="shared" si="28"/>
        <v>6.4314840893179541</v>
      </c>
      <c r="AT366" s="265">
        <f t="shared" si="28"/>
        <v>6.4968812818144146</v>
      </c>
      <c r="AU366" s="265">
        <f t="shared" si="28"/>
        <v>6.5622784743108751</v>
      </c>
      <c r="AV366" s="265">
        <f t="shared" si="28"/>
        <v>6.6276756668073356</v>
      </c>
      <c r="AW366" s="265">
        <f t="shared" si="28"/>
        <v>6.693072859303796</v>
      </c>
      <c r="AX366" s="266">
        <f>AI366*$B$742</f>
        <v>6.7584700518002592</v>
      </c>
      <c r="AY366" s="265">
        <f>AX366+($BM$366-$AX$366)/15</f>
        <v>6.8253907547799981</v>
      </c>
      <c r="AZ366" s="265">
        <f t="shared" ref="AZ366:BL366" si="29">AY366+($BM$366-$AX$366)/15</f>
        <v>6.8923114577597371</v>
      </c>
      <c r="BA366" s="265">
        <f t="shared" si="29"/>
        <v>6.959232160739476</v>
      </c>
      <c r="BB366" s="265">
        <f t="shared" si="29"/>
        <v>7.026152863719215</v>
      </c>
      <c r="BC366" s="265">
        <f t="shared" si="29"/>
        <v>7.0930735666989539</v>
      </c>
      <c r="BD366" s="265">
        <f t="shared" si="29"/>
        <v>7.1599942696786929</v>
      </c>
      <c r="BE366" s="265">
        <f t="shared" si="29"/>
        <v>7.2269149726584319</v>
      </c>
      <c r="BF366" s="265">
        <f t="shared" si="29"/>
        <v>7.2938356756381708</v>
      </c>
      <c r="BG366" s="265">
        <f t="shared" si="29"/>
        <v>7.3607563786179098</v>
      </c>
      <c r="BH366" s="265">
        <f t="shared" si="29"/>
        <v>7.4276770815976487</v>
      </c>
      <c r="BI366" s="265">
        <f t="shared" si="29"/>
        <v>7.4945977845773877</v>
      </c>
      <c r="BJ366" s="265">
        <f t="shared" si="29"/>
        <v>7.5615184875571266</v>
      </c>
      <c r="BK366" s="265">
        <f t="shared" si="29"/>
        <v>7.6284391905368656</v>
      </c>
      <c r="BL366" s="265">
        <f t="shared" si="29"/>
        <v>7.6953598935166045</v>
      </c>
      <c r="BM366" s="266">
        <f>AX366*$C$742</f>
        <v>7.7622805964963462</v>
      </c>
      <c r="BN366" s="265">
        <f>BM366+($BR$366-$BM$366)/5</f>
        <v>7.8391407838260445</v>
      </c>
      <c r="BO366" s="265">
        <f>BN366+($BR$366-$BM$366)/5</f>
        <v>7.9160009711557429</v>
      </c>
      <c r="BP366" s="265">
        <f>BO366+($BR$366-$BM$366)/5</f>
        <v>7.9928611584854412</v>
      </c>
      <c r="BQ366" s="265">
        <f>BP366+($BR$366-$BM$366)/5</f>
        <v>8.0697213458151396</v>
      </c>
      <c r="BR366" s="266">
        <f>BM366*$D$742</f>
        <v>8.1465815331448379</v>
      </c>
    </row>
    <row r="367" spans="1:70">
      <c r="A367" s="843" t="s">
        <v>515</v>
      </c>
      <c r="B367" s="845">
        <v>1151.0859678463546</v>
      </c>
      <c r="C367" s="845">
        <v>1235.02709960938</v>
      </c>
      <c r="D367" s="845">
        <v>1405.9186066996403</v>
      </c>
      <c r="E367" s="845">
        <v>993.73713091111074</v>
      </c>
      <c r="F367" s="845">
        <v>991.07514876947641</v>
      </c>
      <c r="G367" s="845">
        <v>1131.7003147881212</v>
      </c>
      <c r="H367" s="845">
        <v>1221.038560105055</v>
      </c>
      <c r="I367" s="845">
        <v>1307.1547250090439</v>
      </c>
      <c r="J367" s="845">
        <v>1389.9450601614428</v>
      </c>
      <c r="K367" s="845">
        <v>1469.7993497059265</v>
      </c>
      <c r="L367" s="845">
        <v>1544.0421618496678</v>
      </c>
      <c r="M367" s="845">
        <v>1624.4209976542634</v>
      </c>
      <c r="N367" s="845">
        <v>1703.8854780296228</v>
      </c>
      <c r="O367" s="845">
        <v>1776.9868521708881</v>
      </c>
      <c r="P367" s="845">
        <v>1854.0622550605767</v>
      </c>
      <c r="Q367" s="845">
        <v>1917.5679054742993</v>
      </c>
      <c r="R367" s="845">
        <v>1978.3954213642144</v>
      </c>
      <c r="S367" s="845">
        <v>2044.5889248527621</v>
      </c>
      <c r="T367" s="845">
        <v>2112.8417777408945</v>
      </c>
      <c r="U367" s="845">
        <v>2163.9271994062915</v>
      </c>
      <c r="V367" s="845">
        <v>2241.4031618089139</v>
      </c>
      <c r="W367" s="845">
        <v>2303.558949985179</v>
      </c>
      <c r="X367" s="845">
        <v>2401.4612280803153</v>
      </c>
      <c r="Y367" s="845">
        <v>2501.5410135735665</v>
      </c>
      <c r="Z367" s="845">
        <v>2576.2560875804752</v>
      </c>
    </row>
    <row r="368" spans="1:70" ht="13.5" thickBot="1">
      <c r="A368" s="843" t="s">
        <v>628</v>
      </c>
      <c r="B368" s="845">
        <v>3.1288517293273019E-2</v>
      </c>
      <c r="C368" s="845">
        <v>4.0145620703697205E-2</v>
      </c>
      <c r="D368" s="845">
        <v>3.8515830891447944E-2</v>
      </c>
      <c r="E368" s="845">
        <v>2.6303627333810531E-2</v>
      </c>
      <c r="F368" s="845">
        <v>5.6047443014104255E-2</v>
      </c>
      <c r="G368" s="845">
        <v>7.1119337023784479E-2</v>
      </c>
      <c r="H368" s="845">
        <v>8.8428224145552056E-2</v>
      </c>
      <c r="I368" s="845">
        <v>0.10266115711707489</v>
      </c>
      <c r="J368" s="845">
        <v>0.12491143634290662</v>
      </c>
      <c r="K368" s="845">
        <v>2.2293869286864165</v>
      </c>
      <c r="L368" s="845">
        <v>5.6123954184121017</v>
      </c>
      <c r="M368" s="845">
        <v>7.9566359351664051</v>
      </c>
      <c r="N368" s="845">
        <v>12.724991751969894</v>
      </c>
      <c r="O368" s="845">
        <v>19.495647700796784</v>
      </c>
      <c r="P368" s="845">
        <v>28.06371652814466</v>
      </c>
      <c r="Q368" s="845">
        <v>33.841758141316177</v>
      </c>
      <c r="R368" s="845">
        <v>47.452021910622882</v>
      </c>
      <c r="S368" s="845">
        <v>48.667640008057987</v>
      </c>
      <c r="T368" s="845">
        <v>47.767774332439714</v>
      </c>
      <c r="U368" s="845">
        <v>50.842459413568172</v>
      </c>
      <c r="V368" s="845">
        <v>54.12672288853372</v>
      </c>
      <c r="W368" s="845">
        <v>67.349033728123644</v>
      </c>
      <c r="X368" s="845">
        <v>72.870357898145016</v>
      </c>
      <c r="Y368" s="845">
        <v>82.472655922369356</v>
      </c>
      <c r="Z368" s="845">
        <v>85.74303480046683</v>
      </c>
    </row>
    <row r="369" spans="1:70" ht="13.5" thickBot="1">
      <c r="A369" s="843" t="s">
        <v>517</v>
      </c>
      <c r="B369" s="845">
        <v>1151.1172301979784</v>
      </c>
      <c r="C369" s="845">
        <v>1235.06726074219</v>
      </c>
      <c r="D369" s="845">
        <v>1405.957155546361</v>
      </c>
      <c r="E369" s="845">
        <v>993.76346133595302</v>
      </c>
      <c r="F369" s="845">
        <v>991.13120249830877</v>
      </c>
      <c r="G369" s="845">
        <v>1131.7714475332546</v>
      </c>
      <c r="H369" s="845">
        <v>1221.1269368042056</v>
      </c>
      <c r="I369" s="845">
        <v>1307.2573637523753</v>
      </c>
      <c r="J369" s="845">
        <v>1390.0699789505047</v>
      </c>
      <c r="K369" s="845">
        <v>1472.0286986549243</v>
      </c>
      <c r="L369" s="845">
        <v>1549.6545225531884</v>
      </c>
      <c r="M369" s="845">
        <v>1632.3776685401217</v>
      </c>
      <c r="N369" s="845">
        <v>1716.6105344121597</v>
      </c>
      <c r="O369" s="845">
        <v>1796.4824632434897</v>
      </c>
      <c r="P369" s="845">
        <v>1882.1259667447755</v>
      </c>
      <c r="Q369" s="845">
        <v>1951.4096785174786</v>
      </c>
      <c r="R369" s="845">
        <v>2025.8475094892897</v>
      </c>
      <c r="S369" s="845">
        <v>2093.2565961526161</v>
      </c>
      <c r="T369" s="845">
        <v>2160.609578738799</v>
      </c>
      <c r="U369" s="845">
        <v>2214.7697023873047</v>
      </c>
      <c r="V369" s="845">
        <v>2295.5298624598372</v>
      </c>
      <c r="W369" s="845">
        <v>2370.9079156203875</v>
      </c>
      <c r="X369" s="845">
        <v>2474.3315685955818</v>
      </c>
      <c r="Y369" s="845">
        <v>2584.0136458368329</v>
      </c>
      <c r="Z369" s="845">
        <v>2661.9990499371279</v>
      </c>
      <c r="AA369" s="267">
        <f>Z539+($AI$369-$Y$539)/10</f>
        <v>15.611683809514826</v>
      </c>
      <c r="AB369" s="267">
        <f t="shared" ref="AB369:AH369" si="30">AA369+($AI$369-$Y$539)/10</f>
        <v>15.541748469704389</v>
      </c>
      <c r="AC369" s="267">
        <f t="shared" si="30"/>
        <v>15.471813129893953</v>
      </c>
      <c r="AD369" s="267">
        <f t="shared" si="30"/>
        <v>15.401877790083516</v>
      </c>
      <c r="AE369" s="267">
        <f t="shared" si="30"/>
        <v>15.331942450273079</v>
      </c>
      <c r="AF369" s="267">
        <f t="shared" si="30"/>
        <v>15.262007110462642</v>
      </c>
      <c r="AG369" s="267">
        <f t="shared" si="30"/>
        <v>15.192071770652205</v>
      </c>
      <c r="AH369" s="267">
        <f t="shared" si="30"/>
        <v>15.122136430841769</v>
      </c>
      <c r="AI369" s="268">
        <f>T539*$E$745</f>
        <v>15.052201091031337</v>
      </c>
      <c r="AJ369" s="267">
        <f>AI369+($AX$369-$AI$369)/15</f>
        <v>15.046283758755285</v>
      </c>
      <c r="AK369" s="267">
        <f t="shared" ref="AK369:AW369" si="31">AJ369+($AX$369-$AI$369)/15</f>
        <v>15.040366426479233</v>
      </c>
      <c r="AL369" s="267">
        <f t="shared" si="31"/>
        <v>15.034449094203181</v>
      </c>
      <c r="AM369" s="267">
        <f t="shared" si="31"/>
        <v>15.028531761927129</v>
      </c>
      <c r="AN369" s="267">
        <f t="shared" si="31"/>
        <v>15.022614429651076</v>
      </c>
      <c r="AO369" s="267">
        <f t="shared" si="31"/>
        <v>15.016697097375024</v>
      </c>
      <c r="AP369" s="267">
        <f t="shared" si="31"/>
        <v>15.010779765098972</v>
      </c>
      <c r="AQ369" s="267">
        <f t="shared" si="31"/>
        <v>15.00486243282292</v>
      </c>
      <c r="AR369" s="267">
        <f t="shared" si="31"/>
        <v>14.998945100546868</v>
      </c>
      <c r="AS369" s="267">
        <f t="shared" si="31"/>
        <v>14.993027768270816</v>
      </c>
      <c r="AT369" s="267">
        <f t="shared" si="31"/>
        <v>14.987110435994763</v>
      </c>
      <c r="AU369" s="267">
        <f t="shared" si="31"/>
        <v>14.981193103718711</v>
      </c>
      <c r="AV369" s="267">
        <f t="shared" si="31"/>
        <v>14.975275771442659</v>
      </c>
      <c r="AW369" s="267">
        <f t="shared" si="31"/>
        <v>14.969358439166607</v>
      </c>
      <c r="AX369" s="268">
        <f>AI369*$B$745</f>
        <v>14.963441106890555</v>
      </c>
      <c r="AY369" s="267">
        <f>AX369+($BM$369-$AX$369)/15</f>
        <v>14.972946595029557</v>
      </c>
      <c r="AZ369" s="267">
        <f t="shared" ref="AZ369:BL369" si="32">AY369+($BM$369-$AX$369)/15</f>
        <v>14.982452083168559</v>
      </c>
      <c r="BA369" s="267">
        <f t="shared" si="32"/>
        <v>14.991957571307561</v>
      </c>
      <c r="BB369" s="267">
        <f t="shared" si="32"/>
        <v>15.001463059446563</v>
      </c>
      <c r="BC369" s="267">
        <f t="shared" si="32"/>
        <v>15.010968547585565</v>
      </c>
      <c r="BD369" s="267">
        <f t="shared" si="32"/>
        <v>15.020474035724567</v>
      </c>
      <c r="BE369" s="267">
        <f t="shared" si="32"/>
        <v>15.029979523863569</v>
      </c>
      <c r="BF369" s="267">
        <f t="shared" si="32"/>
        <v>15.03948501200257</v>
      </c>
      <c r="BG369" s="267">
        <f t="shared" si="32"/>
        <v>15.048990500141572</v>
      </c>
      <c r="BH369" s="267">
        <f t="shared" si="32"/>
        <v>15.058495988280574</v>
      </c>
      <c r="BI369" s="267">
        <f t="shared" si="32"/>
        <v>15.068001476419576</v>
      </c>
      <c r="BJ369" s="267">
        <f t="shared" si="32"/>
        <v>15.077506964558578</v>
      </c>
      <c r="BK369" s="267">
        <f t="shared" si="32"/>
        <v>15.08701245269758</v>
      </c>
      <c r="BL369" s="267">
        <f t="shared" si="32"/>
        <v>15.096517940836582</v>
      </c>
      <c r="BM369" s="268">
        <f>AX369*$C$745</f>
        <v>15.106023428975591</v>
      </c>
      <c r="BN369" s="267">
        <f>BM369+($BR$369-$BM$369)/5</f>
        <v>15.115619492174282</v>
      </c>
      <c r="BO369" s="267">
        <f>BN369+($BR$369-$BM$369)/5</f>
        <v>15.125215555372973</v>
      </c>
      <c r="BP369" s="267">
        <f>BO369+($BR$369-$BM$369)/5</f>
        <v>15.134811618571664</v>
      </c>
      <c r="BQ369" s="267">
        <f>BP369+($BR$369-$BM$369)/5</f>
        <v>15.144407681770355</v>
      </c>
      <c r="BR369" s="268">
        <f>BM369*$D$745</f>
        <v>15.154003744969049</v>
      </c>
    </row>
    <row r="373" spans="1:70" ht="13.5" thickBot="1">
      <c r="A373" s="843" t="s">
        <v>629</v>
      </c>
    </row>
    <row r="374" spans="1:70" ht="13.5" thickBot="1">
      <c r="A374" s="843" t="s">
        <v>630</v>
      </c>
      <c r="AA374" s="269">
        <f>Z544+($AI$374-$Y$544)/10</f>
        <v>11.584123362673006</v>
      </c>
      <c r="AB374" s="269">
        <f t="shared" ref="AB374:AH374" si="33">AA374+($AI$374-$Y$544)/10</f>
        <v>11.952852829654059</v>
      </c>
      <c r="AC374" s="269">
        <f t="shared" si="33"/>
        <v>12.321582296635112</v>
      </c>
      <c r="AD374" s="269">
        <f t="shared" si="33"/>
        <v>12.690311763616165</v>
      </c>
      <c r="AE374" s="269">
        <f t="shared" si="33"/>
        <v>13.059041230597218</v>
      </c>
      <c r="AF374" s="269">
        <f t="shared" si="33"/>
        <v>13.427770697578271</v>
      </c>
      <c r="AG374" s="269">
        <f t="shared" si="33"/>
        <v>13.796500164559324</v>
      </c>
      <c r="AH374" s="269">
        <f t="shared" si="33"/>
        <v>14.165229631540377</v>
      </c>
      <c r="AI374" s="270">
        <f>T544*$E$744</f>
        <v>14.533959098521429</v>
      </c>
      <c r="AJ374" s="269">
        <f>AI374+($AX$374-$AI$374)/15</f>
        <v>14.687791105011014</v>
      </c>
      <c r="AK374" s="269">
        <f t="shared" ref="AK374:AW374" si="34">AJ374+($AX$374-$AI$374)/15</f>
        <v>14.841623111500599</v>
      </c>
      <c r="AL374" s="269">
        <f t="shared" si="34"/>
        <v>14.995455117990184</v>
      </c>
      <c r="AM374" s="269">
        <f t="shared" si="34"/>
        <v>15.14928712447977</v>
      </c>
      <c r="AN374" s="269">
        <f t="shared" si="34"/>
        <v>15.303119130969355</v>
      </c>
      <c r="AO374" s="269">
        <f t="shared" si="34"/>
        <v>15.45695113745894</v>
      </c>
      <c r="AP374" s="269">
        <f t="shared" si="34"/>
        <v>15.610783143948526</v>
      </c>
      <c r="AQ374" s="269">
        <f t="shared" si="34"/>
        <v>15.764615150438111</v>
      </c>
      <c r="AR374" s="269">
        <f t="shared" si="34"/>
        <v>15.918447156927696</v>
      </c>
      <c r="AS374" s="269">
        <f t="shared" si="34"/>
        <v>16.072279163417281</v>
      </c>
      <c r="AT374" s="269">
        <f t="shared" si="34"/>
        <v>16.226111169906865</v>
      </c>
      <c r="AU374" s="269">
        <f t="shared" si="34"/>
        <v>16.379943176396448</v>
      </c>
      <c r="AV374" s="269">
        <f t="shared" si="34"/>
        <v>16.533775182886032</v>
      </c>
      <c r="AW374" s="269">
        <f t="shared" si="34"/>
        <v>16.687607189375615</v>
      </c>
      <c r="AX374" s="270">
        <f>AI374*$B$744</f>
        <v>16.841439195865195</v>
      </c>
      <c r="AY374" s="269">
        <f>AX374+($BM$374-$AX$374)/15</f>
        <v>16.937333989857837</v>
      </c>
      <c r="AZ374" s="269">
        <f t="shared" ref="AZ374:BL374" si="35">AY374+($BM$374-$AX$374)/15</f>
        <v>17.033228783850479</v>
      </c>
      <c r="BA374" s="269">
        <f t="shared" si="35"/>
        <v>17.129123577843121</v>
      </c>
      <c r="BB374" s="269">
        <f t="shared" si="35"/>
        <v>17.225018371835763</v>
      </c>
      <c r="BC374" s="269">
        <f t="shared" si="35"/>
        <v>17.320913165828404</v>
      </c>
      <c r="BD374" s="269">
        <f t="shared" si="35"/>
        <v>17.416807959821046</v>
      </c>
      <c r="BE374" s="269">
        <f t="shared" si="35"/>
        <v>17.512702753813688</v>
      </c>
      <c r="BF374" s="269">
        <f t="shared" si="35"/>
        <v>17.60859754780633</v>
      </c>
      <c r="BG374" s="269">
        <f t="shared" si="35"/>
        <v>17.704492341798971</v>
      </c>
      <c r="BH374" s="269">
        <f t="shared" si="35"/>
        <v>17.800387135791613</v>
      </c>
      <c r="BI374" s="269">
        <f t="shared" si="35"/>
        <v>17.896281929784255</v>
      </c>
      <c r="BJ374" s="269">
        <f t="shared" si="35"/>
        <v>17.992176723776897</v>
      </c>
      <c r="BK374" s="269">
        <f t="shared" si="35"/>
        <v>18.088071517769539</v>
      </c>
      <c r="BL374" s="269">
        <f t="shared" si="35"/>
        <v>18.18396631176218</v>
      </c>
      <c r="BM374" s="270">
        <f>AX374*$C$744</f>
        <v>18.27986110575484</v>
      </c>
      <c r="BN374" s="269">
        <f>BM374+($BR$374-$BM$374)/5</f>
        <v>18.383946243287554</v>
      </c>
      <c r="BO374" s="269">
        <f>BN374+($BR$374-$BM$374)/5</f>
        <v>18.488031380820267</v>
      </c>
      <c r="BP374" s="269">
        <f>BO374+($BR$374-$BM$374)/5</f>
        <v>18.592116518352981</v>
      </c>
      <c r="BQ374" s="269">
        <f>BP374+($BR$374-$BM$374)/5</f>
        <v>18.696201655885694</v>
      </c>
      <c r="BR374" s="270">
        <f>BM374*$D$744</f>
        <v>18.800286793418415</v>
      </c>
    </row>
    <row r="375" spans="1:70" ht="13.5" thickBot="1">
      <c r="A375" s="843" t="s">
        <v>631</v>
      </c>
    </row>
    <row r="376" spans="1:70" ht="13.5" thickBot="1">
      <c r="A376" s="843" t="s">
        <v>727</v>
      </c>
      <c r="AA376" s="269">
        <f>Z546+($AI$376-$Y$546)/10</f>
        <v>13.665763245709009</v>
      </c>
      <c r="AB376" s="269">
        <f t="shared" ref="AB376:AH376" si="36">AA376+($AI$376-$Y$546)/10</f>
        <v>14.091688195895063</v>
      </c>
      <c r="AC376" s="269">
        <f t="shared" si="36"/>
        <v>14.517613146081118</v>
      </c>
      <c r="AD376" s="269">
        <f t="shared" si="36"/>
        <v>14.943538096267172</v>
      </c>
      <c r="AE376" s="269">
        <f t="shared" si="36"/>
        <v>15.369463046453227</v>
      </c>
      <c r="AF376" s="269">
        <f t="shared" si="36"/>
        <v>15.795387996639281</v>
      </c>
      <c r="AG376" s="269">
        <f t="shared" si="36"/>
        <v>16.221312946825336</v>
      </c>
      <c r="AH376" s="269">
        <f t="shared" si="36"/>
        <v>16.64723789701139</v>
      </c>
      <c r="AI376" s="270">
        <f>T546*$E$744</f>
        <v>17.073162847197445</v>
      </c>
      <c r="AJ376" s="269">
        <f>AI376+($AX$376-$AI$376)/15</f>
        <v>17.253870586919582</v>
      </c>
      <c r="AK376" s="269">
        <f t="shared" ref="AK376:AW376" si="37">AJ376+($AX$376-$AI$376)/15</f>
        <v>17.43457832664172</v>
      </c>
      <c r="AL376" s="269">
        <f t="shared" si="37"/>
        <v>17.615286066363858</v>
      </c>
      <c r="AM376" s="269">
        <f t="shared" si="37"/>
        <v>17.795993806085995</v>
      </c>
      <c r="AN376" s="269">
        <f t="shared" si="37"/>
        <v>17.976701545808133</v>
      </c>
      <c r="AO376" s="269">
        <f t="shared" si="37"/>
        <v>18.157409285530271</v>
      </c>
      <c r="AP376" s="269">
        <f t="shared" si="37"/>
        <v>18.338117025252409</v>
      </c>
      <c r="AQ376" s="269">
        <f t="shared" si="37"/>
        <v>18.518824764974546</v>
      </c>
      <c r="AR376" s="269">
        <f t="shared" si="37"/>
        <v>18.699532504696684</v>
      </c>
      <c r="AS376" s="269">
        <f t="shared" si="37"/>
        <v>18.880240244418822</v>
      </c>
      <c r="AT376" s="269">
        <f t="shared" si="37"/>
        <v>19.060947984140959</v>
      </c>
      <c r="AU376" s="269">
        <f t="shared" si="37"/>
        <v>19.241655723863097</v>
      </c>
      <c r="AV376" s="269">
        <f t="shared" si="37"/>
        <v>19.422363463585235</v>
      </c>
      <c r="AW376" s="269">
        <f t="shared" si="37"/>
        <v>19.603071203307373</v>
      </c>
      <c r="AX376" s="270">
        <f>AI376*$B$744</f>
        <v>19.783778943029514</v>
      </c>
      <c r="AY376" s="269">
        <f>AX376+($BM$376-$AX$376)/15</f>
        <v>19.896427356509733</v>
      </c>
      <c r="AZ376" s="269">
        <f t="shared" ref="AZ376:BL376" si="38">AY376+($BM$376-$AX$376)/15</f>
        <v>20.009075769989952</v>
      </c>
      <c r="BA376" s="269">
        <f t="shared" si="38"/>
        <v>20.121724183470171</v>
      </c>
      <c r="BB376" s="269">
        <f t="shared" si="38"/>
        <v>20.23437259695039</v>
      </c>
      <c r="BC376" s="269">
        <f t="shared" si="38"/>
        <v>20.347021010430609</v>
      </c>
      <c r="BD376" s="269">
        <f t="shared" si="38"/>
        <v>20.459669423910828</v>
      </c>
      <c r="BE376" s="269">
        <f t="shared" si="38"/>
        <v>20.572317837391047</v>
      </c>
      <c r="BF376" s="269">
        <f t="shared" si="38"/>
        <v>20.684966250871266</v>
      </c>
      <c r="BG376" s="269">
        <f t="shared" si="38"/>
        <v>20.797614664351485</v>
      </c>
      <c r="BH376" s="269">
        <f t="shared" si="38"/>
        <v>20.910263077831704</v>
      </c>
      <c r="BI376" s="269">
        <f t="shared" si="38"/>
        <v>21.022911491311923</v>
      </c>
      <c r="BJ376" s="269">
        <f t="shared" si="38"/>
        <v>21.135559904792142</v>
      </c>
      <c r="BK376" s="269">
        <f t="shared" si="38"/>
        <v>21.248208318272361</v>
      </c>
      <c r="BL376" s="269">
        <f t="shared" si="38"/>
        <v>21.36085673175258</v>
      </c>
      <c r="BM376" s="270">
        <f>AX376*$C$744</f>
        <v>21.47350514523281</v>
      </c>
      <c r="BN376" s="269">
        <f>BM376+($BR$376-$BM$376)/5</f>
        <v>21.595774823509927</v>
      </c>
      <c r="BO376" s="269">
        <f>BN376+($BR$376-$BM$376)/5</f>
        <v>21.718044501787045</v>
      </c>
      <c r="BP376" s="269">
        <f>BO376+($BR$376-$BM$376)/5</f>
        <v>21.840314180064162</v>
      </c>
      <c r="BQ376" s="269">
        <f>BP376+($BR$376-$BM$376)/5</f>
        <v>21.962583858341279</v>
      </c>
      <c r="BR376" s="270">
        <f>BM376*$D$744</f>
        <v>22.084853536618393</v>
      </c>
    </row>
    <row r="377" spans="1:70">
      <c r="A377" s="843" t="s">
        <v>728</v>
      </c>
    </row>
    <row r="378" spans="1:70">
      <c r="A378" s="843" t="s">
        <v>648</v>
      </c>
    </row>
    <row r="379" spans="1:70" ht="13.5" thickBot="1">
      <c r="A379" s="843" t="s">
        <v>649</v>
      </c>
    </row>
    <row r="380" spans="1:70" ht="13.5" thickBot="1">
      <c r="A380" s="843" t="s">
        <v>650</v>
      </c>
      <c r="AA380" s="271">
        <f>Z550+($AI$380-$Y$550)/10</f>
        <v>17.944433063730909</v>
      </c>
      <c r="AB380" s="271">
        <f t="shared" ref="AB380:AH380" si="39">AA380+($AI$380-$Y$550)/10</f>
        <v>17.852387205459664</v>
      </c>
      <c r="AC380" s="271">
        <f t="shared" si="39"/>
        <v>17.760341347188419</v>
      </c>
      <c r="AD380" s="271">
        <f t="shared" si="39"/>
        <v>17.668295488917174</v>
      </c>
      <c r="AE380" s="271">
        <f t="shared" si="39"/>
        <v>17.576249630645929</v>
      </c>
      <c r="AF380" s="271">
        <f t="shared" si="39"/>
        <v>17.484203772374684</v>
      </c>
      <c r="AG380" s="271">
        <f t="shared" si="39"/>
        <v>17.392157914103439</v>
      </c>
      <c r="AH380" s="271">
        <f t="shared" si="39"/>
        <v>17.300112055832194</v>
      </c>
      <c r="AI380" s="272">
        <f>T550*$E$747</f>
        <v>17.208066197560942</v>
      </c>
      <c r="AJ380" s="271">
        <f>AI380+($AX$380-$AI$380)/15</f>
        <v>17.219509839491277</v>
      </c>
      <c r="AK380" s="271">
        <f t="shared" ref="AK380:AW380" si="40">AJ380+($AX$380-$AI$380)/15</f>
        <v>17.230953481421611</v>
      </c>
      <c r="AL380" s="271">
        <f t="shared" si="40"/>
        <v>17.242397123351946</v>
      </c>
      <c r="AM380" s="271">
        <f t="shared" si="40"/>
        <v>17.253840765282281</v>
      </c>
      <c r="AN380" s="271">
        <f t="shared" si="40"/>
        <v>17.265284407212615</v>
      </c>
      <c r="AO380" s="271">
        <f t="shared" si="40"/>
        <v>17.27672804914295</v>
      </c>
      <c r="AP380" s="271">
        <f t="shared" si="40"/>
        <v>17.288171691073284</v>
      </c>
      <c r="AQ380" s="271">
        <f t="shared" si="40"/>
        <v>17.299615333003619</v>
      </c>
      <c r="AR380" s="271">
        <f t="shared" si="40"/>
        <v>17.311058974933953</v>
      </c>
      <c r="AS380" s="271">
        <f t="shared" si="40"/>
        <v>17.322502616864288</v>
      </c>
      <c r="AT380" s="271">
        <f t="shared" si="40"/>
        <v>17.333946258794622</v>
      </c>
      <c r="AU380" s="271">
        <f t="shared" si="40"/>
        <v>17.345389900724957</v>
      </c>
      <c r="AV380" s="271">
        <f t="shared" si="40"/>
        <v>17.356833542655291</v>
      </c>
      <c r="AW380" s="271">
        <f t="shared" si="40"/>
        <v>17.368277184585626</v>
      </c>
      <c r="AX380" s="272">
        <f>AI380*$B$747</f>
        <v>17.379720826515971</v>
      </c>
      <c r="AY380" s="271">
        <f>AX380+($BM$380-$AX$380)/15</f>
        <v>17.385626979648983</v>
      </c>
      <c r="AZ380" s="271">
        <f t="shared" ref="AZ380:BL380" si="41">AY380+($BM$380-$AX$380)/15</f>
        <v>17.391533132781994</v>
      </c>
      <c r="BA380" s="271">
        <f t="shared" si="41"/>
        <v>17.397439285915006</v>
      </c>
      <c r="BB380" s="271">
        <f t="shared" si="41"/>
        <v>17.403345439048017</v>
      </c>
      <c r="BC380" s="271">
        <f t="shared" si="41"/>
        <v>17.409251592181029</v>
      </c>
      <c r="BD380" s="271">
        <f t="shared" si="41"/>
        <v>17.41515774531404</v>
      </c>
      <c r="BE380" s="271">
        <f t="shared" si="41"/>
        <v>17.421063898447052</v>
      </c>
      <c r="BF380" s="271">
        <f t="shared" si="41"/>
        <v>17.426970051580064</v>
      </c>
      <c r="BG380" s="271">
        <f t="shared" si="41"/>
        <v>17.432876204713075</v>
      </c>
      <c r="BH380" s="271">
        <f t="shared" si="41"/>
        <v>17.438782357846087</v>
      </c>
      <c r="BI380" s="271">
        <f t="shared" si="41"/>
        <v>17.444688510979098</v>
      </c>
      <c r="BJ380" s="271">
        <f t="shared" si="41"/>
        <v>17.45059466411211</v>
      </c>
      <c r="BK380" s="271">
        <f t="shared" si="41"/>
        <v>17.456500817245121</v>
      </c>
      <c r="BL380" s="271">
        <f t="shared" si="41"/>
        <v>17.462406970378133</v>
      </c>
      <c r="BM380" s="272">
        <f>AX380*$C$747</f>
        <v>17.468313123511169</v>
      </c>
      <c r="BN380" s="271">
        <f>BM380+($BR$380-$BM$380)/5</f>
        <v>17.474249382977746</v>
      </c>
      <c r="BO380" s="271">
        <f>BN380+($BR$380-$BM$380)/5</f>
        <v>17.480185642444322</v>
      </c>
      <c r="BP380" s="271">
        <f>BO380+($BR$380-$BM$380)/5</f>
        <v>17.486121901910899</v>
      </c>
      <c r="BQ380" s="271">
        <f>BP380+($BR$380-$BM$380)/5</f>
        <v>17.492058161377475</v>
      </c>
      <c r="BR380" s="272">
        <f>BM380*$D$747</f>
        <v>17.497994420844059</v>
      </c>
    </row>
    <row r="381" spans="1:70">
      <c r="A381" s="843" t="s">
        <v>651</v>
      </c>
    </row>
    <row r="382" spans="1:70">
      <c r="A382" s="843" t="s">
        <v>652</v>
      </c>
    </row>
    <row r="383" spans="1:70">
      <c r="A383" s="843" t="s">
        <v>653</v>
      </c>
    </row>
    <row r="384" spans="1:70">
      <c r="A384" s="843" t="s">
        <v>544</v>
      </c>
    </row>
    <row r="385" spans="1:70">
      <c r="A385" s="843" t="s">
        <v>729</v>
      </c>
    </row>
    <row r="386" spans="1:70">
      <c r="A386" s="843" t="s">
        <v>730</v>
      </c>
    </row>
    <row r="387" spans="1:70">
      <c r="A387" s="843" t="s">
        <v>731</v>
      </c>
    </row>
    <row r="388" spans="1:70">
      <c r="A388" s="843" t="s">
        <v>732</v>
      </c>
    </row>
    <row r="389" spans="1:70">
      <c r="A389" s="843" t="s">
        <v>733</v>
      </c>
    </row>
    <row r="390" spans="1:70">
      <c r="A390" s="843" t="s">
        <v>734</v>
      </c>
    </row>
    <row r="391" spans="1:70" ht="13.5" thickBot="1">
      <c r="A391" s="843" t="s">
        <v>735</v>
      </c>
    </row>
    <row r="392" spans="1:70" ht="13.5" thickBot="1">
      <c r="A392" s="843" t="s">
        <v>736</v>
      </c>
      <c r="AA392" s="265">
        <f>Z562+($AI$392-$Y$562)/10</f>
        <v>5.5024940130181221</v>
      </c>
      <c r="AB392" s="265">
        <f t="shared" ref="AB392:AH392" si="42">AA392+($AI$392-$Y$562)/10</f>
        <v>5.5327298577229831</v>
      </c>
      <c r="AC392" s="265">
        <f t="shared" si="42"/>
        <v>5.5629657024278441</v>
      </c>
      <c r="AD392" s="265">
        <f t="shared" si="42"/>
        <v>5.593201547132705</v>
      </c>
      <c r="AE392" s="265">
        <f t="shared" si="42"/>
        <v>5.623437391837566</v>
      </c>
      <c r="AF392" s="265">
        <f t="shared" si="42"/>
        <v>5.6536732365424269</v>
      </c>
      <c r="AG392" s="265">
        <f t="shared" si="42"/>
        <v>5.6839090812472879</v>
      </c>
      <c r="AH392" s="265">
        <f t="shared" si="42"/>
        <v>5.7141449259521488</v>
      </c>
      <c r="AI392" s="266">
        <f>T562*$E$742</f>
        <v>5.7443807706570116</v>
      </c>
      <c r="AJ392" s="265">
        <f>AI392+($AX$392-$AI$392)/15</f>
        <v>5.809402940121136</v>
      </c>
      <c r="AK392" s="265">
        <f t="shared" ref="AK392:AW392" si="43">AJ392+($AX$392-$AI$392)/15</f>
        <v>5.8744251095852604</v>
      </c>
      <c r="AL392" s="265">
        <f t="shared" si="43"/>
        <v>5.9394472790493849</v>
      </c>
      <c r="AM392" s="265">
        <f t="shared" si="43"/>
        <v>6.0044694485135093</v>
      </c>
      <c r="AN392" s="265">
        <f t="shared" si="43"/>
        <v>6.0694916179776337</v>
      </c>
      <c r="AO392" s="265">
        <f t="shared" si="43"/>
        <v>6.1345137874417581</v>
      </c>
      <c r="AP392" s="265">
        <f t="shared" si="43"/>
        <v>6.1995359569058825</v>
      </c>
      <c r="AQ392" s="265">
        <f t="shared" si="43"/>
        <v>6.264558126370007</v>
      </c>
      <c r="AR392" s="265">
        <f t="shared" si="43"/>
        <v>6.3295802958341314</v>
      </c>
      <c r="AS392" s="265">
        <f t="shared" si="43"/>
        <v>6.3946024652982558</v>
      </c>
      <c r="AT392" s="265">
        <f t="shared" si="43"/>
        <v>6.4596246347623802</v>
      </c>
      <c r="AU392" s="265">
        <f t="shared" si="43"/>
        <v>6.5246468042265047</v>
      </c>
      <c r="AV392" s="265">
        <f t="shared" si="43"/>
        <v>6.5896689736906291</v>
      </c>
      <c r="AW392" s="265">
        <f t="shared" si="43"/>
        <v>6.6546911431547535</v>
      </c>
      <c r="AX392" s="266">
        <f>AI392*$B$742</f>
        <v>6.7197133126188779</v>
      </c>
      <c r="AY392" s="265">
        <f>AX392+($BM$392-$AX$392)/15</f>
        <v>6.7862502559294402</v>
      </c>
      <c r="AZ392" s="265">
        <f t="shared" ref="AZ392:BL392" si="44">AY392+($BM$392-$AX$392)/15</f>
        <v>6.8527871992400025</v>
      </c>
      <c r="BA392" s="265">
        <f t="shared" si="44"/>
        <v>6.9193241425505647</v>
      </c>
      <c r="BB392" s="265">
        <f t="shared" si="44"/>
        <v>6.985861085861127</v>
      </c>
      <c r="BC392" s="265">
        <f t="shared" si="44"/>
        <v>7.0523980291716892</v>
      </c>
      <c r="BD392" s="265">
        <f t="shared" si="44"/>
        <v>7.1189349724822515</v>
      </c>
      <c r="BE392" s="265">
        <f t="shared" si="44"/>
        <v>7.1854719157928137</v>
      </c>
      <c r="BF392" s="265">
        <f t="shared" si="44"/>
        <v>7.252008859103376</v>
      </c>
      <c r="BG392" s="265">
        <f t="shared" si="44"/>
        <v>7.3185458024139383</v>
      </c>
      <c r="BH392" s="265">
        <f t="shared" si="44"/>
        <v>7.3850827457245005</v>
      </c>
      <c r="BI392" s="265">
        <f t="shared" si="44"/>
        <v>7.4516196890350628</v>
      </c>
      <c r="BJ392" s="265">
        <f t="shared" si="44"/>
        <v>7.518156632345625</v>
      </c>
      <c r="BK392" s="265">
        <f t="shared" si="44"/>
        <v>7.5846935756561873</v>
      </c>
      <c r="BL392" s="265">
        <f t="shared" si="44"/>
        <v>7.6512305189667495</v>
      </c>
      <c r="BM392" s="266">
        <f>AX392*$C$742</f>
        <v>7.7177674622773127</v>
      </c>
      <c r="BN392" s="265">
        <f>BM392+($BR$392-$BM$392)/5</f>
        <v>7.7941868915344088</v>
      </c>
      <c r="BO392" s="265">
        <f>BN392+($BR$392-$BM$392)/5</f>
        <v>7.8706063207915049</v>
      </c>
      <c r="BP392" s="265">
        <f>BO392+($BR$392-$BM$392)/5</f>
        <v>7.947025750048601</v>
      </c>
      <c r="BQ392" s="265">
        <f>BP392+($BR$392-$BM$392)/5</f>
        <v>8.023445179305698</v>
      </c>
      <c r="BR392" s="266">
        <f>BM392*$D$742</f>
        <v>8.099864608562795</v>
      </c>
    </row>
    <row r="393" spans="1:70" ht="13.5" thickBot="1">
      <c r="A393" s="843" t="s">
        <v>737</v>
      </c>
      <c r="AA393" s="273">
        <f>Z563+($AI$393-$Y$563)/10</f>
        <v>1.3116492415795387</v>
      </c>
      <c r="AB393" s="273">
        <f t="shared" ref="AB393:AH393" si="45">AA393+($AI$393-$Y$563)/10</f>
        <v>1.314474997718583</v>
      </c>
      <c r="AC393" s="273">
        <f t="shared" si="45"/>
        <v>1.3173007538576273</v>
      </c>
      <c r="AD393" s="273">
        <f t="shared" si="45"/>
        <v>1.3201265099966717</v>
      </c>
      <c r="AE393" s="273">
        <f t="shared" si="45"/>
        <v>1.322952266135716</v>
      </c>
      <c r="AF393" s="273">
        <f t="shared" si="45"/>
        <v>1.3257780222747604</v>
      </c>
      <c r="AG393" s="273">
        <f t="shared" si="45"/>
        <v>1.3286037784138047</v>
      </c>
      <c r="AH393" s="273">
        <f t="shared" si="45"/>
        <v>1.3314295345528491</v>
      </c>
      <c r="AI393" s="274">
        <f>T563*$E$740</f>
        <v>1.3342552906918941</v>
      </c>
      <c r="AJ393" s="273">
        <f>AI393+($AX$393-$AI$393)/15</f>
        <v>1.3381671025139799</v>
      </c>
      <c r="AK393" s="273">
        <f t="shared" ref="AK393:AW393" si="46">AJ393+($AX$393-$AI$393)/15</f>
        <v>1.3420789143360656</v>
      </c>
      <c r="AL393" s="273">
        <f t="shared" si="46"/>
        <v>1.3459907261581514</v>
      </c>
      <c r="AM393" s="273">
        <f t="shared" si="46"/>
        <v>1.3499025379802372</v>
      </c>
      <c r="AN393" s="273">
        <f t="shared" si="46"/>
        <v>1.353814349802323</v>
      </c>
      <c r="AO393" s="273">
        <f t="shared" si="46"/>
        <v>1.3577261616244087</v>
      </c>
      <c r="AP393" s="273">
        <f t="shared" si="46"/>
        <v>1.3616379734464945</v>
      </c>
      <c r="AQ393" s="273">
        <f t="shared" si="46"/>
        <v>1.3655497852685803</v>
      </c>
      <c r="AR393" s="273">
        <f t="shared" si="46"/>
        <v>1.3694615970906661</v>
      </c>
      <c r="AS393" s="273">
        <f t="shared" si="46"/>
        <v>1.3733734089127518</v>
      </c>
      <c r="AT393" s="273">
        <f t="shared" si="46"/>
        <v>1.3772852207348376</v>
      </c>
      <c r="AU393" s="273">
        <f t="shared" si="46"/>
        <v>1.3811970325569234</v>
      </c>
      <c r="AV393" s="273">
        <f t="shared" si="46"/>
        <v>1.3851088443790092</v>
      </c>
      <c r="AW393" s="273">
        <f t="shared" si="46"/>
        <v>1.3890206562010949</v>
      </c>
      <c r="AX393" s="274">
        <f>AI393*$B$740</f>
        <v>1.3929324680231794</v>
      </c>
      <c r="AY393" s="273">
        <f>AX393+($BM$393-$AX$393)/15</f>
        <v>1.3955742685410359</v>
      </c>
      <c r="AZ393" s="273">
        <f t="shared" ref="AZ393:BL393" si="47">AY393+($BM$393-$AX$393)/15</f>
        <v>1.3982160690588925</v>
      </c>
      <c r="BA393" s="273">
        <f t="shared" si="47"/>
        <v>1.4008578695767491</v>
      </c>
      <c r="BB393" s="273">
        <f t="shared" si="47"/>
        <v>1.4034996700946056</v>
      </c>
      <c r="BC393" s="273">
        <f t="shared" si="47"/>
        <v>1.4061414706124622</v>
      </c>
      <c r="BD393" s="273">
        <f t="shared" si="47"/>
        <v>1.4087832711303188</v>
      </c>
      <c r="BE393" s="273">
        <f t="shared" si="47"/>
        <v>1.4114250716481753</v>
      </c>
      <c r="BF393" s="273">
        <f t="shared" si="47"/>
        <v>1.4140668721660319</v>
      </c>
      <c r="BG393" s="273">
        <f t="shared" si="47"/>
        <v>1.4167086726838884</v>
      </c>
      <c r="BH393" s="273">
        <f t="shared" si="47"/>
        <v>1.419350473201745</v>
      </c>
      <c r="BI393" s="273">
        <f t="shared" si="47"/>
        <v>1.4219922737196016</v>
      </c>
      <c r="BJ393" s="273">
        <f t="shared" si="47"/>
        <v>1.4246340742374581</v>
      </c>
      <c r="BK393" s="273">
        <f t="shared" si="47"/>
        <v>1.4272758747553147</v>
      </c>
      <c r="BL393" s="273">
        <f t="shared" si="47"/>
        <v>1.4299176752731713</v>
      </c>
      <c r="BM393" s="274">
        <f>AX393*$C$740</f>
        <v>1.4325594757910274</v>
      </c>
      <c r="BN393" s="273">
        <f>BM393+($BR$393-$BM$393)/5</f>
        <v>1.4352764318903966</v>
      </c>
      <c r="BO393" s="273">
        <f>BN393+($BR$393-$BM$393)/5</f>
        <v>1.4379933879897657</v>
      </c>
      <c r="BP393" s="273">
        <f>BO393+($BR$393-$BM$393)/5</f>
        <v>1.4407103440891349</v>
      </c>
      <c r="BQ393" s="273">
        <f>BP393+($BR$393-$BM$393)/5</f>
        <v>1.4434273001885041</v>
      </c>
      <c r="BR393" s="274">
        <f>BM393*$D$740</f>
        <v>1.4461442562878735</v>
      </c>
    </row>
    <row r="394" spans="1:70">
      <c r="A394" s="843" t="s">
        <v>738</v>
      </c>
    </row>
    <row r="395" spans="1:70">
      <c r="A395" s="843" t="s">
        <v>739</v>
      </c>
    </row>
    <row r="396" spans="1:70">
      <c r="A396" s="843" t="s">
        <v>740</v>
      </c>
    </row>
    <row r="397" spans="1:70">
      <c r="A397" s="843" t="s">
        <v>741</v>
      </c>
    </row>
    <row r="403" spans="1:26">
      <c r="A403" s="287" t="s">
        <v>859</v>
      </c>
      <c r="B403" s="287"/>
      <c r="C403" s="287"/>
      <c r="D403" s="287"/>
      <c r="E403" s="287"/>
      <c r="F403" s="287"/>
      <c r="G403" s="287"/>
      <c r="H403" s="287"/>
      <c r="I403" s="287"/>
      <c r="J403" s="287"/>
      <c r="K403" s="287"/>
      <c r="L403" s="287"/>
      <c r="M403" s="287"/>
      <c r="N403" s="287"/>
      <c r="O403" s="287"/>
      <c r="P403" s="287"/>
      <c r="Q403" s="287"/>
      <c r="R403" s="287"/>
      <c r="S403" s="287"/>
      <c r="T403" s="287"/>
      <c r="U403" s="287"/>
      <c r="V403" s="287"/>
      <c r="W403" s="287"/>
      <c r="X403" s="287"/>
      <c r="Y403" s="287"/>
      <c r="Z403" s="287"/>
    </row>
    <row r="404" spans="1:26">
      <c r="A404" s="287" t="s">
        <v>600</v>
      </c>
      <c r="B404" s="287"/>
      <c r="C404" s="287"/>
      <c r="D404" s="287"/>
      <c r="E404" s="287"/>
      <c r="F404" s="287"/>
      <c r="G404" s="287"/>
      <c r="H404" s="287"/>
      <c r="I404" s="287"/>
      <c r="J404" s="287"/>
      <c r="K404" s="287"/>
      <c r="L404" s="287"/>
      <c r="M404" s="287"/>
      <c r="N404" s="287"/>
      <c r="O404" s="287"/>
      <c r="P404" s="287"/>
      <c r="Q404" s="287"/>
      <c r="R404" s="287"/>
      <c r="S404" s="287"/>
      <c r="T404" s="287"/>
      <c r="U404" s="287"/>
      <c r="V404" s="287"/>
      <c r="W404" s="287"/>
      <c r="X404" s="287"/>
      <c r="Y404" s="287"/>
      <c r="Z404" s="287"/>
    </row>
    <row r="405" spans="1:26">
      <c r="A405" s="287" t="s">
        <v>601</v>
      </c>
      <c r="B405" s="287"/>
      <c r="C405" s="287"/>
      <c r="D405" s="287"/>
      <c r="E405" s="287"/>
      <c r="F405" s="287"/>
      <c r="G405" s="287"/>
      <c r="H405" s="287"/>
      <c r="I405" s="287"/>
      <c r="J405" s="287"/>
      <c r="K405" s="287"/>
      <c r="L405" s="287"/>
      <c r="M405" s="287"/>
      <c r="N405" s="287"/>
      <c r="O405" s="287"/>
      <c r="P405" s="287"/>
      <c r="Q405" s="287"/>
      <c r="R405" s="287"/>
      <c r="S405" s="287"/>
      <c r="T405" s="287"/>
      <c r="U405" s="287"/>
      <c r="V405" s="287"/>
      <c r="W405" s="287"/>
      <c r="X405" s="287"/>
      <c r="Y405" s="287"/>
      <c r="Z405" s="287"/>
    </row>
    <row r="406" spans="1:26">
      <c r="A406" s="287"/>
      <c r="B406" s="287"/>
      <c r="C406" s="287"/>
      <c r="D406" s="287"/>
      <c r="E406" s="287"/>
      <c r="F406" s="287"/>
      <c r="G406" s="287"/>
      <c r="H406" s="287"/>
      <c r="I406" s="287"/>
      <c r="J406" s="287"/>
      <c r="K406" s="287"/>
      <c r="L406" s="287"/>
      <c r="M406" s="287"/>
      <c r="N406" s="287"/>
      <c r="O406" s="287"/>
      <c r="P406" s="287"/>
      <c r="Q406" s="287"/>
      <c r="R406" s="287"/>
      <c r="S406" s="287"/>
      <c r="T406" s="287"/>
      <c r="U406" s="287"/>
      <c r="V406" s="287"/>
      <c r="W406" s="287"/>
      <c r="X406" s="287"/>
      <c r="Y406" s="287"/>
      <c r="Z406" s="287"/>
    </row>
    <row r="407" spans="1:26">
      <c r="A407" s="287" t="s">
        <v>446</v>
      </c>
      <c r="B407" s="287"/>
      <c r="C407" s="287"/>
      <c r="D407" s="287"/>
      <c r="E407" s="287"/>
      <c r="F407" s="287"/>
      <c r="G407" s="287"/>
      <c r="H407" s="287"/>
      <c r="I407" s="287"/>
      <c r="J407" s="287"/>
      <c r="K407" s="287"/>
      <c r="L407" s="287"/>
      <c r="M407" s="287"/>
      <c r="N407" s="287"/>
      <c r="O407" s="287"/>
      <c r="P407" s="287"/>
      <c r="Q407" s="287"/>
      <c r="R407" s="287"/>
      <c r="S407" s="287"/>
      <c r="T407" s="287"/>
      <c r="U407" s="287"/>
      <c r="V407" s="287"/>
      <c r="W407" s="287"/>
      <c r="X407" s="287"/>
      <c r="Y407" s="287"/>
      <c r="Z407" s="287"/>
    </row>
    <row r="408" spans="1:26">
      <c r="A408" s="287" t="s">
        <v>602</v>
      </c>
      <c r="B408" s="287"/>
      <c r="C408" s="287"/>
      <c r="D408" s="287"/>
      <c r="E408" s="287"/>
      <c r="F408" s="287"/>
      <c r="G408" s="287"/>
      <c r="H408" s="287"/>
      <c r="I408" s="287"/>
      <c r="J408" s="287"/>
      <c r="K408" s="287"/>
      <c r="L408" s="287"/>
      <c r="M408" s="287"/>
      <c r="N408" s="287"/>
      <c r="O408" s="287"/>
      <c r="P408" s="287"/>
      <c r="Q408" s="287"/>
      <c r="R408" s="287"/>
      <c r="S408" s="287"/>
      <c r="T408" s="287"/>
      <c r="U408" s="287"/>
      <c r="V408" s="287"/>
      <c r="W408" s="287"/>
      <c r="X408" s="287"/>
      <c r="Y408" s="287"/>
      <c r="Z408" s="287"/>
    </row>
    <row r="409" spans="1:26">
      <c r="A409" s="287"/>
      <c r="B409" s="287"/>
      <c r="C409" s="287"/>
      <c r="D409" s="287"/>
      <c r="E409" s="287"/>
      <c r="F409" s="287"/>
      <c r="G409" s="287"/>
      <c r="H409" s="287"/>
      <c r="I409" s="287"/>
      <c r="J409" s="287"/>
      <c r="K409" s="287"/>
      <c r="L409" s="287"/>
      <c r="M409" s="287"/>
      <c r="N409" s="287"/>
      <c r="O409" s="287"/>
      <c r="P409" s="287"/>
      <c r="Q409" s="287"/>
      <c r="R409" s="287"/>
      <c r="S409" s="287"/>
      <c r="T409" s="287"/>
      <c r="U409" s="287"/>
      <c r="V409" s="287"/>
      <c r="W409" s="287"/>
      <c r="X409" s="287"/>
      <c r="Y409" s="287"/>
      <c r="Z409" s="287"/>
    </row>
    <row r="410" spans="1:26">
      <c r="A410" s="287"/>
      <c r="B410" s="287"/>
      <c r="C410" s="287"/>
      <c r="D410" s="287"/>
      <c r="E410" s="287"/>
      <c r="F410" s="287"/>
      <c r="G410" s="287"/>
      <c r="H410" s="287"/>
      <c r="I410" s="287"/>
      <c r="J410" s="287"/>
      <c r="K410" s="287"/>
      <c r="L410" s="287"/>
      <c r="M410" s="287"/>
      <c r="N410" s="287"/>
      <c r="O410" s="287"/>
      <c r="P410" s="287"/>
      <c r="Q410" s="287"/>
      <c r="R410" s="287"/>
      <c r="S410" s="287"/>
      <c r="T410" s="287"/>
      <c r="U410" s="287"/>
      <c r="V410" s="287"/>
      <c r="W410" s="287"/>
      <c r="X410" s="287"/>
      <c r="Y410" s="287"/>
      <c r="Z410" s="287"/>
    </row>
    <row r="411" spans="1:26">
      <c r="A411" s="287"/>
      <c r="B411" s="287"/>
      <c r="C411" s="287"/>
      <c r="D411" s="287"/>
      <c r="E411" s="287"/>
      <c r="F411" s="287"/>
      <c r="G411" s="287"/>
      <c r="H411" s="287"/>
      <c r="I411" s="287"/>
      <c r="J411" s="287"/>
      <c r="K411" s="287"/>
      <c r="L411" s="287"/>
      <c r="M411" s="287"/>
      <c r="N411" s="287"/>
      <c r="O411" s="287"/>
      <c r="P411" s="287"/>
      <c r="Q411" s="287"/>
      <c r="R411" s="287"/>
      <c r="S411" s="287"/>
      <c r="T411" s="287"/>
      <c r="U411" s="287"/>
      <c r="V411" s="287"/>
      <c r="W411" s="287"/>
      <c r="X411" s="287"/>
      <c r="Y411" s="287"/>
      <c r="Z411" s="287"/>
    </row>
    <row r="412" spans="1:26">
      <c r="A412" s="287"/>
      <c r="B412" s="287"/>
      <c r="C412" s="287"/>
      <c r="D412" s="287" t="s">
        <v>450</v>
      </c>
      <c r="E412" s="287" t="s">
        <v>451</v>
      </c>
      <c r="F412" s="287" t="s">
        <v>452</v>
      </c>
      <c r="G412" s="287" t="s">
        <v>453</v>
      </c>
      <c r="H412" s="287" t="s">
        <v>454</v>
      </c>
      <c r="I412" s="287" t="s">
        <v>455</v>
      </c>
      <c r="J412" s="287" t="s">
        <v>456</v>
      </c>
      <c r="K412" s="287" t="s">
        <v>457</v>
      </c>
      <c r="L412" s="287" t="s">
        <v>458</v>
      </c>
      <c r="M412" s="287" t="s">
        <v>459</v>
      </c>
      <c r="N412" s="287" t="s">
        <v>460</v>
      </c>
      <c r="O412" s="287" t="s">
        <v>461</v>
      </c>
      <c r="P412" s="287" t="s">
        <v>462</v>
      </c>
      <c r="Q412" s="287" t="s">
        <v>463</v>
      </c>
      <c r="R412" s="287" t="s">
        <v>464</v>
      </c>
      <c r="S412" s="287" t="s">
        <v>465</v>
      </c>
      <c r="T412" s="287" t="s">
        <v>466</v>
      </c>
      <c r="U412" s="287" t="s">
        <v>467</v>
      </c>
      <c r="V412" s="287" t="s">
        <v>468</v>
      </c>
      <c r="W412" s="287" t="s">
        <v>469</v>
      </c>
      <c r="X412" s="287" t="s">
        <v>470</v>
      </c>
      <c r="Y412" s="287" t="s">
        <v>471</v>
      </c>
      <c r="Z412" s="287" t="s">
        <v>603</v>
      </c>
    </row>
    <row r="413" spans="1:26">
      <c r="A413" s="287"/>
      <c r="B413" s="287"/>
      <c r="C413" s="287"/>
      <c r="D413" s="287"/>
      <c r="E413" s="287"/>
      <c r="F413" s="287"/>
      <c r="G413" s="287"/>
      <c r="H413" s="287"/>
      <c r="I413" s="287"/>
      <c r="J413" s="287"/>
      <c r="K413" s="287"/>
      <c r="L413" s="287"/>
      <c r="M413" s="287"/>
      <c r="N413" s="287"/>
      <c r="O413" s="287"/>
      <c r="P413" s="287"/>
      <c r="Q413" s="287"/>
      <c r="R413" s="287"/>
      <c r="S413" s="287"/>
      <c r="T413" s="287"/>
      <c r="U413" s="287"/>
      <c r="V413" s="287"/>
      <c r="W413" s="287"/>
      <c r="X413" s="287"/>
      <c r="Y413" s="287"/>
      <c r="Z413" s="287"/>
    </row>
    <row r="414" spans="1:26">
      <c r="A414" s="287"/>
      <c r="B414" s="287"/>
      <c r="C414" s="287"/>
      <c r="D414" s="287"/>
      <c r="E414" s="287"/>
      <c r="F414" s="287"/>
      <c r="G414" s="287"/>
      <c r="H414" s="287"/>
      <c r="I414" s="287"/>
      <c r="J414" s="287"/>
      <c r="K414" s="287"/>
      <c r="L414" s="287"/>
      <c r="M414" s="287"/>
      <c r="N414" s="287"/>
      <c r="O414" s="287"/>
      <c r="P414" s="287"/>
      <c r="Q414" s="287"/>
      <c r="R414" s="287"/>
      <c r="S414" s="287"/>
      <c r="T414" s="287"/>
      <c r="U414" s="287"/>
      <c r="V414" s="287"/>
      <c r="W414" s="287"/>
      <c r="X414" s="287"/>
      <c r="Y414" s="287"/>
      <c r="Z414" s="287"/>
    </row>
    <row r="415" spans="1:26">
      <c r="A415" s="287" t="s">
        <v>472</v>
      </c>
      <c r="B415" s="287"/>
      <c r="C415" s="287"/>
      <c r="D415" s="287"/>
      <c r="E415" s="287"/>
      <c r="F415" s="287"/>
      <c r="G415" s="287"/>
      <c r="H415" s="287"/>
      <c r="I415" s="287"/>
      <c r="J415" s="287"/>
      <c r="K415" s="287"/>
      <c r="L415" s="287"/>
      <c r="M415" s="287"/>
      <c r="N415" s="287"/>
      <c r="O415" s="287"/>
      <c r="P415" s="287"/>
      <c r="Q415" s="287"/>
      <c r="R415" s="287"/>
      <c r="S415" s="287"/>
      <c r="T415" s="287"/>
      <c r="U415" s="287"/>
      <c r="V415" s="287"/>
      <c r="W415" s="287"/>
      <c r="X415" s="287"/>
      <c r="Y415" s="287"/>
      <c r="Z415" s="287"/>
    </row>
    <row r="416" spans="1:26">
      <c r="A416" s="287" t="s">
        <v>608</v>
      </c>
      <c r="B416" s="287"/>
      <c r="C416" s="287"/>
      <c r="D416" s="287">
        <v>18.210411071777301</v>
      </c>
      <c r="E416" s="287">
        <v>19.293371200561499</v>
      </c>
      <c r="F416" s="287">
        <v>21.158409118652301</v>
      </c>
      <c r="G416" s="287">
        <v>24.5404376983643</v>
      </c>
      <c r="H416" s="287">
        <v>24.494813919067401</v>
      </c>
      <c r="I416" s="287">
        <v>23.9600429534912</v>
      </c>
      <c r="J416" s="287">
        <v>23.672391891479499</v>
      </c>
      <c r="K416" s="287">
        <v>23.2634162902832</v>
      </c>
      <c r="L416" s="287">
        <v>23.106723785400401</v>
      </c>
      <c r="M416" s="287">
        <v>22.905719757080099</v>
      </c>
      <c r="N416" s="287">
        <v>22.942964553833001</v>
      </c>
      <c r="O416" s="287">
        <v>22.881586074829102</v>
      </c>
      <c r="P416" s="287">
        <v>22.979688644409201</v>
      </c>
      <c r="Q416" s="287">
        <v>23.190465927123999</v>
      </c>
      <c r="R416" s="287">
        <v>23.129106521606399</v>
      </c>
      <c r="S416" s="287">
        <v>23.088548660278299</v>
      </c>
      <c r="T416" s="287">
        <v>23.183416366577099</v>
      </c>
      <c r="U416" s="287">
        <v>23.1546516418457</v>
      </c>
      <c r="V416" s="287">
        <v>23.285535812377901</v>
      </c>
      <c r="W416" s="287">
        <v>23.420475006103501</v>
      </c>
      <c r="X416" s="287">
        <v>23.540468215942401</v>
      </c>
      <c r="Y416" s="287">
        <v>23.532218933105501</v>
      </c>
      <c r="Z416" s="287">
        <v>23.562456130981399</v>
      </c>
    </row>
    <row r="417" spans="1:26">
      <c r="A417" s="287" t="s">
        <v>609</v>
      </c>
      <c r="B417" s="287"/>
      <c r="C417" s="287"/>
      <c r="D417" s="287">
        <v>12.893347740173301</v>
      </c>
      <c r="E417" s="287">
        <v>14.727064132690399</v>
      </c>
      <c r="F417" s="287">
        <v>16.906724929809599</v>
      </c>
      <c r="G417" s="287">
        <v>17.4485054016113</v>
      </c>
      <c r="H417" s="287">
        <v>16.910488128662099</v>
      </c>
      <c r="I417" s="287">
        <v>15.8367977142334</v>
      </c>
      <c r="J417" s="287">
        <v>14.87486743927</v>
      </c>
      <c r="K417" s="287">
        <v>14.031831741333001</v>
      </c>
      <c r="L417" s="287">
        <v>13.359474182128899</v>
      </c>
      <c r="M417" s="287">
        <v>12.596385955810501</v>
      </c>
      <c r="N417" s="287">
        <v>12.5241403579712</v>
      </c>
      <c r="O417" s="287">
        <v>12.595507621765099</v>
      </c>
      <c r="P417" s="287">
        <v>12.630928039550801</v>
      </c>
      <c r="Q417" s="287">
        <v>12.738121032714799</v>
      </c>
      <c r="R417" s="287">
        <v>12.8303670883179</v>
      </c>
      <c r="S417" s="287">
        <v>13.052293777465801</v>
      </c>
      <c r="T417" s="287">
        <v>13.1472158432007</v>
      </c>
      <c r="U417" s="287">
        <v>13.2630777359009</v>
      </c>
      <c r="V417" s="287">
        <v>13.422198295593301</v>
      </c>
      <c r="W417" s="287">
        <v>13.360619544982899</v>
      </c>
      <c r="X417" s="287">
        <v>13.513841629028301</v>
      </c>
      <c r="Y417" s="287">
        <v>13.560380935668899</v>
      </c>
      <c r="Z417" s="287">
        <v>13.627392768859901</v>
      </c>
    </row>
    <row r="418" spans="1:26">
      <c r="A418" s="287" t="s">
        <v>509</v>
      </c>
      <c r="B418" s="287"/>
      <c r="C418" s="287"/>
      <c r="D418" s="287">
        <v>10.721179008483899</v>
      </c>
      <c r="E418" s="287">
        <v>12.4281768798828</v>
      </c>
      <c r="F418" s="287">
        <v>13.040691375732401</v>
      </c>
      <c r="G418" s="287">
        <v>11.8341617584229</v>
      </c>
      <c r="H418" s="287">
        <v>11.7410221099854</v>
      </c>
      <c r="I418" s="287">
        <v>11.2507781982422</v>
      </c>
      <c r="J418" s="287">
        <v>10.9759874343872</v>
      </c>
      <c r="K418" s="287">
        <v>10.5919141769409</v>
      </c>
      <c r="L418" s="287">
        <v>10.441241264343301</v>
      </c>
      <c r="M418" s="287">
        <v>10.249824523925801</v>
      </c>
      <c r="N418" s="287">
        <v>10.2927255630493</v>
      </c>
      <c r="O418" s="287">
        <v>10.2421607971191</v>
      </c>
      <c r="P418" s="287">
        <v>10.3305416107178</v>
      </c>
      <c r="Q418" s="287">
        <v>10.557685852050801</v>
      </c>
      <c r="R418" s="287">
        <v>10.4870929718018</v>
      </c>
      <c r="S418" s="287">
        <v>10.439262390136699</v>
      </c>
      <c r="T418" s="287">
        <v>10.539955139160201</v>
      </c>
      <c r="U418" s="287">
        <v>10.5361185073853</v>
      </c>
      <c r="V418" s="287">
        <v>10.6743927001953</v>
      </c>
      <c r="W418" s="287">
        <v>10.830116271972701</v>
      </c>
      <c r="X418" s="287">
        <v>10.948052406311</v>
      </c>
      <c r="Y418" s="287">
        <v>10.9735927581787</v>
      </c>
      <c r="Z418" s="287">
        <v>11.0174913406372</v>
      </c>
    </row>
    <row r="419" spans="1:26">
      <c r="A419" s="287" t="s">
        <v>478</v>
      </c>
      <c r="B419" s="287"/>
      <c r="C419" s="287"/>
      <c r="D419" s="287">
        <v>27.0989685058594</v>
      </c>
      <c r="E419" s="287">
        <v>27.587884902954102</v>
      </c>
      <c r="F419" s="287">
        <v>27.636594772338899</v>
      </c>
      <c r="G419" s="287">
        <v>27.492031097412099</v>
      </c>
      <c r="H419" s="287">
        <v>27.368114471435501</v>
      </c>
      <c r="I419" s="287">
        <v>27.154861450195298</v>
      </c>
      <c r="J419" s="287">
        <v>26.912786483764599</v>
      </c>
      <c r="K419" s="287">
        <v>26.5094184875488</v>
      </c>
      <c r="L419" s="287">
        <v>26.281187057495099</v>
      </c>
      <c r="M419" s="287">
        <v>26.172458648681602</v>
      </c>
      <c r="N419" s="287">
        <v>26.036540985107401</v>
      </c>
      <c r="O419" s="287">
        <v>25.993564605712901</v>
      </c>
      <c r="P419" s="287">
        <v>26.085290908813501</v>
      </c>
      <c r="Q419" s="287">
        <v>26.304872512817401</v>
      </c>
      <c r="R419" s="287">
        <v>26.445003509521499</v>
      </c>
      <c r="S419" s="287">
        <v>26.355556488037099</v>
      </c>
      <c r="T419" s="287">
        <v>26.368726730346701</v>
      </c>
      <c r="U419" s="287">
        <v>26.419284820556602</v>
      </c>
      <c r="V419" s="287">
        <v>26.420993804931602</v>
      </c>
      <c r="W419" s="287">
        <v>26.4647102355957</v>
      </c>
      <c r="X419" s="287">
        <v>26.5621242523193</v>
      </c>
      <c r="Y419" s="287">
        <v>26.608213424682599</v>
      </c>
      <c r="Z419" s="287">
        <v>26.564920425415</v>
      </c>
    </row>
    <row r="420" spans="1:26">
      <c r="A420" s="287" t="s">
        <v>479</v>
      </c>
      <c r="B420" s="287"/>
      <c r="C420" s="287"/>
      <c r="D420" s="287"/>
      <c r="E420" s="287"/>
      <c r="F420" s="287"/>
      <c r="G420" s="287"/>
      <c r="H420" s="287"/>
      <c r="I420" s="287"/>
      <c r="J420" s="287"/>
      <c r="K420" s="287"/>
      <c r="L420" s="287"/>
      <c r="M420" s="287"/>
      <c r="N420" s="287"/>
      <c r="O420" s="287"/>
      <c r="P420" s="287"/>
      <c r="Q420" s="287"/>
      <c r="R420" s="287"/>
      <c r="S420" s="287"/>
      <c r="T420" s="287"/>
      <c r="U420" s="287"/>
      <c r="V420" s="287"/>
      <c r="W420" s="287"/>
      <c r="X420" s="287"/>
      <c r="Y420" s="287"/>
      <c r="Z420" s="287"/>
    </row>
    <row r="421" spans="1:26">
      <c r="A421" s="287" t="s">
        <v>609</v>
      </c>
      <c r="B421" s="287"/>
      <c r="C421" s="287"/>
      <c r="D421" s="287">
        <v>10.4802904129028</v>
      </c>
      <c r="E421" s="287">
        <v>12.6793832778931</v>
      </c>
      <c r="F421" s="287">
        <v>14.632154464721699</v>
      </c>
      <c r="G421" s="287">
        <v>15.3235988616943</v>
      </c>
      <c r="H421" s="287">
        <v>14.4384679794312</v>
      </c>
      <c r="I421" s="287">
        <v>13.4501142501831</v>
      </c>
      <c r="J421" s="287">
        <v>12.7189273834229</v>
      </c>
      <c r="K421" s="287">
        <v>11.9810342788696</v>
      </c>
      <c r="L421" s="287">
        <v>11.338329315185501</v>
      </c>
      <c r="M421" s="287">
        <v>10.8460388183594</v>
      </c>
      <c r="N421" s="287">
        <v>10.667523384094199</v>
      </c>
      <c r="O421" s="287">
        <v>10.728004455566399</v>
      </c>
      <c r="P421" s="287">
        <v>10.8701782226563</v>
      </c>
      <c r="Q421" s="287">
        <v>10.9251909255981</v>
      </c>
      <c r="R421" s="287">
        <v>11.0219278335571</v>
      </c>
      <c r="S421" s="287">
        <v>11.292310714721699</v>
      </c>
      <c r="T421" s="287">
        <v>11.349814414978001</v>
      </c>
      <c r="U421" s="287">
        <v>11.461010932922401</v>
      </c>
      <c r="V421" s="287">
        <v>11.6882877349854</v>
      </c>
      <c r="W421" s="287">
        <v>11.5126600265503</v>
      </c>
      <c r="X421" s="287">
        <v>11.6838274002075</v>
      </c>
      <c r="Y421" s="287">
        <v>11.8503408432007</v>
      </c>
      <c r="Z421" s="287">
        <v>11.857501029968301</v>
      </c>
    </row>
    <row r="422" spans="1:26" ht="51" customHeight="1">
      <c r="A422" s="287" t="s">
        <v>610</v>
      </c>
      <c r="B422" s="287"/>
      <c r="C422" s="287"/>
      <c r="D422" s="287">
        <v>6.2490105628967303</v>
      </c>
      <c r="E422" s="287">
        <v>8.4144115447997994</v>
      </c>
      <c r="F422" s="287">
        <v>10.1003465652466</v>
      </c>
      <c r="G422" s="287">
        <v>7.8816242218017596</v>
      </c>
      <c r="H422" s="287">
        <v>7.7979149818420401</v>
      </c>
      <c r="I422" s="287">
        <v>7.67907810211182</v>
      </c>
      <c r="J422" s="287">
        <v>7.5374598503112802</v>
      </c>
      <c r="K422" s="287">
        <v>7.0601482391357404</v>
      </c>
      <c r="L422" s="287">
        <v>6.9191079139709499</v>
      </c>
      <c r="M422" s="287">
        <v>5.9906802177429199</v>
      </c>
      <c r="N422" s="287">
        <v>6.31249952316284</v>
      </c>
      <c r="O422" s="287">
        <v>6.4941840171814</v>
      </c>
      <c r="P422" s="287">
        <v>6.4476203918456996</v>
      </c>
      <c r="Q422" s="287">
        <v>6.5857205390930202</v>
      </c>
      <c r="R422" s="287">
        <v>6.7015118598937997</v>
      </c>
      <c r="S422" s="287">
        <v>6.98899221420288</v>
      </c>
      <c r="T422" s="287">
        <v>7.0690569877624503</v>
      </c>
      <c r="U422" s="287">
        <v>7.2425847053527797</v>
      </c>
      <c r="V422" s="287">
        <v>7.4012169837951696</v>
      </c>
      <c r="W422" s="287">
        <v>7.2363023757934597</v>
      </c>
      <c r="X422" s="287">
        <v>7.3775544166564897</v>
      </c>
      <c r="Y422" s="287">
        <v>7.1704416275024396</v>
      </c>
      <c r="Z422" s="287">
        <v>7.2997760772705096</v>
      </c>
    </row>
    <row r="423" spans="1:26" ht="30.75" customHeight="1">
      <c r="A423" s="289" t="s">
        <v>509</v>
      </c>
      <c r="B423" s="289"/>
      <c r="C423" s="289"/>
      <c r="D423" s="287">
        <v>9.4024562835693395</v>
      </c>
      <c r="E423" s="287">
        <v>11.2028198242188</v>
      </c>
      <c r="F423" s="287">
        <v>11.3786783218384</v>
      </c>
      <c r="G423" s="287">
        <v>10.2688541412354</v>
      </c>
      <c r="H423" s="287">
        <v>10.157588958740201</v>
      </c>
      <c r="I423" s="287">
        <v>9.6297473907470703</v>
      </c>
      <c r="J423" s="287">
        <v>9.3356885910034197</v>
      </c>
      <c r="K423" s="287">
        <v>8.9214458465576207</v>
      </c>
      <c r="L423" s="287">
        <v>8.7509040832519496</v>
      </c>
      <c r="M423" s="287">
        <v>8.5351839065551793</v>
      </c>
      <c r="N423" s="287">
        <v>8.5524559020996094</v>
      </c>
      <c r="O423" s="287">
        <v>8.47686672210693</v>
      </c>
      <c r="P423" s="287">
        <v>8.5459880828857404</v>
      </c>
      <c r="Q423" s="287">
        <v>8.7391986846923793</v>
      </c>
      <c r="R423" s="287">
        <v>8.6564092636108398</v>
      </c>
      <c r="S423" s="287">
        <v>8.5963792800903303</v>
      </c>
      <c r="T423" s="287">
        <v>8.6742591857910192</v>
      </c>
      <c r="U423" s="287">
        <v>8.6351099014282209</v>
      </c>
      <c r="V423" s="287">
        <v>8.7470979690551793</v>
      </c>
      <c r="W423" s="287">
        <v>8.8685941696166992</v>
      </c>
      <c r="X423" s="287">
        <v>8.9716949462890607</v>
      </c>
      <c r="Y423" s="287">
        <v>8.9597854614257795</v>
      </c>
      <c r="Z423" s="287">
        <v>8.9777603149414098</v>
      </c>
    </row>
    <row r="424" spans="1:26">
      <c r="A424" s="288" t="s">
        <v>478</v>
      </c>
      <c r="B424" s="288"/>
      <c r="C424" s="288"/>
      <c r="D424" s="287">
        <v>24.591539382934599</v>
      </c>
      <c r="E424" s="287">
        <v>25.251781463623001</v>
      </c>
      <c r="F424" s="287">
        <v>25.738388061523398</v>
      </c>
      <c r="G424" s="287">
        <v>25.3376979827881</v>
      </c>
      <c r="H424" s="287">
        <v>25.268539428710898</v>
      </c>
      <c r="I424" s="287">
        <v>24.918291091918899</v>
      </c>
      <c r="J424" s="287">
        <v>24.500482559204102</v>
      </c>
      <c r="K424" s="287">
        <v>23.8594665527344</v>
      </c>
      <c r="L424" s="287">
        <v>23.593626022338899</v>
      </c>
      <c r="M424" s="287">
        <v>23.443479537963899</v>
      </c>
      <c r="N424" s="287">
        <v>23.311824798583999</v>
      </c>
      <c r="O424" s="287">
        <v>23.328050613403299</v>
      </c>
      <c r="P424" s="287">
        <v>23.4844055175781</v>
      </c>
      <c r="Q424" s="287">
        <v>23.749778747558601</v>
      </c>
      <c r="R424" s="287">
        <v>23.944339752197301</v>
      </c>
      <c r="S424" s="287">
        <v>23.889307022094702</v>
      </c>
      <c r="T424" s="287">
        <v>23.952335357666001</v>
      </c>
      <c r="U424" s="287">
        <v>24.000473022460898</v>
      </c>
      <c r="V424" s="287">
        <v>24.006351470947301</v>
      </c>
      <c r="W424" s="287">
        <v>24.077814102172901</v>
      </c>
      <c r="X424" s="287">
        <v>24.1955890655518</v>
      </c>
      <c r="Y424" s="287">
        <v>24.23095703125</v>
      </c>
      <c r="Z424" s="287">
        <v>24.1812038421631</v>
      </c>
    </row>
    <row r="425" spans="1:26">
      <c r="A425" s="287" t="s">
        <v>611</v>
      </c>
      <c r="B425" s="287"/>
      <c r="C425" s="287"/>
      <c r="D425" s="287"/>
      <c r="E425" s="287"/>
      <c r="F425" s="287"/>
      <c r="G425" s="287"/>
      <c r="H425" s="287"/>
      <c r="I425" s="287"/>
      <c r="J425" s="287"/>
      <c r="K425" s="287"/>
      <c r="L425" s="287"/>
      <c r="M425" s="287"/>
      <c r="N425" s="287"/>
      <c r="O425" s="287"/>
      <c r="P425" s="287"/>
      <c r="Q425" s="287"/>
      <c r="R425" s="287"/>
      <c r="S425" s="287"/>
      <c r="T425" s="287"/>
      <c r="U425" s="287"/>
      <c r="V425" s="287"/>
      <c r="W425" s="287"/>
      <c r="X425" s="287"/>
      <c r="Y425" s="287"/>
      <c r="Z425" s="287"/>
    </row>
    <row r="426" spans="1:26">
      <c r="A426" s="287" t="s">
        <v>608</v>
      </c>
      <c r="B426" s="287"/>
      <c r="C426" s="287"/>
      <c r="D426" s="287">
        <v>11.1755380630493</v>
      </c>
      <c r="E426" s="287">
        <v>16.959981918335</v>
      </c>
      <c r="F426" s="287">
        <v>18.9578742980957</v>
      </c>
      <c r="G426" s="287">
        <v>17.513134002685501</v>
      </c>
      <c r="H426" s="287">
        <v>17.389408111572301</v>
      </c>
      <c r="I426" s="287">
        <v>16.750247955322301</v>
      </c>
      <c r="J426" s="287">
        <v>16.423851013183601</v>
      </c>
      <c r="K426" s="287">
        <v>15.943309783935501</v>
      </c>
      <c r="L426" s="287">
        <v>15.769355773925801</v>
      </c>
      <c r="M426" s="287">
        <v>15.620997428894</v>
      </c>
      <c r="N426" s="287">
        <v>15.627494812011699</v>
      </c>
      <c r="O426" s="287">
        <v>15.565483093261699</v>
      </c>
      <c r="P426" s="287">
        <v>15.6823263168335</v>
      </c>
      <c r="Q426" s="287">
        <v>15.8655786514282</v>
      </c>
      <c r="R426" s="287">
        <v>15.8662757873535</v>
      </c>
      <c r="S426" s="287">
        <v>15.8647546768188</v>
      </c>
      <c r="T426" s="287">
        <v>15.9073581695557</v>
      </c>
      <c r="U426" s="287">
        <v>15.883088111877401</v>
      </c>
      <c r="V426" s="287">
        <v>15.994482994079601</v>
      </c>
      <c r="W426" s="287">
        <v>16.1067924499512</v>
      </c>
      <c r="X426" s="287">
        <v>16.2546577453613</v>
      </c>
      <c r="Y426" s="287">
        <v>16.219263076782202</v>
      </c>
      <c r="Z426" s="287">
        <v>16.2301216125488</v>
      </c>
    </row>
    <row r="427" spans="1:26">
      <c r="A427" s="287" t="s">
        <v>609</v>
      </c>
      <c r="B427" s="287"/>
      <c r="C427" s="287"/>
      <c r="D427" s="287">
        <v>10.9898891448975</v>
      </c>
      <c r="E427" s="287">
        <v>13.0814533233643</v>
      </c>
      <c r="F427" s="287">
        <v>15.1407413482666</v>
      </c>
      <c r="G427" s="287">
        <v>15.435567855835</v>
      </c>
      <c r="H427" s="287">
        <v>14.2919836044312</v>
      </c>
      <c r="I427" s="287">
        <v>13.4232997894287</v>
      </c>
      <c r="J427" s="287">
        <v>12.948052406311</v>
      </c>
      <c r="K427" s="287">
        <v>12.4780015945435</v>
      </c>
      <c r="L427" s="287">
        <v>11.882830619811999</v>
      </c>
      <c r="M427" s="287">
        <v>11.641848564147899</v>
      </c>
      <c r="N427" s="287">
        <v>11.349123954772899</v>
      </c>
      <c r="O427" s="287">
        <v>11.401933670043899</v>
      </c>
      <c r="P427" s="287">
        <v>11.6324548721313</v>
      </c>
      <c r="Q427" s="287">
        <v>11.632493019104</v>
      </c>
      <c r="R427" s="287">
        <v>11.737724304199199</v>
      </c>
      <c r="S427" s="287">
        <v>12.060711860656699</v>
      </c>
      <c r="T427" s="287">
        <v>12.0405569076538</v>
      </c>
      <c r="U427" s="287">
        <v>12.1396341323853</v>
      </c>
      <c r="V427" s="287">
        <v>12.421196937561</v>
      </c>
      <c r="W427" s="287">
        <v>12.169375419616699</v>
      </c>
      <c r="X427" s="287">
        <v>12.3622283935547</v>
      </c>
      <c r="Y427" s="287">
        <v>12.619636535644499</v>
      </c>
      <c r="Z427" s="287">
        <v>12.5786838531494</v>
      </c>
    </row>
    <row r="428" spans="1:26">
      <c r="A428" s="287" t="s">
        <v>610</v>
      </c>
      <c r="B428" s="287"/>
      <c r="C428" s="287"/>
      <c r="D428" s="287">
        <v>5.7738895416259801</v>
      </c>
      <c r="E428" s="287">
        <v>7.7708010673522896</v>
      </c>
      <c r="F428" s="287">
        <v>9.3422021865844709</v>
      </c>
      <c r="G428" s="287">
        <v>9.8767166137695295</v>
      </c>
      <c r="H428" s="287">
        <v>10.084191322326699</v>
      </c>
      <c r="I428" s="287">
        <v>9.7906637191772496</v>
      </c>
      <c r="J428" s="287">
        <v>9.5023155212402308</v>
      </c>
      <c r="K428" s="287">
        <v>8.7792091369628906</v>
      </c>
      <c r="L428" s="287">
        <v>8.4676847457885707</v>
      </c>
      <c r="M428" s="287">
        <v>8.0373468399047905</v>
      </c>
      <c r="N428" s="287">
        <v>7.9767365455627397</v>
      </c>
      <c r="O428" s="287">
        <v>8.2131023406982404</v>
      </c>
      <c r="P428" s="287">
        <v>8.4110374450683594</v>
      </c>
      <c r="Q428" s="287">
        <v>8.5568304061889595</v>
      </c>
      <c r="R428" s="287">
        <v>8.6100654602050799</v>
      </c>
      <c r="S428" s="287">
        <v>8.8084278106689506</v>
      </c>
      <c r="T428" s="287">
        <v>8.9135255813598597</v>
      </c>
      <c r="U428" s="287">
        <v>9.0664196014404297</v>
      </c>
      <c r="V428" s="287">
        <v>9.2084608078002894</v>
      </c>
      <c r="W428" s="287">
        <v>9.1494617462158203</v>
      </c>
      <c r="X428" s="287">
        <v>9.2910699844360405</v>
      </c>
      <c r="Y428" s="287">
        <v>9.2583961486816406</v>
      </c>
      <c r="Z428" s="287">
        <v>9.38494873046875</v>
      </c>
    </row>
    <row r="429" spans="1:26">
      <c r="A429" s="289" t="s">
        <v>612</v>
      </c>
      <c r="B429" s="289"/>
      <c r="C429" s="289"/>
      <c r="D429" s="287">
        <v>6.4688553810119602</v>
      </c>
      <c r="E429" s="287">
        <v>8.1627740859985405</v>
      </c>
      <c r="F429" s="287">
        <v>7.4494204521179199</v>
      </c>
      <c r="G429" s="287">
        <v>7.3632249832153303</v>
      </c>
      <c r="H429" s="287">
        <v>7.2901554107665998</v>
      </c>
      <c r="I429" s="287">
        <v>6.7422003746032697</v>
      </c>
      <c r="J429" s="287">
        <v>6.4267692565918004</v>
      </c>
      <c r="K429" s="287">
        <v>6.0213589668273899</v>
      </c>
      <c r="L429" s="287">
        <v>5.8671450614929199</v>
      </c>
      <c r="M429" s="287">
        <v>5.6813068389892596</v>
      </c>
      <c r="N429" s="287">
        <v>5.6900143623352104</v>
      </c>
      <c r="O429" s="287">
        <v>5.6504640579223597</v>
      </c>
      <c r="P429" s="287">
        <v>5.7415480613708496</v>
      </c>
      <c r="Q429" s="287">
        <v>5.91982173919678</v>
      </c>
      <c r="R429" s="287">
        <v>5.8755149841308603</v>
      </c>
      <c r="S429" s="287">
        <v>5.8359832763671902</v>
      </c>
      <c r="T429" s="287">
        <v>5.9000439643859899</v>
      </c>
      <c r="U429" s="287">
        <v>5.8858833312988299</v>
      </c>
      <c r="V429" s="287">
        <v>6.0041050910949698</v>
      </c>
      <c r="W429" s="287">
        <v>6.1238050460815403</v>
      </c>
      <c r="X429" s="287">
        <v>6.2412667274475098</v>
      </c>
      <c r="Y429" s="287">
        <v>6.2102909088134801</v>
      </c>
      <c r="Z429" s="287">
        <v>6.2538614273071298</v>
      </c>
    </row>
    <row r="430" spans="1:26">
      <c r="A430" s="287" t="s">
        <v>613</v>
      </c>
      <c r="B430" s="287"/>
      <c r="C430" s="287"/>
      <c r="D430" s="287">
        <v>2.3078472614288299</v>
      </c>
      <c r="E430" s="287">
        <v>3.0599997043609601</v>
      </c>
      <c r="F430" s="287">
        <v>3.2548489570617698</v>
      </c>
      <c r="G430" s="287">
        <v>3.2975256443023699</v>
      </c>
      <c r="H430" s="287">
        <v>3.2872827053070099</v>
      </c>
      <c r="I430" s="287">
        <v>3.1889374256134002</v>
      </c>
      <c r="J430" s="287">
        <v>3.0940959453582799</v>
      </c>
      <c r="K430" s="287">
        <v>2.9914577007293701</v>
      </c>
      <c r="L430" s="287">
        <v>2.8927016258239702</v>
      </c>
      <c r="M430" s="287">
        <v>2.78926348686218</v>
      </c>
      <c r="N430" s="287">
        <v>2.7408642768859899</v>
      </c>
      <c r="O430" s="287">
        <v>2.7166485786438002</v>
      </c>
      <c r="P430" s="287">
        <v>2.7061200141906698</v>
      </c>
      <c r="Q430" s="287">
        <v>2.7063503265380899</v>
      </c>
      <c r="R430" s="287">
        <v>2.7045123577117902</v>
      </c>
      <c r="S430" s="287">
        <v>2.68979120254517</v>
      </c>
      <c r="T430" s="287">
        <v>2.7072892189025901</v>
      </c>
      <c r="U430" s="287">
        <v>2.71812868118286</v>
      </c>
      <c r="V430" s="287">
        <v>2.7191135883331299</v>
      </c>
      <c r="W430" s="287">
        <v>2.7064330577850302</v>
      </c>
      <c r="X430" s="287">
        <v>2.68589544296265</v>
      </c>
      <c r="Y430" s="287">
        <v>2.69574999809265</v>
      </c>
      <c r="Z430" s="287">
        <v>2.7049932479858398</v>
      </c>
    </row>
    <row r="431" spans="1:26">
      <c r="A431" s="287" t="s">
        <v>614</v>
      </c>
      <c r="B431" s="287"/>
      <c r="C431" s="287"/>
      <c r="D431" s="287">
        <v>1.80300605297089</v>
      </c>
      <c r="E431" s="287">
        <v>2.1500017642974898</v>
      </c>
      <c r="F431" s="287">
        <v>2.2005796432495099</v>
      </c>
      <c r="G431" s="287">
        <v>2.2392640113830602</v>
      </c>
      <c r="H431" s="287">
        <v>2.2450914382934601</v>
      </c>
      <c r="I431" s="287">
        <v>2.2358458042144802</v>
      </c>
      <c r="J431" s="287">
        <v>2.2614977359771702</v>
      </c>
      <c r="K431" s="287">
        <v>2.2480733394622798</v>
      </c>
      <c r="L431" s="287">
        <v>2.2308864593505899</v>
      </c>
      <c r="M431" s="287">
        <v>2.2124359607696502</v>
      </c>
      <c r="N431" s="287">
        <v>2.2059276103973402</v>
      </c>
      <c r="O431" s="287">
        <v>2.1967613697052002</v>
      </c>
      <c r="P431" s="287">
        <v>2.18912577629089</v>
      </c>
      <c r="Q431" s="287">
        <v>2.1856777667999299</v>
      </c>
      <c r="R431" s="287">
        <v>2.1763286590576199</v>
      </c>
      <c r="S431" s="287">
        <v>2.1755278110504199</v>
      </c>
      <c r="T431" s="287">
        <v>2.18182468414307</v>
      </c>
      <c r="U431" s="287">
        <v>2.19542455673218</v>
      </c>
      <c r="V431" s="287">
        <v>2.2050869464874299</v>
      </c>
      <c r="W431" s="287">
        <v>2.2089655399322501</v>
      </c>
      <c r="X431" s="287">
        <v>2.2187693119049099</v>
      </c>
      <c r="Y431" s="287">
        <v>2.2309319972991899</v>
      </c>
      <c r="Z431" s="287">
        <v>2.2423520088195801</v>
      </c>
    </row>
    <row r="432" spans="1:26">
      <c r="A432" s="287" t="s">
        <v>615</v>
      </c>
      <c r="B432" s="287"/>
      <c r="C432" s="287"/>
      <c r="D432" s="287" t="s">
        <v>1078</v>
      </c>
      <c r="E432" s="287" t="s">
        <v>1078</v>
      </c>
      <c r="F432" s="287" t="s">
        <v>1078</v>
      </c>
      <c r="G432" s="287" t="s">
        <v>1078</v>
      </c>
      <c r="H432" s="287" t="s">
        <v>1078</v>
      </c>
      <c r="I432" s="287" t="s">
        <v>1078</v>
      </c>
      <c r="J432" s="287" t="s">
        <v>1078</v>
      </c>
      <c r="K432" s="287">
        <v>0.88956671953201305</v>
      </c>
      <c r="L432" s="287">
        <v>0.881245017051697</v>
      </c>
      <c r="M432" s="287">
        <v>0.88442194461822499</v>
      </c>
      <c r="N432" s="287">
        <v>0.89085346460342396</v>
      </c>
      <c r="O432" s="287">
        <v>0.88840740919113204</v>
      </c>
      <c r="P432" s="287">
        <v>0.89322775602340698</v>
      </c>
      <c r="Q432" s="287">
        <v>0.90440875291824296</v>
      </c>
      <c r="R432" s="287">
        <v>0.91453087329864502</v>
      </c>
      <c r="S432" s="287">
        <v>0.95469778776168801</v>
      </c>
      <c r="T432" s="287">
        <v>0.96978461742401101</v>
      </c>
      <c r="U432" s="287">
        <v>1.01334369182587</v>
      </c>
      <c r="V432" s="287">
        <v>1.02781510353088</v>
      </c>
      <c r="W432" s="287">
        <v>1.0294380187988299</v>
      </c>
      <c r="X432" s="287">
        <v>1.1219843626022299</v>
      </c>
      <c r="Y432" s="287">
        <v>1.2297383546829199</v>
      </c>
      <c r="Z432" s="287">
        <v>1.26935982704163</v>
      </c>
    </row>
    <row r="433" spans="1:26">
      <c r="A433" s="288" t="s">
        <v>478</v>
      </c>
      <c r="B433" s="288"/>
      <c r="C433" s="288"/>
      <c r="D433" s="287">
        <v>15.8847751617432</v>
      </c>
      <c r="E433" s="287">
        <v>16.691057205200199</v>
      </c>
      <c r="F433" s="287">
        <v>18.258220672607401</v>
      </c>
      <c r="G433" s="287">
        <v>18.768579483032202</v>
      </c>
      <c r="H433" s="287">
        <v>18.8538303375244</v>
      </c>
      <c r="I433" s="287">
        <v>18.518165588378899</v>
      </c>
      <c r="J433" s="287">
        <v>18.014034271240199</v>
      </c>
      <c r="K433" s="287">
        <v>17.2542610168457</v>
      </c>
      <c r="L433" s="287">
        <v>16.790317535400401</v>
      </c>
      <c r="M433" s="287">
        <v>16.590124130248999</v>
      </c>
      <c r="N433" s="287">
        <v>16.466903686523398</v>
      </c>
      <c r="O433" s="287">
        <v>16.461626052856399</v>
      </c>
      <c r="P433" s="287">
        <v>16.6055717468262</v>
      </c>
      <c r="Q433" s="287">
        <v>16.851476669311499</v>
      </c>
      <c r="R433" s="287">
        <v>17.021175384521499</v>
      </c>
      <c r="S433" s="287">
        <v>17.000881195068398</v>
      </c>
      <c r="T433" s="287">
        <v>17.070917129516602</v>
      </c>
      <c r="U433" s="287">
        <v>17.1260585784912</v>
      </c>
      <c r="V433" s="287">
        <v>17.140884399414102</v>
      </c>
      <c r="W433" s="287">
        <v>17.206485748291001</v>
      </c>
      <c r="X433" s="287">
        <v>17.3262729644775</v>
      </c>
      <c r="Y433" s="287">
        <v>17.353824615478501</v>
      </c>
      <c r="Z433" s="287">
        <v>17.310489654541001</v>
      </c>
    </row>
    <row r="434" spans="1:26">
      <c r="A434" s="287" t="s">
        <v>486</v>
      </c>
      <c r="B434" s="287"/>
      <c r="C434" s="287"/>
      <c r="D434" s="287"/>
      <c r="E434" s="287"/>
      <c r="F434" s="287"/>
      <c r="G434" s="287"/>
      <c r="H434" s="287"/>
      <c r="I434" s="287"/>
      <c r="J434" s="287"/>
      <c r="K434" s="287"/>
      <c r="L434" s="287"/>
      <c r="M434" s="287"/>
      <c r="N434" s="287"/>
      <c r="O434" s="287"/>
      <c r="P434" s="287"/>
      <c r="Q434" s="287"/>
      <c r="R434" s="287"/>
      <c r="S434" s="287"/>
      <c r="T434" s="287"/>
      <c r="U434" s="287"/>
      <c r="V434" s="287"/>
      <c r="W434" s="287"/>
      <c r="X434" s="287"/>
      <c r="Y434" s="287"/>
      <c r="Z434" s="287"/>
    </row>
    <row r="435" spans="1:26">
      <c r="A435" s="287" t="s">
        <v>616</v>
      </c>
      <c r="B435" s="287"/>
      <c r="C435" s="287"/>
      <c r="D435" s="287">
        <v>19.6766357421875</v>
      </c>
      <c r="E435" s="287">
        <v>23.9161167144775</v>
      </c>
      <c r="F435" s="287">
        <v>26.805564880371101</v>
      </c>
      <c r="G435" s="287">
        <v>22.710954666137699</v>
      </c>
      <c r="H435" s="287">
        <v>22.759067535400401</v>
      </c>
      <c r="I435" s="287">
        <v>22.268846511840799</v>
      </c>
      <c r="J435" s="287">
        <v>24.343835830688501</v>
      </c>
      <c r="K435" s="287">
        <v>23.932544708251999</v>
      </c>
      <c r="L435" s="287">
        <v>23.763250350952099</v>
      </c>
      <c r="M435" s="287">
        <v>23.536403656005898</v>
      </c>
      <c r="N435" s="287">
        <v>23.5618801116943</v>
      </c>
      <c r="O435" s="287">
        <v>23.4868278503418</v>
      </c>
      <c r="P435" s="287">
        <v>23.560710906982401</v>
      </c>
      <c r="Q435" s="287">
        <v>23.7542419433594</v>
      </c>
      <c r="R435" s="287">
        <v>23.654756546020501</v>
      </c>
      <c r="S435" s="287">
        <v>23.5774955749512</v>
      </c>
      <c r="T435" s="287">
        <v>23.664421081543001</v>
      </c>
      <c r="U435" s="287">
        <v>23.6253147125244</v>
      </c>
      <c r="V435" s="287">
        <v>23.741106033325199</v>
      </c>
      <c r="W435" s="287">
        <v>23.8700561523438</v>
      </c>
      <c r="X435" s="287">
        <v>23.973831176757798</v>
      </c>
      <c r="Y435" s="287">
        <v>23.953416824340799</v>
      </c>
      <c r="Z435" s="287">
        <v>23.9759330749512</v>
      </c>
    </row>
    <row r="436" spans="1:26">
      <c r="A436" s="291" t="s">
        <v>617</v>
      </c>
      <c r="B436" s="291"/>
      <c r="C436" s="291"/>
      <c r="D436" s="287">
        <v>20.914932250976602</v>
      </c>
      <c r="E436" s="287">
        <v>23.101913452148398</v>
      </c>
      <c r="F436" s="287">
        <v>24.811454772949201</v>
      </c>
      <c r="G436" s="287">
        <v>27.774848937988299</v>
      </c>
      <c r="H436" s="287">
        <v>25.9952602386475</v>
      </c>
      <c r="I436" s="287">
        <v>24.2666110992432</v>
      </c>
      <c r="J436" s="287">
        <v>21.291254043579102</v>
      </c>
      <c r="K436" s="287">
        <v>20.525190353393601</v>
      </c>
      <c r="L436" s="287">
        <v>20.3361301422119</v>
      </c>
      <c r="M436" s="287">
        <v>20.197395324706999</v>
      </c>
      <c r="N436" s="287">
        <v>20.009881973266602</v>
      </c>
      <c r="O436" s="287">
        <v>20.093305587768601</v>
      </c>
      <c r="P436" s="287">
        <v>20.196292877197301</v>
      </c>
      <c r="Q436" s="287">
        <v>20.4327602386475</v>
      </c>
      <c r="R436" s="287">
        <v>20.4076957702637</v>
      </c>
      <c r="S436" s="287">
        <v>20.624263763427699</v>
      </c>
      <c r="T436" s="287">
        <v>20.610368728637699</v>
      </c>
      <c r="U436" s="287">
        <v>20.617734909057599</v>
      </c>
      <c r="V436" s="287">
        <v>21.067132949829102</v>
      </c>
      <c r="W436" s="287">
        <v>20.970218658447301</v>
      </c>
      <c r="X436" s="287">
        <v>20.962213516235401</v>
      </c>
      <c r="Y436" s="287">
        <v>21.257926940918001</v>
      </c>
      <c r="Z436" s="287">
        <v>21.098123550415</v>
      </c>
    </row>
    <row r="437" spans="1:26">
      <c r="A437" s="290" t="s">
        <v>618</v>
      </c>
      <c r="B437" s="290"/>
      <c r="C437" s="290"/>
      <c r="D437" s="287">
        <v>15.721848487854</v>
      </c>
      <c r="E437" s="287">
        <v>18.644901275634801</v>
      </c>
      <c r="F437" s="287">
        <v>21.1534824371338</v>
      </c>
      <c r="G437" s="287">
        <v>20.964454650878899</v>
      </c>
      <c r="H437" s="287">
        <v>19.721015930175799</v>
      </c>
      <c r="I437" s="287">
        <v>18.6920680999756</v>
      </c>
      <c r="J437" s="287">
        <v>17.902309417724599</v>
      </c>
      <c r="K437" s="287">
        <v>17.232242584228501</v>
      </c>
      <c r="L437" s="287">
        <v>16.863773345947301</v>
      </c>
      <c r="M437" s="287">
        <v>16.565891265869102</v>
      </c>
      <c r="N437" s="287">
        <v>16.0857257843018</v>
      </c>
      <c r="O437" s="287">
        <v>16.063297271728501</v>
      </c>
      <c r="P437" s="287">
        <v>16.111997604370099</v>
      </c>
      <c r="Q437" s="287">
        <v>16.240406036376999</v>
      </c>
      <c r="R437" s="287">
        <v>16.3247375488281</v>
      </c>
      <c r="S437" s="287">
        <v>16.6728916168213</v>
      </c>
      <c r="T437" s="287">
        <v>16.6320400238037</v>
      </c>
      <c r="U437" s="287">
        <v>16.751285552978501</v>
      </c>
      <c r="V437" s="287">
        <v>17.051519393920898</v>
      </c>
      <c r="W437" s="287">
        <v>16.920253753662099</v>
      </c>
      <c r="X437" s="287">
        <v>17.1026096343994</v>
      </c>
      <c r="Y437" s="287">
        <v>17.3232307434082</v>
      </c>
      <c r="Z437" s="287">
        <v>17.144313812255898</v>
      </c>
    </row>
    <row r="438" spans="1:26">
      <c r="A438" s="287" t="s">
        <v>619</v>
      </c>
      <c r="B438" s="287"/>
      <c r="C438" s="287"/>
      <c r="D438" s="287">
        <v>9.2184209823608398</v>
      </c>
      <c r="E438" s="287">
        <v>13.1439361572266</v>
      </c>
      <c r="F438" s="287">
        <v>14.9574270248413</v>
      </c>
      <c r="G438" s="287">
        <v>12.9907026290894</v>
      </c>
      <c r="H438" s="287">
        <v>11.722384452819799</v>
      </c>
      <c r="I438" s="287">
        <v>11.2624855041504</v>
      </c>
      <c r="J438" s="287">
        <v>10.9056959152222</v>
      </c>
      <c r="K438" s="287">
        <v>10.3720808029175</v>
      </c>
      <c r="L438" s="287">
        <v>10.059165954589799</v>
      </c>
      <c r="M438" s="287">
        <v>10.0335283279419</v>
      </c>
      <c r="N438" s="287">
        <v>9.8430700302124006</v>
      </c>
      <c r="O438" s="287">
        <v>9.8874025344848597</v>
      </c>
      <c r="P438" s="287">
        <v>10.0322532653809</v>
      </c>
      <c r="Q438" s="287">
        <v>10.087176322936999</v>
      </c>
      <c r="R438" s="287">
        <v>10.2108345031738</v>
      </c>
      <c r="S438" s="287">
        <v>10.523097038269</v>
      </c>
      <c r="T438" s="287">
        <v>10.506872177124</v>
      </c>
      <c r="U438" s="287">
        <v>10.5880041122437</v>
      </c>
      <c r="V438" s="287">
        <v>10.8930578231812</v>
      </c>
      <c r="W438" s="287">
        <v>10.788450241088899</v>
      </c>
      <c r="X438" s="287">
        <v>10.9106340408325</v>
      </c>
      <c r="Y438" s="287">
        <v>11.0979099273682</v>
      </c>
      <c r="Z438" s="287">
        <v>11.0487413406372</v>
      </c>
    </row>
    <row r="439" spans="1:26">
      <c r="A439" s="290" t="s">
        <v>620</v>
      </c>
      <c r="B439" s="290"/>
      <c r="C439" s="290"/>
      <c r="D439" s="287">
        <v>13.583283424377401</v>
      </c>
      <c r="E439" s="287">
        <v>17.522464752197301</v>
      </c>
      <c r="F439" s="287">
        <v>19.7921543121338</v>
      </c>
      <c r="G439" s="287">
        <v>19.706336975097699</v>
      </c>
      <c r="H439" s="287">
        <v>18.211244583129901</v>
      </c>
      <c r="I439" s="287">
        <v>17.3085613250732</v>
      </c>
      <c r="J439" s="287">
        <v>16.8088684082031</v>
      </c>
      <c r="K439" s="287">
        <v>16.001249313354499</v>
      </c>
      <c r="L439" s="287">
        <v>15.3922462463379</v>
      </c>
      <c r="M439" s="287">
        <v>15.213009834289601</v>
      </c>
      <c r="N439" s="287">
        <v>14.822114944458001</v>
      </c>
      <c r="O439" s="287">
        <v>14.859941482543899</v>
      </c>
      <c r="P439" s="287">
        <v>15.1213598251343</v>
      </c>
      <c r="Q439" s="287">
        <v>15.075839042663601</v>
      </c>
      <c r="R439" s="287">
        <v>15.158118247985801</v>
      </c>
      <c r="S439" s="287">
        <v>15.4795846939087</v>
      </c>
      <c r="T439" s="287">
        <v>15.4157457351685</v>
      </c>
      <c r="U439" s="287">
        <v>15.4886207580566</v>
      </c>
      <c r="V439" s="287">
        <v>15.773143768310501</v>
      </c>
      <c r="W439" s="287">
        <v>15.4716739654541</v>
      </c>
      <c r="X439" s="287">
        <v>15.639728546142599</v>
      </c>
      <c r="Y439" s="287">
        <v>15.912574768066399</v>
      </c>
      <c r="Z439" s="287">
        <v>15.834021568298301</v>
      </c>
    </row>
    <row r="440" spans="1:26">
      <c r="A440" s="287" t="s">
        <v>610</v>
      </c>
      <c r="B440" s="287"/>
      <c r="C440" s="287"/>
      <c r="D440" s="287">
        <v>4.8536195755004901</v>
      </c>
      <c r="E440" s="287">
        <v>5.5067763328552202</v>
      </c>
      <c r="F440" s="287">
        <v>7.1623473167419398</v>
      </c>
      <c r="G440" s="287">
        <v>8.8221101760864293</v>
      </c>
      <c r="H440" s="287">
        <v>9.0483112335205096</v>
      </c>
      <c r="I440" s="287">
        <v>8.6029233932495099</v>
      </c>
      <c r="J440" s="287">
        <v>8.0481967926025408</v>
      </c>
      <c r="K440" s="287">
        <v>7.6902847290039098</v>
      </c>
      <c r="L440" s="287">
        <v>7.3429737091064498</v>
      </c>
      <c r="M440" s="287">
        <v>7.1018238067626998</v>
      </c>
      <c r="N440" s="287">
        <v>6.97245073318481</v>
      </c>
      <c r="O440" s="287">
        <v>7.0413579940795898</v>
      </c>
      <c r="P440" s="287">
        <v>7.0324416160583496</v>
      </c>
      <c r="Q440" s="287">
        <v>7.12284135818481</v>
      </c>
      <c r="R440" s="287">
        <v>7.14320993423462</v>
      </c>
      <c r="S440" s="287">
        <v>7.1685328483581499</v>
      </c>
      <c r="T440" s="287">
        <v>7.3589744567871103</v>
      </c>
      <c r="U440" s="287">
        <v>7.4886426925659197</v>
      </c>
      <c r="V440" s="287">
        <v>7.6476154327392596</v>
      </c>
      <c r="W440" s="287">
        <v>7.6766633987426802</v>
      </c>
      <c r="X440" s="287">
        <v>7.8515577316284197</v>
      </c>
      <c r="Y440" s="287">
        <v>7.8973522186279297</v>
      </c>
      <c r="Z440" s="287">
        <v>8.0370302200317401</v>
      </c>
    </row>
    <row r="441" spans="1:26">
      <c r="A441" s="287" t="s">
        <v>621</v>
      </c>
      <c r="B441" s="287"/>
      <c r="C441" s="287"/>
      <c r="D441" s="287">
        <v>11.913727760314901</v>
      </c>
      <c r="E441" s="287">
        <v>14.761161804199199</v>
      </c>
      <c r="F441" s="287">
        <v>11.981869697570801</v>
      </c>
      <c r="G441" s="287">
        <v>12.283256530761699</v>
      </c>
      <c r="H441" s="287">
        <v>12.1389265060425</v>
      </c>
      <c r="I441" s="287">
        <v>12.3170175552368</v>
      </c>
      <c r="J441" s="287">
        <v>13.965456008911101</v>
      </c>
      <c r="K441" s="287">
        <v>13.507596015930201</v>
      </c>
      <c r="L441" s="287">
        <v>13.291357994079601</v>
      </c>
      <c r="M441" s="287">
        <v>13.0437335968018</v>
      </c>
      <c r="N441" s="287">
        <v>12.940827369689901</v>
      </c>
      <c r="O441" s="287">
        <v>12.861621856689499</v>
      </c>
      <c r="P441" s="287">
        <v>12.894752502441399</v>
      </c>
      <c r="Q441" s="287">
        <v>13.0291633605957</v>
      </c>
      <c r="R441" s="287">
        <v>12.9489841461182</v>
      </c>
      <c r="S441" s="287">
        <v>12.946153640747101</v>
      </c>
      <c r="T441" s="287">
        <v>12.9756631851196</v>
      </c>
      <c r="U441" s="287">
        <v>12.953050613403301</v>
      </c>
      <c r="V441" s="287">
        <v>13.079764366149901</v>
      </c>
      <c r="W441" s="287">
        <v>13.110743522644</v>
      </c>
      <c r="X441" s="287">
        <v>13.198463439941399</v>
      </c>
      <c r="Y441" s="287">
        <v>13.2244005203247</v>
      </c>
      <c r="Z441" s="287">
        <v>13.175202369689901</v>
      </c>
    </row>
    <row r="442" spans="1:26">
      <c r="A442" s="287" t="s">
        <v>478</v>
      </c>
      <c r="B442" s="287"/>
      <c r="C442" s="287"/>
      <c r="D442" s="287">
        <v>26.1035976409912</v>
      </c>
      <c r="E442" s="287">
        <v>25.216188430786101</v>
      </c>
      <c r="F442" s="287">
        <v>26.121034622192401</v>
      </c>
      <c r="G442" s="287">
        <v>25.629154205322301</v>
      </c>
      <c r="H442" s="287">
        <v>25.7473449707031</v>
      </c>
      <c r="I442" s="287">
        <v>25.392839431762699</v>
      </c>
      <c r="J442" s="287">
        <v>24.861566543579102</v>
      </c>
      <c r="K442" s="287">
        <v>24.317947387695298</v>
      </c>
      <c r="L442" s="287">
        <v>24.125808715820298</v>
      </c>
      <c r="M442" s="287">
        <v>23.980707168579102</v>
      </c>
      <c r="N442" s="287">
        <v>23.787378311157202</v>
      </c>
      <c r="O442" s="287">
        <v>23.809650421142599</v>
      </c>
      <c r="P442" s="287">
        <v>23.876377105712901</v>
      </c>
      <c r="Q442" s="287">
        <v>24.074831008911101</v>
      </c>
      <c r="R442" s="287">
        <v>24.262081146240199</v>
      </c>
      <c r="S442" s="287">
        <v>24.183790206909201</v>
      </c>
      <c r="T442" s="287">
        <v>24.2170009613037</v>
      </c>
      <c r="U442" s="287">
        <v>24.245899200439499</v>
      </c>
      <c r="V442" s="287">
        <v>24.2234077453613</v>
      </c>
      <c r="W442" s="287">
        <v>24.307447433471701</v>
      </c>
      <c r="X442" s="287">
        <v>24.4279899597168</v>
      </c>
      <c r="Y442" s="287">
        <v>24.465734481811499</v>
      </c>
      <c r="Z442" s="287">
        <v>24.386825561523398</v>
      </c>
    </row>
    <row r="443" spans="1:26">
      <c r="A443" s="287" t="s">
        <v>622</v>
      </c>
      <c r="B443" s="287"/>
      <c r="C443" s="287"/>
      <c r="D443" s="287"/>
      <c r="E443" s="287"/>
      <c r="F443" s="287"/>
      <c r="G443" s="287"/>
      <c r="H443" s="287"/>
      <c r="I443" s="287"/>
      <c r="J443" s="287"/>
      <c r="K443" s="287"/>
      <c r="L443" s="287"/>
      <c r="M443" s="287"/>
      <c r="N443" s="287"/>
      <c r="O443" s="287"/>
      <c r="P443" s="287"/>
      <c r="Q443" s="287"/>
      <c r="R443" s="287"/>
      <c r="S443" s="287"/>
      <c r="T443" s="287"/>
      <c r="U443" s="287"/>
      <c r="V443" s="287"/>
      <c r="W443" s="287"/>
      <c r="X443" s="287"/>
      <c r="Y443" s="287"/>
      <c r="Z443" s="287"/>
    </row>
    <row r="444" spans="1:26">
      <c r="A444" s="287" t="s">
        <v>609</v>
      </c>
      <c r="B444" s="287"/>
      <c r="C444" s="287"/>
      <c r="D444" s="287">
        <v>9.5153579711914098</v>
      </c>
      <c r="E444" s="287">
        <v>11.3847246170044</v>
      </c>
      <c r="F444" s="287">
        <v>13.235827445983899</v>
      </c>
      <c r="G444" s="287">
        <v>14.263434410095201</v>
      </c>
      <c r="H444" s="287">
        <v>13.7692108154297</v>
      </c>
      <c r="I444" s="287">
        <v>12.704180717468301</v>
      </c>
      <c r="J444" s="287">
        <v>11.7051839828491</v>
      </c>
      <c r="K444" s="287">
        <v>10.7794647216797</v>
      </c>
      <c r="L444" s="287">
        <v>10.0299482345581</v>
      </c>
      <c r="M444" s="287">
        <v>9.2896862030029297</v>
      </c>
      <c r="N444" s="287">
        <v>9.1972703933715803</v>
      </c>
      <c r="O444" s="287">
        <v>9.2599020004272496</v>
      </c>
      <c r="P444" s="287">
        <v>9.2775526046752894</v>
      </c>
      <c r="Q444" s="287">
        <v>9.4403448104858398</v>
      </c>
      <c r="R444" s="287">
        <v>9.5352287292480504</v>
      </c>
      <c r="S444" s="287">
        <v>9.7515039443969709</v>
      </c>
      <c r="T444" s="287">
        <v>9.8428487777709996</v>
      </c>
      <c r="U444" s="287">
        <v>9.9595317840576207</v>
      </c>
      <c r="V444" s="287">
        <v>10.1106100082397</v>
      </c>
      <c r="W444" s="287">
        <v>10.0771369934082</v>
      </c>
      <c r="X444" s="287">
        <v>10.217479705810501</v>
      </c>
      <c r="Y444" s="287">
        <v>10.254093170166</v>
      </c>
      <c r="Z444" s="287">
        <v>10.318883895874</v>
      </c>
    </row>
    <row r="445" spans="1:26">
      <c r="A445" s="287" t="s">
        <v>610</v>
      </c>
      <c r="B445" s="287"/>
      <c r="C445" s="287"/>
      <c r="D445" s="287">
        <v>4.9909768104553196</v>
      </c>
      <c r="E445" s="287">
        <v>6.9611043930053702</v>
      </c>
      <c r="F445" s="287">
        <v>7.8457942008972203</v>
      </c>
      <c r="G445" s="287">
        <v>7.1943798065185502</v>
      </c>
      <c r="H445" s="287">
        <v>7.2948379516601598</v>
      </c>
      <c r="I445" s="287">
        <v>6.9926204681396502</v>
      </c>
      <c r="J445" s="287">
        <v>6.5808119773864702</v>
      </c>
      <c r="K445" s="287">
        <v>6.2065305709838903</v>
      </c>
      <c r="L445" s="287">
        <v>5.9029440879821804</v>
      </c>
      <c r="M445" s="287">
        <v>5.45705270767212</v>
      </c>
      <c r="N445" s="287">
        <v>5.4534096717834499</v>
      </c>
      <c r="O445" s="287">
        <v>5.5995068550109899</v>
      </c>
      <c r="P445" s="287">
        <v>5.6287369728088397</v>
      </c>
      <c r="Q445" s="287">
        <v>5.7370648384094203</v>
      </c>
      <c r="R445" s="287">
        <v>5.8140759468078604</v>
      </c>
      <c r="S445" s="287">
        <v>6.0071105957031303</v>
      </c>
      <c r="T445" s="287">
        <v>6.0822205543518102</v>
      </c>
      <c r="U445" s="287">
        <v>6.22955322265625</v>
      </c>
      <c r="V445" s="287">
        <v>6.4186983108520499</v>
      </c>
      <c r="W445" s="287">
        <v>6.3188004493713397</v>
      </c>
      <c r="X445" s="287">
        <v>6.5342454910278303</v>
      </c>
      <c r="Y445" s="287">
        <v>6.5804891586303702</v>
      </c>
      <c r="Z445" s="287">
        <v>6.6370191574096697</v>
      </c>
    </row>
    <row r="446" spans="1:26">
      <c r="A446" s="289" t="s">
        <v>509</v>
      </c>
      <c r="B446" s="289"/>
      <c r="C446" s="289"/>
      <c r="D446" s="287">
        <v>6.1140975952148402</v>
      </c>
      <c r="E446" s="287">
        <v>8.1813249588012695</v>
      </c>
      <c r="F446" s="287">
        <v>6.9707522392272896</v>
      </c>
      <c r="G446" s="287">
        <v>7.1151452064514196</v>
      </c>
      <c r="H446" s="287">
        <v>7.0668158531189</v>
      </c>
      <c r="I446" s="287">
        <v>6.5265731811523402</v>
      </c>
      <c r="J446" s="287">
        <v>6.2202811241149902</v>
      </c>
      <c r="K446" s="287">
        <v>5.8298497200012198</v>
      </c>
      <c r="L446" s="287">
        <v>5.6925516128540004</v>
      </c>
      <c r="M446" s="287">
        <v>5.4995698928832999</v>
      </c>
      <c r="N446" s="287">
        <v>5.54103326797485</v>
      </c>
      <c r="O446" s="287">
        <v>5.5007095336914098</v>
      </c>
      <c r="P446" s="287">
        <v>5.59739446640015</v>
      </c>
      <c r="Q446" s="287">
        <v>5.7880721092224103</v>
      </c>
      <c r="R446" s="287">
        <v>5.7225790023803702</v>
      </c>
      <c r="S446" s="287">
        <v>5.6709170341491699</v>
      </c>
      <c r="T446" s="287">
        <v>5.7639327049255398</v>
      </c>
      <c r="U446" s="287">
        <v>5.72597312927246</v>
      </c>
      <c r="V446" s="287">
        <v>5.8378243446350098</v>
      </c>
      <c r="W446" s="287">
        <v>5.9462161064147896</v>
      </c>
      <c r="X446" s="287">
        <v>6.05735063552856</v>
      </c>
      <c r="Y446" s="287">
        <v>6.0477237701415998</v>
      </c>
      <c r="Z446" s="287">
        <v>6.0664491653442401</v>
      </c>
    </row>
    <row r="447" spans="1:26">
      <c r="A447" s="292" t="s">
        <v>623</v>
      </c>
      <c r="B447" s="292"/>
      <c r="C447" s="292"/>
      <c r="D447" s="287">
        <v>1.4011929035186801</v>
      </c>
      <c r="E447" s="287">
        <v>1.5299999713897701</v>
      </c>
      <c r="F447" s="287">
        <v>1.6714243888855</v>
      </c>
      <c r="G447" s="287">
        <v>1.69177293777466</v>
      </c>
      <c r="H447" s="287">
        <v>1.70398998260498</v>
      </c>
      <c r="I447" s="287">
        <v>1.7000321149826001</v>
      </c>
      <c r="J447" s="287">
        <v>1.7052028179168699</v>
      </c>
      <c r="K447" s="287">
        <v>1.66678094863892</v>
      </c>
      <c r="L447" s="287">
        <v>1.63700723648071</v>
      </c>
      <c r="M447" s="287">
        <v>1.6199716329574601</v>
      </c>
      <c r="N447" s="287">
        <v>1.61296951770782</v>
      </c>
      <c r="O447" s="287">
        <v>1.59987056255341</v>
      </c>
      <c r="P447" s="287">
        <v>1.59190189838409</v>
      </c>
      <c r="Q447" s="287">
        <v>1.5892090797424301</v>
      </c>
      <c r="R447" s="287">
        <v>1.57604885101318</v>
      </c>
      <c r="S447" s="287">
        <v>1.5779995918273899</v>
      </c>
      <c r="T447" s="287">
        <v>1.5809644460678101</v>
      </c>
      <c r="U447" s="287">
        <v>1.5890377759933501</v>
      </c>
      <c r="V447" s="287">
        <v>1.59825491905212</v>
      </c>
      <c r="W447" s="287">
        <v>1.6020262241363501</v>
      </c>
      <c r="X447" s="287">
        <v>1.6148724555969201</v>
      </c>
      <c r="Y447" s="287">
        <v>1.62832856178284</v>
      </c>
      <c r="Z447" s="287">
        <v>1.63934326171875</v>
      </c>
    </row>
    <row r="448" spans="1:26">
      <c r="A448" s="287" t="s">
        <v>624</v>
      </c>
      <c r="B448" s="287"/>
      <c r="C448" s="287"/>
      <c r="D448" s="287"/>
      <c r="E448" s="287"/>
      <c r="F448" s="287"/>
      <c r="G448" s="287"/>
      <c r="H448" s="287"/>
      <c r="I448" s="287"/>
      <c r="J448" s="287"/>
      <c r="K448" s="287"/>
      <c r="L448" s="287"/>
      <c r="M448" s="287"/>
      <c r="N448" s="287"/>
      <c r="O448" s="287"/>
      <c r="P448" s="287"/>
      <c r="Q448" s="287"/>
      <c r="R448" s="287"/>
      <c r="S448" s="287"/>
      <c r="T448" s="287"/>
      <c r="U448" s="287"/>
      <c r="V448" s="287"/>
      <c r="W448" s="287"/>
      <c r="X448" s="287"/>
      <c r="Y448" s="287"/>
      <c r="Z448" s="287"/>
    </row>
    <row r="449" spans="1:70">
      <c r="A449" s="287" t="s">
        <v>608</v>
      </c>
      <c r="B449" s="287"/>
      <c r="C449" s="287"/>
      <c r="D449" s="287">
        <v>12.6906900405884</v>
      </c>
      <c r="E449" s="287">
        <v>17.482444763183601</v>
      </c>
      <c r="F449" s="287">
        <v>19.464084625244102</v>
      </c>
      <c r="G449" s="287">
        <v>18.995626449585</v>
      </c>
      <c r="H449" s="287">
        <v>18.880571365356399</v>
      </c>
      <c r="I449" s="287">
        <v>18.286575317382798</v>
      </c>
      <c r="J449" s="287">
        <v>18.020065307617202</v>
      </c>
      <c r="K449" s="287">
        <v>17.571559906005898</v>
      </c>
      <c r="L449" s="287">
        <v>17.417589187622099</v>
      </c>
      <c r="M449" s="287">
        <v>17.2678737640381</v>
      </c>
      <c r="N449" s="287">
        <v>17.291303634643601</v>
      </c>
      <c r="O449" s="287">
        <v>17.241743087768601</v>
      </c>
      <c r="P449" s="287">
        <v>17.364793777465799</v>
      </c>
      <c r="Q449" s="287">
        <v>17.562221527099599</v>
      </c>
      <c r="R449" s="287">
        <v>17.562810897827099</v>
      </c>
      <c r="S449" s="287">
        <v>17.558799743652301</v>
      </c>
      <c r="T449" s="287">
        <v>17.620630264282202</v>
      </c>
      <c r="U449" s="287">
        <v>17.599321365356399</v>
      </c>
      <c r="V449" s="287">
        <v>17.721448898315401</v>
      </c>
      <c r="W449" s="287">
        <v>17.8418064117432</v>
      </c>
      <c r="X449" s="287">
        <v>17.9907836914063</v>
      </c>
      <c r="Y449" s="287">
        <v>17.9618225097656</v>
      </c>
      <c r="Z449" s="287">
        <v>17.988685607910199</v>
      </c>
    </row>
    <row r="450" spans="1:70">
      <c r="A450" s="287" t="s">
        <v>617</v>
      </c>
      <c r="B450" s="287"/>
      <c r="C450" s="287"/>
      <c r="D450" s="287">
        <v>20.914932250976602</v>
      </c>
      <c r="E450" s="287">
        <v>23.101913452148398</v>
      </c>
      <c r="F450" s="287">
        <v>24.811454772949201</v>
      </c>
      <c r="G450" s="287">
        <v>27.774848937988299</v>
      </c>
      <c r="H450" s="287">
        <v>25.9952602386475</v>
      </c>
      <c r="I450" s="287">
        <v>24.2666110992432</v>
      </c>
      <c r="J450" s="287">
        <v>21.291254043579102</v>
      </c>
      <c r="K450" s="287">
        <v>20.525190353393601</v>
      </c>
      <c r="L450" s="287">
        <v>20.3361301422119</v>
      </c>
      <c r="M450" s="287">
        <v>20.197395324706999</v>
      </c>
      <c r="N450" s="287">
        <v>20.009881973266602</v>
      </c>
      <c r="O450" s="287">
        <v>20.093305587768601</v>
      </c>
      <c r="P450" s="287">
        <v>20.196292877197301</v>
      </c>
      <c r="Q450" s="287">
        <v>20.4327602386475</v>
      </c>
      <c r="R450" s="287">
        <v>20.4076957702637</v>
      </c>
      <c r="S450" s="287">
        <v>20.624263763427699</v>
      </c>
      <c r="T450" s="287">
        <v>20.610368728637699</v>
      </c>
      <c r="U450" s="287">
        <v>20.617734909057599</v>
      </c>
      <c r="V450" s="287">
        <v>21.067132949829102</v>
      </c>
      <c r="W450" s="287">
        <v>20.970218658447301</v>
      </c>
      <c r="X450" s="287">
        <v>20.962213516235401</v>
      </c>
      <c r="Y450" s="287">
        <v>21.257926940918001</v>
      </c>
      <c r="Z450" s="287">
        <v>21.098123550415</v>
      </c>
    </row>
    <row r="451" spans="1:70">
      <c r="A451" s="287" t="s">
        <v>618</v>
      </c>
      <c r="B451" s="287"/>
      <c r="C451" s="287"/>
      <c r="D451" s="287">
        <v>15.706001281738301</v>
      </c>
      <c r="E451" s="287">
        <v>18.602125167846701</v>
      </c>
      <c r="F451" s="287">
        <v>21.1080112457275</v>
      </c>
      <c r="G451" s="287">
        <v>20.962741851806602</v>
      </c>
      <c r="H451" s="287">
        <v>19.720066070556602</v>
      </c>
      <c r="I451" s="287">
        <v>18.690637588501001</v>
      </c>
      <c r="J451" s="287">
        <v>17.900485992431602</v>
      </c>
      <c r="K451" s="287">
        <v>17.230388641357401</v>
      </c>
      <c r="L451" s="287">
        <v>16.861814498901399</v>
      </c>
      <c r="M451" s="287">
        <v>16.564214706420898</v>
      </c>
      <c r="N451" s="287">
        <v>16.0839519500732</v>
      </c>
      <c r="O451" s="287">
        <v>16.0615749359131</v>
      </c>
      <c r="P451" s="287">
        <v>16.110080718994102</v>
      </c>
      <c r="Q451" s="287">
        <v>16.238643646240199</v>
      </c>
      <c r="R451" s="287">
        <v>16.322971343994102</v>
      </c>
      <c r="S451" s="287">
        <v>16.671089172363299</v>
      </c>
      <c r="T451" s="287">
        <v>16.630247116088899</v>
      </c>
      <c r="U451" s="287">
        <v>16.7495441436768</v>
      </c>
      <c r="V451" s="287">
        <v>17.049686431884801</v>
      </c>
      <c r="W451" s="287">
        <v>16.918500900268601</v>
      </c>
      <c r="X451" s="287">
        <v>17.100944519043001</v>
      </c>
      <c r="Y451" s="287">
        <v>17.321361541748001</v>
      </c>
      <c r="Z451" s="287">
        <v>17.142530441284201</v>
      </c>
    </row>
    <row r="452" spans="1:70">
      <c r="A452" s="287" t="s">
        <v>625</v>
      </c>
      <c r="B452" s="287"/>
      <c r="C452" s="287"/>
      <c r="D452" s="287">
        <v>9.2184209823608398</v>
      </c>
      <c r="E452" s="287">
        <v>13.1439361572266</v>
      </c>
      <c r="F452" s="287">
        <v>14.9574270248413</v>
      </c>
      <c r="G452" s="287">
        <v>12.9907026290894</v>
      </c>
      <c r="H452" s="287">
        <v>11.722384452819799</v>
      </c>
      <c r="I452" s="287">
        <v>11.2624855041504</v>
      </c>
      <c r="J452" s="287">
        <v>10.9056959152222</v>
      </c>
      <c r="K452" s="287">
        <v>10.3720808029175</v>
      </c>
      <c r="L452" s="287">
        <v>10.059165954589799</v>
      </c>
      <c r="M452" s="287">
        <v>10.0335283279419</v>
      </c>
      <c r="N452" s="287">
        <v>9.8430700302124006</v>
      </c>
      <c r="O452" s="287">
        <v>9.8874025344848597</v>
      </c>
      <c r="P452" s="287">
        <v>10.0322532653809</v>
      </c>
      <c r="Q452" s="287">
        <v>10.087176322936999</v>
      </c>
      <c r="R452" s="287">
        <v>10.2108345031738</v>
      </c>
      <c r="S452" s="287">
        <v>10.523097038269</v>
      </c>
      <c r="T452" s="287">
        <v>10.506872177124</v>
      </c>
      <c r="U452" s="287">
        <v>10.5880041122437</v>
      </c>
      <c r="V452" s="287">
        <v>10.8930578231812</v>
      </c>
      <c r="W452" s="287">
        <v>10.788450241088899</v>
      </c>
      <c r="X452" s="287">
        <v>10.9106340408325</v>
      </c>
      <c r="Y452" s="287">
        <v>11.0979099273682</v>
      </c>
      <c r="Z452" s="287">
        <v>11.0487413406372</v>
      </c>
    </row>
    <row r="453" spans="1:70">
      <c r="A453" s="287" t="s">
        <v>609</v>
      </c>
      <c r="B453" s="287"/>
      <c r="C453" s="287"/>
      <c r="D453" s="287">
        <v>12.9106340408325</v>
      </c>
      <c r="E453" s="287">
        <v>16.217037200927699</v>
      </c>
      <c r="F453" s="287">
        <v>18.421550750732401</v>
      </c>
      <c r="G453" s="287">
        <v>18.437913894653299</v>
      </c>
      <c r="H453" s="287">
        <v>17.199058532714801</v>
      </c>
      <c r="I453" s="287">
        <v>16.296318054199201</v>
      </c>
      <c r="J453" s="287">
        <v>15.704516410827599</v>
      </c>
      <c r="K453" s="287">
        <v>14.921827316284199</v>
      </c>
      <c r="L453" s="287">
        <v>14.360170364379901</v>
      </c>
      <c r="M453" s="287">
        <v>14.182985305786101</v>
      </c>
      <c r="N453" s="287">
        <v>13.862556457519499</v>
      </c>
      <c r="O453" s="287">
        <v>13.915904045105</v>
      </c>
      <c r="P453" s="287">
        <v>14.153459548950201</v>
      </c>
      <c r="Q453" s="287">
        <v>14.1445617675781</v>
      </c>
      <c r="R453" s="287">
        <v>14.2399711608887</v>
      </c>
      <c r="S453" s="287">
        <v>14.558382987976101</v>
      </c>
      <c r="T453" s="287">
        <v>14.527869224548301</v>
      </c>
      <c r="U453" s="287">
        <v>14.6189737319946</v>
      </c>
      <c r="V453" s="287">
        <v>14.9021968841553</v>
      </c>
      <c r="W453" s="287">
        <v>14.6463842391968</v>
      </c>
      <c r="X453" s="287">
        <v>14.8252000808716</v>
      </c>
      <c r="Y453" s="287">
        <v>15.0819444656372</v>
      </c>
      <c r="Z453" s="287">
        <v>15.031323432922401</v>
      </c>
    </row>
    <row r="454" spans="1:70">
      <c r="A454" s="287" t="s">
        <v>610</v>
      </c>
      <c r="B454" s="287"/>
      <c r="C454" s="287"/>
      <c r="D454" s="287">
        <v>5.0985417366027797</v>
      </c>
      <c r="E454" s="287">
        <v>6.5886197090148899</v>
      </c>
      <c r="F454" s="287">
        <v>7.9185199737548801</v>
      </c>
      <c r="G454" s="287">
        <v>8.2529850006103498</v>
      </c>
      <c r="H454" s="287">
        <v>8.4050197601318395</v>
      </c>
      <c r="I454" s="287">
        <v>8.0572872161865199</v>
      </c>
      <c r="J454" s="287">
        <v>7.6087560653686497</v>
      </c>
      <c r="K454" s="287">
        <v>7.1943945884704599</v>
      </c>
      <c r="L454" s="287">
        <v>6.8676166534423801</v>
      </c>
      <c r="M454" s="287">
        <v>6.4547815322876003</v>
      </c>
      <c r="N454" s="287">
        <v>6.4073238372802699</v>
      </c>
      <c r="O454" s="287">
        <v>6.54701900482178</v>
      </c>
      <c r="P454" s="287">
        <v>6.5695567131042498</v>
      </c>
      <c r="Q454" s="287">
        <v>6.6816062927246103</v>
      </c>
      <c r="R454" s="287">
        <v>6.7372307777404803</v>
      </c>
      <c r="S454" s="287">
        <v>6.86507225036621</v>
      </c>
      <c r="T454" s="287">
        <v>6.9956922531127903</v>
      </c>
      <c r="U454" s="287">
        <v>7.1396765708923304</v>
      </c>
      <c r="V454" s="287">
        <v>7.3088741302490199</v>
      </c>
      <c r="W454" s="287">
        <v>7.2670574188232404</v>
      </c>
      <c r="X454" s="287">
        <v>7.4510564804077104</v>
      </c>
      <c r="Y454" s="287">
        <v>7.4737396240234402</v>
      </c>
      <c r="Z454" s="287">
        <v>7.5808291435241699</v>
      </c>
    </row>
    <row r="455" spans="1:70">
      <c r="A455" s="287" t="s">
        <v>509</v>
      </c>
      <c r="B455" s="287"/>
      <c r="C455" s="287"/>
      <c r="D455" s="287">
        <v>7.8259296417236301</v>
      </c>
      <c r="E455" s="287">
        <v>9.6487970352172905</v>
      </c>
      <c r="F455" s="287">
        <v>9.1377601623535192</v>
      </c>
      <c r="G455" s="287">
        <v>8.7611961364746094</v>
      </c>
      <c r="H455" s="287">
        <v>8.6626396179199201</v>
      </c>
      <c r="I455" s="287">
        <v>8.1270828247070295</v>
      </c>
      <c r="J455" s="287">
        <v>7.8336372375488299</v>
      </c>
      <c r="K455" s="287">
        <v>7.4448304176330602</v>
      </c>
      <c r="L455" s="287">
        <v>7.2887372970581099</v>
      </c>
      <c r="M455" s="287">
        <v>7.0927038192748997</v>
      </c>
      <c r="N455" s="287">
        <v>7.1150150299072301</v>
      </c>
      <c r="O455" s="287">
        <v>7.0641679763793901</v>
      </c>
      <c r="P455" s="287">
        <v>7.1520218849182102</v>
      </c>
      <c r="Q455" s="287">
        <v>7.3469972610473597</v>
      </c>
      <c r="R455" s="287">
        <v>7.2896466255187997</v>
      </c>
      <c r="S455" s="287">
        <v>7.2448530197143599</v>
      </c>
      <c r="T455" s="287">
        <v>7.3207983970642099</v>
      </c>
      <c r="U455" s="287">
        <v>7.3070926666259801</v>
      </c>
      <c r="V455" s="287">
        <v>7.4372458457946804</v>
      </c>
      <c r="W455" s="287">
        <v>7.5700182914733896</v>
      </c>
      <c r="X455" s="287">
        <v>7.6924967765808097</v>
      </c>
      <c r="Y455" s="287">
        <v>7.6794857978820801</v>
      </c>
      <c r="Z455" s="287">
        <v>7.7304539680481001</v>
      </c>
    </row>
    <row r="456" spans="1:70">
      <c r="A456" s="287" t="s">
        <v>613</v>
      </c>
      <c r="B456" s="287"/>
      <c r="C456" s="287"/>
      <c r="D456" s="287">
        <v>2.3078472614288299</v>
      </c>
      <c r="E456" s="287">
        <v>3.0599997043609601</v>
      </c>
      <c r="F456" s="287">
        <v>3.2548489570617698</v>
      </c>
      <c r="G456" s="287">
        <v>3.2975256443023699</v>
      </c>
      <c r="H456" s="287">
        <v>3.2872827053070099</v>
      </c>
      <c r="I456" s="287">
        <v>3.1889374256134002</v>
      </c>
      <c r="J456" s="287">
        <v>3.0940959453582799</v>
      </c>
      <c r="K456" s="287">
        <v>2.9914577007293701</v>
      </c>
      <c r="L456" s="287">
        <v>2.8927016258239702</v>
      </c>
      <c r="M456" s="287">
        <v>2.78926348686218</v>
      </c>
      <c r="N456" s="287">
        <v>2.7408642768859899</v>
      </c>
      <c r="O456" s="287">
        <v>2.7166485786438002</v>
      </c>
      <c r="P456" s="287">
        <v>2.7061200141906698</v>
      </c>
      <c r="Q456" s="287">
        <v>2.7063503265380899</v>
      </c>
      <c r="R456" s="287">
        <v>2.7045123577117902</v>
      </c>
      <c r="S456" s="287">
        <v>2.68979120254517</v>
      </c>
      <c r="T456" s="287">
        <v>2.7072892189025901</v>
      </c>
      <c r="U456" s="287">
        <v>2.71812868118286</v>
      </c>
      <c r="V456" s="287">
        <v>2.7191135883331299</v>
      </c>
      <c r="W456" s="287">
        <v>2.7064330577850302</v>
      </c>
      <c r="X456" s="287">
        <v>2.68589544296265</v>
      </c>
      <c r="Y456" s="287">
        <v>2.69574999809265</v>
      </c>
      <c r="Z456" s="287">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c r="A457" s="287" t="s">
        <v>626</v>
      </c>
      <c r="B457" s="287"/>
      <c r="C457" s="287"/>
      <c r="D457" s="287">
        <v>1.43066883087158</v>
      </c>
      <c r="E457" s="287">
        <v>1.5706532001495399</v>
      </c>
      <c r="F457" s="287">
        <v>1.7059867382049601</v>
      </c>
      <c r="G457" s="287">
        <v>1.7268872261047401</v>
      </c>
      <c r="H457" s="287">
        <v>1.7392324209213299</v>
      </c>
      <c r="I457" s="287">
        <v>1.7345312833786</v>
      </c>
      <c r="J457" s="287">
        <v>1.7401528358459499</v>
      </c>
      <c r="K457" s="287">
        <v>1.7026997804641699</v>
      </c>
      <c r="L457" s="287">
        <v>1.67319643497467</v>
      </c>
      <c r="M457" s="287">
        <v>1.6556009054184</v>
      </c>
      <c r="N457" s="287">
        <v>1.6479283571243299</v>
      </c>
      <c r="O457" s="287">
        <v>1.63474309444427</v>
      </c>
      <c r="P457" s="287">
        <v>1.6263667345046999</v>
      </c>
      <c r="Q457" s="287">
        <v>1.6231272220611599</v>
      </c>
      <c r="R457" s="287">
        <v>1.60980331897736</v>
      </c>
      <c r="S457" s="287">
        <v>1.6111264228820801</v>
      </c>
      <c r="T457" s="287">
        <v>1.61373710632324</v>
      </c>
      <c r="U457" s="287">
        <v>1.6214674711227399</v>
      </c>
      <c r="V457" s="287">
        <v>1.6300570964813199</v>
      </c>
      <c r="W457" s="287">
        <v>1.6331868171691899</v>
      </c>
      <c r="X457" s="287">
        <v>1.6452817916870099</v>
      </c>
      <c r="Y457" s="287">
        <v>1.6581670045852701</v>
      </c>
      <c r="Z457" s="287">
        <v>1.6686607599258401</v>
      </c>
    </row>
    <row r="458" spans="1:70">
      <c r="A458" s="287" t="s">
        <v>615</v>
      </c>
      <c r="B458" s="287"/>
      <c r="C458" s="287"/>
      <c r="D458" s="287" t="s">
        <v>1078</v>
      </c>
      <c r="E458" s="287" t="s">
        <v>1078</v>
      </c>
      <c r="F458" s="287" t="s">
        <v>1078</v>
      </c>
      <c r="G458" s="287" t="s">
        <v>1078</v>
      </c>
      <c r="H458" s="287" t="s">
        <v>1078</v>
      </c>
      <c r="I458" s="287" t="s">
        <v>1078</v>
      </c>
      <c r="J458" s="287" t="s">
        <v>1078</v>
      </c>
      <c r="K458" s="287">
        <v>0.88956671953201305</v>
      </c>
      <c r="L458" s="287">
        <v>0.881245017051697</v>
      </c>
      <c r="M458" s="287">
        <v>0.88442194461822499</v>
      </c>
      <c r="N458" s="287">
        <v>0.89085346460342396</v>
      </c>
      <c r="O458" s="287">
        <v>0.88840740919113204</v>
      </c>
      <c r="P458" s="287">
        <v>0.89322775602340698</v>
      </c>
      <c r="Q458" s="287">
        <v>0.90440875291824296</v>
      </c>
      <c r="R458" s="287">
        <v>0.91453087329864502</v>
      </c>
      <c r="S458" s="287">
        <v>0.95469778776168801</v>
      </c>
      <c r="T458" s="287">
        <v>0.96978461742401101</v>
      </c>
      <c r="U458" s="287">
        <v>1.01334369182587</v>
      </c>
      <c r="V458" s="287">
        <v>1.02781510353088</v>
      </c>
      <c r="W458" s="287">
        <v>1.0294380187988299</v>
      </c>
      <c r="X458" s="287">
        <v>1.1219843626022299</v>
      </c>
      <c r="Y458" s="287">
        <v>1.2297383546829199</v>
      </c>
      <c r="Z458" s="287">
        <v>1.26935982704163</v>
      </c>
    </row>
    <row r="459" spans="1:70">
      <c r="A459" s="287" t="s">
        <v>478</v>
      </c>
      <c r="B459" s="287"/>
      <c r="C459" s="287"/>
      <c r="D459" s="287">
        <v>23.009492874145501</v>
      </c>
      <c r="E459" s="287">
        <v>23.734071731567401</v>
      </c>
      <c r="F459" s="287">
        <v>24.3845615386963</v>
      </c>
      <c r="G459" s="287">
        <v>24.318822860717798</v>
      </c>
      <c r="H459" s="287">
        <v>24.297929763793899</v>
      </c>
      <c r="I459" s="287">
        <v>24.022377014160199</v>
      </c>
      <c r="J459" s="287">
        <v>23.662025451660199</v>
      </c>
      <c r="K459" s="287">
        <v>23.093143463134801</v>
      </c>
      <c r="L459" s="287">
        <v>22.802413940429702</v>
      </c>
      <c r="M459" s="287">
        <v>22.663448333740199</v>
      </c>
      <c r="N459" s="287">
        <v>22.5459308624268</v>
      </c>
      <c r="O459" s="287">
        <v>22.5456428527832</v>
      </c>
      <c r="P459" s="287">
        <v>22.688844680786101</v>
      </c>
      <c r="Q459" s="287">
        <v>22.9480895996094</v>
      </c>
      <c r="R459" s="287">
        <v>23.136041641235401</v>
      </c>
      <c r="S459" s="287">
        <v>23.0899753570557</v>
      </c>
      <c r="T459" s="287">
        <v>23.154170989990199</v>
      </c>
      <c r="U459" s="287">
        <v>23.213594436645501</v>
      </c>
      <c r="V459" s="287">
        <v>23.230543136596701</v>
      </c>
      <c r="W459" s="287">
        <v>23.3047065734863</v>
      </c>
      <c r="X459" s="287">
        <v>23.429094314575199</v>
      </c>
      <c r="Y459" s="287">
        <v>23.4709377288818</v>
      </c>
      <c r="Z459" s="287">
        <v>23.433801651001001</v>
      </c>
    </row>
    <row r="460" spans="1:70">
      <c r="A460" s="287" t="s">
        <v>512</v>
      </c>
      <c r="B460" s="287"/>
      <c r="C460" s="287"/>
      <c r="D460" s="287"/>
      <c r="E460" s="287"/>
      <c r="F460" s="287"/>
      <c r="G460" s="287"/>
      <c r="H460" s="287"/>
      <c r="I460" s="287"/>
      <c r="J460" s="287"/>
      <c r="K460" s="287"/>
      <c r="L460" s="287"/>
      <c r="M460" s="287"/>
      <c r="N460" s="287"/>
      <c r="O460" s="287"/>
      <c r="P460" s="287"/>
      <c r="Q460" s="287"/>
      <c r="R460" s="287"/>
      <c r="S460" s="287"/>
      <c r="T460" s="287"/>
      <c r="U460" s="287"/>
      <c r="V460" s="287"/>
      <c r="W460" s="287"/>
      <c r="X460" s="287"/>
      <c r="Y460" s="287"/>
      <c r="Z460" s="287"/>
    </row>
    <row r="461" spans="1:70">
      <c r="A461" s="287" t="s">
        <v>627</v>
      </c>
      <c r="B461" s="287"/>
      <c r="C461" s="287"/>
      <c r="D461" s="287"/>
      <c r="E461" s="287"/>
      <c r="F461" s="287"/>
      <c r="G461" s="287"/>
      <c r="H461" s="287"/>
      <c r="I461" s="287"/>
      <c r="J461" s="287"/>
      <c r="K461" s="287"/>
      <c r="L461" s="287"/>
      <c r="M461" s="287"/>
      <c r="N461" s="287"/>
      <c r="O461" s="287"/>
      <c r="P461" s="287"/>
      <c r="Q461" s="287"/>
      <c r="R461" s="287"/>
      <c r="S461" s="287"/>
      <c r="T461" s="287"/>
      <c r="U461" s="287"/>
      <c r="V461" s="287"/>
      <c r="W461" s="287"/>
      <c r="X461" s="287"/>
      <c r="Y461" s="287"/>
      <c r="Z461" s="287"/>
    </row>
    <row r="462" spans="1:70">
      <c r="A462" s="287" t="s">
        <v>472</v>
      </c>
      <c r="B462" s="287"/>
      <c r="C462" s="287"/>
      <c r="D462" s="287">
        <v>195.98880004882801</v>
      </c>
      <c r="E462" s="287">
        <v>215.13366699218801</v>
      </c>
      <c r="F462" s="287">
        <v>218.80557250976599</v>
      </c>
      <c r="G462" s="287">
        <v>221.29866027832</v>
      </c>
      <c r="H462" s="287">
        <v>223.50036621093801</v>
      </c>
      <c r="I462" s="287">
        <v>221.10458374023401</v>
      </c>
      <c r="J462" s="287">
        <v>220.438400268555</v>
      </c>
      <c r="K462" s="287">
        <v>218.08479309082</v>
      </c>
      <c r="L462" s="287">
        <v>218.45701599121099</v>
      </c>
      <c r="M462" s="287">
        <v>217.84970092773401</v>
      </c>
      <c r="N462" s="287">
        <v>219.40165710449199</v>
      </c>
      <c r="O462" s="287">
        <v>221.00289916992199</v>
      </c>
      <c r="P462" s="287">
        <v>224.59239196777301</v>
      </c>
      <c r="Q462" s="287">
        <v>228.53056335449199</v>
      </c>
      <c r="R462" s="287">
        <v>230.97148132324199</v>
      </c>
      <c r="S462" s="287">
        <v>232.57162475585901</v>
      </c>
      <c r="T462" s="287">
        <v>236.03457641601599</v>
      </c>
      <c r="U462" s="287">
        <v>237.58020019531301</v>
      </c>
      <c r="V462" s="287">
        <v>240.43632507324199</v>
      </c>
      <c r="W462" s="287">
        <v>243.39186096191401</v>
      </c>
      <c r="X462" s="287">
        <v>247.24427795410199</v>
      </c>
      <c r="Y462" s="287">
        <v>248.98767089843801</v>
      </c>
      <c r="Z462" s="287">
        <v>251.02548217773401</v>
      </c>
    </row>
    <row r="463" spans="1:70">
      <c r="A463" s="287" t="s">
        <v>479</v>
      </c>
      <c r="B463" s="287"/>
      <c r="C463" s="287"/>
      <c r="D463" s="287">
        <v>141.77845764160199</v>
      </c>
      <c r="E463" s="287">
        <v>154.38449096679699</v>
      </c>
      <c r="F463" s="287">
        <v>157.84999084472699</v>
      </c>
      <c r="G463" s="287">
        <v>156.06527709960901</v>
      </c>
      <c r="H463" s="287">
        <v>159.312088012695</v>
      </c>
      <c r="I463" s="287">
        <v>158.53677368164099</v>
      </c>
      <c r="J463" s="287">
        <v>157.966796875</v>
      </c>
      <c r="K463" s="287">
        <v>156.350173950195</v>
      </c>
      <c r="L463" s="287">
        <v>157.31393432617199</v>
      </c>
      <c r="M463" s="287">
        <v>158.58882141113301</v>
      </c>
      <c r="N463" s="287">
        <v>160.74195861816401</v>
      </c>
      <c r="O463" s="287">
        <v>163.37489318847699</v>
      </c>
      <c r="P463" s="287">
        <v>167.20817565918</v>
      </c>
      <c r="Q463" s="287">
        <v>172.04411315918</v>
      </c>
      <c r="R463" s="287">
        <v>175.58262634277301</v>
      </c>
      <c r="S463" s="287">
        <v>178.093505859375</v>
      </c>
      <c r="T463" s="287">
        <v>181.73991394043</v>
      </c>
      <c r="U463" s="287">
        <v>185.01341247558599</v>
      </c>
      <c r="V463" s="287">
        <v>188.79048156738301</v>
      </c>
      <c r="W463" s="287">
        <v>192.86947631835901</v>
      </c>
      <c r="X463" s="287">
        <v>197.36026000976599</v>
      </c>
      <c r="Y463" s="287">
        <v>201.10684204101599</v>
      </c>
      <c r="Z463" s="287">
        <v>204.49230957031301</v>
      </c>
    </row>
    <row r="464" spans="1:70">
      <c r="A464" s="287" t="s">
        <v>514</v>
      </c>
      <c r="B464" s="287"/>
      <c r="C464" s="287"/>
      <c r="D464" s="287">
        <v>184.22943115234401</v>
      </c>
      <c r="E464" s="287">
        <v>196.07313537597699</v>
      </c>
      <c r="F464" s="287">
        <v>205.39855957031301</v>
      </c>
      <c r="G464" s="287">
        <v>217.87611389160199</v>
      </c>
      <c r="H464" s="287">
        <v>214.14784240722699</v>
      </c>
      <c r="I464" s="287">
        <v>207.11370849609401</v>
      </c>
      <c r="J464" s="287">
        <v>200.48422241210901</v>
      </c>
      <c r="K464" s="287">
        <v>191.81477355957</v>
      </c>
      <c r="L464" s="287">
        <v>187.29217529296901</v>
      </c>
      <c r="M464" s="287">
        <v>184.91578674316401</v>
      </c>
      <c r="N464" s="287">
        <v>184.25204467773401</v>
      </c>
      <c r="O464" s="287">
        <v>184.11447143554699</v>
      </c>
      <c r="P464" s="287">
        <v>186.80691528320301</v>
      </c>
      <c r="Q464" s="287">
        <v>189.66255187988301</v>
      </c>
      <c r="R464" s="287">
        <v>190.49990844726599</v>
      </c>
      <c r="S464" s="287">
        <v>192.03105163574199</v>
      </c>
      <c r="T464" s="287">
        <v>194.88296508789099</v>
      </c>
      <c r="U464" s="287">
        <v>196.87213134765599</v>
      </c>
      <c r="V464" s="287">
        <v>200.07191467285199</v>
      </c>
      <c r="W464" s="287">
        <v>202.13279724121099</v>
      </c>
      <c r="X464" s="287">
        <v>205.48814392089801</v>
      </c>
      <c r="Y464" s="287">
        <v>206.97822570800801</v>
      </c>
      <c r="Z464" s="287">
        <v>209.30905151367199</v>
      </c>
    </row>
    <row r="465" spans="1:70">
      <c r="A465" s="287" t="s">
        <v>486</v>
      </c>
      <c r="B465" s="287"/>
      <c r="C465" s="287"/>
      <c r="D465" s="287">
        <v>385.00112915039102</v>
      </c>
      <c r="E465" s="287">
        <v>474.66281127929699</v>
      </c>
      <c r="F465" s="287">
        <v>545.7236328125</v>
      </c>
      <c r="G465" s="287">
        <v>538.79211425781295</v>
      </c>
      <c r="H465" s="287">
        <v>508.11019897460898</v>
      </c>
      <c r="I465" s="287">
        <v>488.44781494140602</v>
      </c>
      <c r="J465" s="287">
        <v>476.37777709960898</v>
      </c>
      <c r="K465" s="287">
        <v>463.41403198242199</v>
      </c>
      <c r="L465" s="287">
        <v>458.16046142578102</v>
      </c>
      <c r="M465" s="287">
        <v>458.57275390625</v>
      </c>
      <c r="N465" s="287">
        <v>452.78533935546898</v>
      </c>
      <c r="O465" s="287">
        <v>459.41848754882801</v>
      </c>
      <c r="P465" s="287">
        <v>469.74392700195301</v>
      </c>
      <c r="Q465" s="287">
        <v>478.67190551757801</v>
      </c>
      <c r="R465" s="287">
        <v>487.87078857421898</v>
      </c>
      <c r="S465" s="287">
        <v>505.29348754882801</v>
      </c>
      <c r="T465" s="287">
        <v>511.07485961914102</v>
      </c>
      <c r="U465" s="287">
        <v>521.646240234375</v>
      </c>
      <c r="V465" s="287">
        <v>538.77532958984398</v>
      </c>
      <c r="W465" s="287">
        <v>540.642822265625</v>
      </c>
      <c r="X465" s="287">
        <v>554.21173095703102</v>
      </c>
      <c r="Y465" s="287">
        <v>570.280029296875</v>
      </c>
      <c r="Z465" s="287">
        <v>574.30035400390602</v>
      </c>
    </row>
    <row r="466" spans="1:70">
      <c r="A466" s="287" t="s">
        <v>515</v>
      </c>
      <c r="B466" s="287"/>
      <c r="C466" s="287"/>
      <c r="D466" s="287">
        <v>906.997802734375</v>
      </c>
      <c r="E466" s="287">
        <v>1040.25415039063</v>
      </c>
      <c r="F466" s="287">
        <v>1127.77770996094</v>
      </c>
      <c r="G466" s="287">
        <v>1134.0322265625</v>
      </c>
      <c r="H466" s="287">
        <v>1105.07055664063</v>
      </c>
      <c r="I466" s="287">
        <v>1075.20288085938</v>
      </c>
      <c r="J466" s="287">
        <v>1055.26721191406</v>
      </c>
      <c r="K466" s="287">
        <v>1029.66381835938</v>
      </c>
      <c r="L466" s="287">
        <v>1021.22357177734</v>
      </c>
      <c r="M466" s="287">
        <v>1019.92706298828</v>
      </c>
      <c r="N466" s="287">
        <v>1017.18103027344</v>
      </c>
      <c r="O466" s="287">
        <v>1027.91076660156</v>
      </c>
      <c r="P466" s="287">
        <v>1048.35144042969</v>
      </c>
      <c r="Q466" s="287">
        <v>1068.9091796875</v>
      </c>
      <c r="R466" s="287">
        <v>1084.9248046875</v>
      </c>
      <c r="S466" s="287">
        <v>1107.98962402344</v>
      </c>
      <c r="T466" s="287">
        <v>1123.73229980469</v>
      </c>
      <c r="U466" s="287">
        <v>1141.11193847656</v>
      </c>
      <c r="V466" s="287">
        <v>1168.07409667969</v>
      </c>
      <c r="W466" s="287">
        <v>1179.03698730469</v>
      </c>
      <c r="X466" s="287">
        <v>1204.30444335938</v>
      </c>
      <c r="Y466" s="287">
        <v>1227.35278320313</v>
      </c>
      <c r="Z466" s="287">
        <v>1239.12719726563</v>
      </c>
    </row>
    <row r="467" spans="1:70">
      <c r="A467" s="287" t="s">
        <v>628</v>
      </c>
      <c r="B467" s="287"/>
      <c r="C467" s="287"/>
      <c r="D467" s="287">
        <v>2.27928571403027E-2</v>
      </c>
      <c r="E467" s="287">
        <v>3.3822253346443197E-2</v>
      </c>
      <c r="F467" s="287">
        <v>4.68330308794975E-2</v>
      </c>
      <c r="G467" s="287">
        <v>4.2311083525419201E-2</v>
      </c>
      <c r="H467" s="287">
        <v>4.6379543840885197E-2</v>
      </c>
      <c r="I467" s="287">
        <v>5.0339180976152399E-2</v>
      </c>
      <c r="J467" s="287">
        <v>6.3796535134315505E-2</v>
      </c>
      <c r="K467" s="287">
        <v>7.1353547275066403E-2</v>
      </c>
      <c r="L467" s="287">
        <v>7.5695373117923695E-2</v>
      </c>
      <c r="M467" s="287">
        <v>8.06071981787682E-2</v>
      </c>
      <c r="N467" s="287">
        <v>8.2480475306510898E-2</v>
      </c>
      <c r="O467" s="287">
        <v>8.9031867682933793E-2</v>
      </c>
      <c r="P467" s="287">
        <v>9.6231654286384596E-2</v>
      </c>
      <c r="Q467" s="287">
        <v>0.10344713926315301</v>
      </c>
      <c r="R467" s="287">
        <v>0.112680315971375</v>
      </c>
      <c r="S467" s="287">
        <v>0.13150542974471999</v>
      </c>
      <c r="T467" s="287">
        <v>0.15408998727798501</v>
      </c>
      <c r="U467" s="287">
        <v>0.18660007417201999</v>
      </c>
      <c r="V467" s="287">
        <v>0.21707823872566201</v>
      </c>
      <c r="W467" s="287">
        <v>0.243339464068413</v>
      </c>
      <c r="X467" s="287">
        <v>0.28575915098190302</v>
      </c>
      <c r="Y467" s="287">
        <v>0.31987324357032798</v>
      </c>
      <c r="Z467" s="287">
        <v>0.34808513522148099</v>
      </c>
    </row>
    <row r="468" spans="1:70">
      <c r="A468" s="287" t="s">
        <v>517</v>
      </c>
      <c r="B468" s="287"/>
      <c r="C468" s="287"/>
      <c r="D468" s="287">
        <v>907.02056884765602</v>
      </c>
      <c r="E468" s="287">
        <v>1040.28796386719</v>
      </c>
      <c r="F468" s="287">
        <v>1127.82458496094</v>
      </c>
      <c r="G468" s="287">
        <v>1134.07458496094</v>
      </c>
      <c r="H468" s="287">
        <v>1105.11694335938</v>
      </c>
      <c r="I468" s="287">
        <v>1075.25317382813</v>
      </c>
      <c r="J468" s="287">
        <v>1055.3310546875</v>
      </c>
      <c r="K468" s="287">
        <v>1029.73522949219</v>
      </c>
      <c r="L468" s="287">
        <v>1021.29925537109</v>
      </c>
      <c r="M468" s="287">
        <v>1020.00769042969</v>
      </c>
      <c r="N468" s="287">
        <v>1017.26348876953</v>
      </c>
      <c r="O468" s="287">
        <v>1027.99975585938</v>
      </c>
      <c r="P468" s="287">
        <v>1048.44763183594</v>
      </c>
      <c r="Q468" s="287">
        <v>1069.01257324219</v>
      </c>
      <c r="R468" s="287">
        <v>1085.03747558594</v>
      </c>
      <c r="S468" s="287">
        <v>1108.12109375</v>
      </c>
      <c r="T468" s="287">
        <v>1123.88635253906</v>
      </c>
      <c r="U468" s="287">
        <v>1141.29858398438</v>
      </c>
      <c r="V468" s="287">
        <v>1168.29113769531</v>
      </c>
      <c r="W468" s="287">
        <v>1179.2802734375</v>
      </c>
      <c r="X468" s="287">
        <v>1204.59020996094</v>
      </c>
      <c r="Y468" s="287">
        <v>1227.67260742188</v>
      </c>
      <c r="Z468" s="287">
        <v>1239.47534179688</v>
      </c>
    </row>
    <row r="469" spans="1:70">
      <c r="A469" s="275" t="s">
        <v>1077</v>
      </c>
      <c r="B469" s="239" t="s">
        <v>592</v>
      </c>
      <c r="C469" s="287"/>
      <c r="D469" s="287"/>
      <c r="E469" s="287"/>
      <c r="F469" s="287"/>
      <c r="G469" s="287"/>
      <c r="H469" s="287"/>
      <c r="I469" s="287"/>
      <c r="J469" s="287"/>
      <c r="K469" s="287"/>
      <c r="L469" s="287"/>
      <c r="M469" s="287"/>
      <c r="N469" s="287"/>
      <c r="O469" s="287"/>
      <c r="P469" s="287"/>
      <c r="Q469" s="287"/>
      <c r="R469" s="287"/>
      <c r="S469" s="287"/>
      <c r="T469" s="287"/>
      <c r="U469" s="287"/>
      <c r="V469" s="287"/>
      <c r="W469" s="287"/>
      <c r="X469" s="287"/>
      <c r="Y469" s="287"/>
      <c r="Z469" s="287"/>
    </row>
    <row r="470" spans="1:70" ht="13.5" thickBot="1">
      <c r="A470" s="264" t="s">
        <v>310</v>
      </c>
      <c r="B470" s="239" t="s">
        <v>592</v>
      </c>
      <c r="C470" s="287"/>
      <c r="D470" s="287"/>
      <c r="E470" s="287"/>
      <c r="F470" s="287"/>
      <c r="G470" s="287"/>
      <c r="H470" s="287"/>
      <c r="I470" s="287"/>
      <c r="J470" s="287"/>
      <c r="K470" s="287"/>
      <c r="L470" s="287"/>
      <c r="M470" s="287"/>
      <c r="N470" s="287"/>
      <c r="O470" s="287"/>
      <c r="P470" s="287"/>
      <c r="Q470" s="287"/>
      <c r="R470" s="287"/>
      <c r="S470" s="287"/>
      <c r="T470" s="287"/>
      <c r="U470" s="287"/>
      <c r="V470" s="287"/>
      <c r="W470" s="287"/>
      <c r="X470" s="287"/>
      <c r="Y470" s="287"/>
      <c r="Z470" s="287"/>
    </row>
    <row r="471" spans="1:70" ht="13.5" thickBot="1">
      <c r="A471" s="287" t="s">
        <v>972</v>
      </c>
      <c r="B471" s="287"/>
      <c r="C471" s="287"/>
      <c r="D471" s="287"/>
      <c r="E471" s="287"/>
      <c r="F471" s="287"/>
      <c r="G471" s="287"/>
      <c r="H471" s="287"/>
      <c r="I471" s="287"/>
      <c r="J471" s="287"/>
      <c r="K471" s="287"/>
      <c r="L471" s="287"/>
      <c r="M471" s="287"/>
      <c r="N471" s="287"/>
      <c r="O471" s="287"/>
      <c r="P471" s="287"/>
      <c r="Q471" s="287"/>
      <c r="R471" s="287"/>
      <c r="S471" s="287"/>
      <c r="T471" s="287"/>
      <c r="U471" s="287"/>
      <c r="V471" s="287"/>
      <c r="W471" s="287"/>
      <c r="X471" s="287"/>
      <c r="Y471" s="287"/>
      <c r="Z471" s="287"/>
      <c r="AA471" s="265">
        <f>Z641+($AI$471-$Y$641)/10</f>
        <v>8.1072037368774854</v>
      </c>
      <c r="AB471" s="265">
        <f t="shared" ref="AB471:AH471" si="48">AA471+($AI$471-$Y$641)/10</f>
        <v>8.1552847846985532</v>
      </c>
      <c r="AC471" s="265">
        <f t="shared" si="48"/>
        <v>8.203365832519621</v>
      </c>
      <c r="AD471" s="265">
        <f t="shared" si="48"/>
        <v>8.2514468803406888</v>
      </c>
      <c r="AE471" s="265">
        <f t="shared" si="48"/>
        <v>8.2995279281617567</v>
      </c>
      <c r="AF471" s="265">
        <f t="shared" si="48"/>
        <v>8.3476089759828245</v>
      </c>
      <c r="AG471" s="265">
        <f t="shared" si="48"/>
        <v>8.3956900238038923</v>
      </c>
      <c r="AH471" s="265">
        <f t="shared" si="48"/>
        <v>8.4437710716249601</v>
      </c>
      <c r="AI471" s="266">
        <f>T641*$E$742</f>
        <v>8.4918521194460261</v>
      </c>
      <c r="AJ471" s="265">
        <f>AI471+($AX$471-$AI$471)/15</f>
        <v>8.5879736457897184</v>
      </c>
      <c r="AK471" s="265">
        <f t="shared" ref="AK471:AW471" si="49">AJ471+($AX$471-$AI$471)/15</f>
        <v>8.6840951721334108</v>
      </c>
      <c r="AL471" s="265">
        <f t="shared" si="49"/>
        <v>8.7802166984771031</v>
      </c>
      <c r="AM471" s="265">
        <f t="shared" si="49"/>
        <v>8.8763382248207954</v>
      </c>
      <c r="AN471" s="265">
        <f t="shared" si="49"/>
        <v>8.9724597511644877</v>
      </c>
      <c r="AO471" s="265">
        <f t="shared" si="49"/>
        <v>9.06858127750818</v>
      </c>
      <c r="AP471" s="265">
        <f t="shared" si="49"/>
        <v>9.1647028038518723</v>
      </c>
      <c r="AQ471" s="265">
        <f t="shared" si="49"/>
        <v>9.2608243301955646</v>
      </c>
      <c r="AR471" s="265">
        <f t="shared" si="49"/>
        <v>9.3569458565392569</v>
      </c>
      <c r="AS471" s="265">
        <f t="shared" si="49"/>
        <v>9.4530673828829492</v>
      </c>
      <c r="AT471" s="265">
        <f t="shared" si="49"/>
        <v>9.5491889092266415</v>
      </c>
      <c r="AU471" s="265">
        <f t="shared" si="49"/>
        <v>9.6453104355703339</v>
      </c>
      <c r="AV471" s="265">
        <f t="shared" si="49"/>
        <v>9.7414319619140262</v>
      </c>
      <c r="AW471" s="265">
        <f t="shared" si="49"/>
        <v>9.8375534882577185</v>
      </c>
      <c r="AX471" s="266">
        <f>AI471*$B$742</f>
        <v>9.9336750146014001</v>
      </c>
      <c r="AY471" s="265">
        <f>AX471+($BM$471-$AX$471)/15</f>
        <v>10.032035813725209</v>
      </c>
      <c r="AZ471" s="265">
        <f t="shared" ref="AZ471:BL471" si="50">AY471+($BM$471-$AX$471)/15</f>
        <v>10.130396612849017</v>
      </c>
      <c r="BA471" s="265">
        <f t="shared" si="50"/>
        <v>10.228757411972826</v>
      </c>
      <c r="BB471" s="265">
        <f t="shared" si="50"/>
        <v>10.327118211096634</v>
      </c>
      <c r="BC471" s="265">
        <f t="shared" si="50"/>
        <v>10.425479010220442</v>
      </c>
      <c r="BD471" s="265">
        <f t="shared" si="50"/>
        <v>10.523839809344251</v>
      </c>
      <c r="BE471" s="265">
        <f t="shared" si="50"/>
        <v>10.622200608468059</v>
      </c>
      <c r="BF471" s="265">
        <f t="shared" si="50"/>
        <v>10.720561407591868</v>
      </c>
      <c r="BG471" s="265">
        <f t="shared" si="50"/>
        <v>10.818922206715676</v>
      </c>
      <c r="BH471" s="265">
        <f t="shared" si="50"/>
        <v>10.917283005839485</v>
      </c>
      <c r="BI471" s="265">
        <f t="shared" si="50"/>
        <v>11.015643804963293</v>
      </c>
      <c r="BJ471" s="265">
        <f t="shared" si="50"/>
        <v>11.114004604087102</v>
      </c>
      <c r="BK471" s="265">
        <f t="shared" si="50"/>
        <v>11.21236540321091</v>
      </c>
      <c r="BL471" s="265">
        <f t="shared" si="50"/>
        <v>11.310726202334719</v>
      </c>
      <c r="BM471" s="266">
        <f>AX471*$C$742</f>
        <v>11.409087001458516</v>
      </c>
      <c r="BN471" s="265">
        <f>BM471+($BR$471-$BM$471)/5</f>
        <v>11.522056966057418</v>
      </c>
      <c r="BO471" s="265">
        <f>BN471+($BR$471-$BM$471)/5</f>
        <v>11.63502693065632</v>
      </c>
      <c r="BP471" s="265">
        <f>BO471+($BR$471-$BM$471)/5</f>
        <v>11.747996895255222</v>
      </c>
      <c r="BQ471" s="265">
        <f>BP471+($BR$471-$BM$471)/5</f>
        <v>11.860966859854123</v>
      </c>
      <c r="BR471" s="266">
        <f>BM471*$D$742</f>
        <v>11.973936824453022</v>
      </c>
    </row>
    <row r="472" spans="1:70" ht="13.5" thickBot="1">
      <c r="A472" s="287" t="s">
        <v>629</v>
      </c>
      <c r="B472" s="287"/>
      <c r="C472" s="287"/>
      <c r="D472" s="287"/>
      <c r="E472" s="287"/>
      <c r="F472" s="287"/>
      <c r="G472" s="287"/>
      <c r="H472" s="287"/>
      <c r="I472" s="287"/>
      <c r="J472" s="287"/>
      <c r="K472" s="287"/>
      <c r="L472" s="287"/>
      <c r="M472" s="287"/>
      <c r="N472" s="287"/>
      <c r="O472" s="287"/>
      <c r="P472" s="287"/>
      <c r="Q472" s="287"/>
      <c r="R472" s="287"/>
      <c r="S472" s="287"/>
      <c r="T472" s="287"/>
      <c r="U472" s="287"/>
      <c r="V472" s="287"/>
      <c r="W472" s="287"/>
      <c r="X472" s="287"/>
      <c r="Y472" s="287"/>
      <c r="Z472" s="287"/>
      <c r="AA472" s="267">
        <f>Z642+($AI$472-$Y$642)/10</f>
        <v>22.490795032640289</v>
      </c>
      <c r="AB472" s="267">
        <f t="shared" ref="AB472:AH472" si="51">AA472+($AI$472-$Y$642)/10</f>
        <v>22.394891584604984</v>
      </c>
      <c r="AC472" s="267">
        <f t="shared" si="51"/>
        <v>22.29898813656968</v>
      </c>
      <c r="AD472" s="267">
        <f t="shared" si="51"/>
        <v>22.203084688534375</v>
      </c>
      <c r="AE472" s="267">
        <f t="shared" si="51"/>
        <v>22.10718124049907</v>
      </c>
      <c r="AF472" s="267">
        <f t="shared" si="51"/>
        <v>22.011277792463765</v>
      </c>
      <c r="AG472" s="267">
        <f t="shared" si="51"/>
        <v>21.915374344428461</v>
      </c>
      <c r="AH472" s="267">
        <f t="shared" si="51"/>
        <v>21.819470896393156</v>
      </c>
      <c r="AI472" s="268">
        <f>T642*$E$745</f>
        <v>21.723567448357841</v>
      </c>
      <c r="AJ472" s="267">
        <f>AI472+($AX$472-$AI$472)/15</f>
        <v>21.715027463671497</v>
      </c>
      <c r="AK472" s="267">
        <f t="shared" ref="AK472:AW472" si="52">AJ472+($AX$472-$AI$472)/15</f>
        <v>21.706487478985153</v>
      </c>
      <c r="AL472" s="267">
        <f t="shared" si="52"/>
        <v>21.697947494298809</v>
      </c>
      <c r="AM472" s="267">
        <f t="shared" si="52"/>
        <v>21.689407509612465</v>
      </c>
      <c r="AN472" s="267">
        <f t="shared" si="52"/>
        <v>21.680867524926121</v>
      </c>
      <c r="AO472" s="267">
        <f t="shared" si="52"/>
        <v>21.672327540239777</v>
      </c>
      <c r="AP472" s="267">
        <f t="shared" si="52"/>
        <v>21.663787555553434</v>
      </c>
      <c r="AQ472" s="267">
        <f t="shared" si="52"/>
        <v>21.65524757086709</v>
      </c>
      <c r="AR472" s="267">
        <f t="shared" si="52"/>
        <v>21.646707586180746</v>
      </c>
      <c r="AS472" s="267">
        <f t="shared" si="52"/>
        <v>21.638167601494402</v>
      </c>
      <c r="AT472" s="267">
        <f t="shared" si="52"/>
        <v>21.629627616808058</v>
      </c>
      <c r="AU472" s="267">
        <f t="shared" si="52"/>
        <v>21.621087632121714</v>
      </c>
      <c r="AV472" s="267">
        <f t="shared" si="52"/>
        <v>21.61254764743537</v>
      </c>
      <c r="AW472" s="267">
        <f t="shared" si="52"/>
        <v>21.604007662749027</v>
      </c>
      <c r="AX472" s="268">
        <f>AI472*$B$745</f>
        <v>21.595467678062693</v>
      </c>
      <c r="AY472" s="267">
        <f>AX472+($BM$472-$AX$472)/15</f>
        <v>21.609186144316791</v>
      </c>
      <c r="AZ472" s="267">
        <f t="shared" ref="AZ472:BL472" si="53">AY472+($BM$472-$AX$472)/15</f>
        <v>21.622904610570888</v>
      </c>
      <c r="BA472" s="267">
        <f t="shared" si="53"/>
        <v>21.636623076824986</v>
      </c>
      <c r="BB472" s="267">
        <f t="shared" si="53"/>
        <v>21.650341543079083</v>
      </c>
      <c r="BC472" s="267">
        <f t="shared" si="53"/>
        <v>21.664060009333181</v>
      </c>
      <c r="BD472" s="267">
        <f t="shared" si="53"/>
        <v>21.677778475587278</v>
      </c>
      <c r="BE472" s="267">
        <f t="shared" si="53"/>
        <v>21.691496941841375</v>
      </c>
      <c r="BF472" s="267">
        <f t="shared" si="53"/>
        <v>21.705215408095473</v>
      </c>
      <c r="BG472" s="267">
        <f t="shared" si="53"/>
        <v>21.71893387434957</v>
      </c>
      <c r="BH472" s="267">
        <f t="shared" si="53"/>
        <v>21.732652340603668</v>
      </c>
      <c r="BI472" s="267">
        <f t="shared" si="53"/>
        <v>21.746370806857765</v>
      </c>
      <c r="BJ472" s="267">
        <f t="shared" si="53"/>
        <v>21.760089273111863</v>
      </c>
      <c r="BK472" s="267">
        <f t="shared" si="53"/>
        <v>21.77380773936596</v>
      </c>
      <c r="BL472" s="267">
        <f t="shared" si="53"/>
        <v>21.787526205620058</v>
      </c>
      <c r="BM472" s="268">
        <f>AX472*$C$745</f>
        <v>21.801244671874137</v>
      </c>
      <c r="BN472" s="267">
        <f>BM472+($BR$472-$BM$472)/5</f>
        <v>21.815093857443394</v>
      </c>
      <c r="BO472" s="267">
        <f>BN472+($BR$472-$BM$472)/5</f>
        <v>21.82894304301265</v>
      </c>
      <c r="BP472" s="267">
        <f>BO472+($BR$472-$BM$472)/5</f>
        <v>21.842792228581906</v>
      </c>
      <c r="BQ472" s="267">
        <f>BP472+($BR$472-$BM$472)/5</f>
        <v>21.856641414151163</v>
      </c>
      <c r="BR472" s="268">
        <f>BM472*$D$745</f>
        <v>21.870490599720426</v>
      </c>
    </row>
    <row r="473" spans="1:70">
      <c r="A473" s="287" t="s">
        <v>630</v>
      </c>
      <c r="B473" s="287"/>
      <c r="C473" s="287"/>
      <c r="D473" s="287"/>
      <c r="E473" s="287"/>
      <c r="F473" s="287"/>
      <c r="G473" s="287"/>
      <c r="H473" s="287"/>
      <c r="I473" s="287"/>
      <c r="J473" s="287"/>
      <c r="K473" s="287"/>
      <c r="L473" s="287"/>
      <c r="M473" s="287"/>
      <c r="N473" s="287"/>
      <c r="O473" s="287"/>
      <c r="P473" s="287"/>
      <c r="Q473" s="287"/>
      <c r="R473" s="287"/>
      <c r="S473" s="287"/>
      <c r="T473" s="287"/>
      <c r="U473" s="287"/>
      <c r="V473" s="287"/>
      <c r="W473" s="287"/>
      <c r="X473" s="287"/>
      <c r="Y473" s="287"/>
      <c r="Z473" s="287"/>
    </row>
    <row r="474" spans="1:70">
      <c r="A474" s="287" t="s">
        <v>631</v>
      </c>
      <c r="B474" s="287"/>
      <c r="C474" s="287"/>
      <c r="D474" s="287"/>
      <c r="E474" s="287"/>
      <c r="F474" s="287"/>
      <c r="G474" s="287"/>
      <c r="H474" s="287"/>
      <c r="I474" s="287"/>
      <c r="J474" s="287"/>
      <c r="K474" s="287"/>
      <c r="L474" s="287"/>
      <c r="M474" s="287"/>
      <c r="N474" s="287"/>
      <c r="O474" s="287"/>
      <c r="P474" s="287"/>
      <c r="Q474" s="287"/>
      <c r="R474" s="287"/>
      <c r="S474" s="287"/>
      <c r="T474" s="287"/>
      <c r="U474" s="287"/>
      <c r="V474" s="287"/>
      <c r="W474" s="287"/>
      <c r="X474" s="287"/>
      <c r="Y474" s="287"/>
      <c r="Z474" s="287"/>
    </row>
    <row r="475" spans="1:70">
      <c r="A475" s="287" t="s">
        <v>647</v>
      </c>
      <c r="B475" s="287"/>
      <c r="C475" s="287"/>
      <c r="D475" s="287"/>
      <c r="E475" s="287"/>
      <c r="F475" s="287"/>
      <c r="G475" s="287"/>
      <c r="H475" s="287"/>
      <c r="I475" s="287"/>
      <c r="J475" s="287"/>
      <c r="K475" s="287"/>
      <c r="L475" s="287"/>
      <c r="M475" s="287"/>
      <c r="N475" s="287"/>
      <c r="O475" s="287"/>
      <c r="P475" s="287"/>
      <c r="Q475" s="287"/>
      <c r="R475" s="287"/>
      <c r="S475" s="287"/>
      <c r="T475" s="287"/>
      <c r="U475" s="287"/>
      <c r="V475" s="287"/>
      <c r="W475" s="287"/>
      <c r="X475" s="287"/>
      <c r="Y475" s="287"/>
      <c r="Z475" s="287"/>
    </row>
    <row r="476" spans="1:70">
      <c r="A476" s="287" t="s">
        <v>541</v>
      </c>
      <c r="B476" s="287"/>
      <c r="C476" s="287"/>
      <c r="D476" s="287"/>
      <c r="E476" s="287"/>
      <c r="F476" s="287"/>
      <c r="G476" s="287"/>
      <c r="H476" s="287"/>
      <c r="I476" s="287"/>
      <c r="J476" s="287"/>
      <c r="K476" s="287"/>
      <c r="L476" s="287"/>
      <c r="M476" s="287"/>
      <c r="N476" s="287"/>
      <c r="O476" s="287"/>
      <c r="P476" s="287"/>
      <c r="Q476" s="287"/>
      <c r="R476" s="287"/>
      <c r="S476" s="287"/>
      <c r="T476" s="287"/>
      <c r="U476" s="287"/>
      <c r="V476" s="287"/>
      <c r="W476" s="287"/>
      <c r="X476" s="287"/>
      <c r="Y476" s="287"/>
      <c r="Z476" s="287"/>
    </row>
    <row r="477" spans="1:70" ht="52.5" customHeight="1">
      <c r="A477" s="287" t="s">
        <v>648</v>
      </c>
      <c r="B477" s="287"/>
      <c r="C477" s="287"/>
      <c r="D477" s="287"/>
      <c r="E477" s="287"/>
      <c r="F477" s="287"/>
      <c r="G477" s="287"/>
      <c r="H477" s="287"/>
      <c r="I477" s="287"/>
      <c r="J477" s="287"/>
      <c r="K477" s="287"/>
      <c r="L477" s="287"/>
      <c r="M477" s="287"/>
      <c r="N477" s="287"/>
      <c r="O477" s="287"/>
      <c r="P477" s="287"/>
      <c r="Q477" s="287"/>
      <c r="R477" s="287"/>
      <c r="S477" s="287"/>
      <c r="T477" s="287"/>
      <c r="U477" s="287"/>
      <c r="V477" s="287"/>
      <c r="W477" s="287"/>
      <c r="X477" s="287"/>
      <c r="Y477" s="287"/>
      <c r="Z477" s="287"/>
    </row>
    <row r="478" spans="1:70">
      <c r="A478" s="287" t="s">
        <v>649</v>
      </c>
      <c r="B478" s="287"/>
      <c r="C478" s="287"/>
      <c r="D478" s="287"/>
      <c r="E478" s="287"/>
      <c r="F478" s="287"/>
      <c r="G478" s="287"/>
      <c r="H478" s="287"/>
      <c r="I478" s="287"/>
      <c r="J478" s="287"/>
      <c r="K478" s="287"/>
      <c r="L478" s="287"/>
      <c r="M478" s="287"/>
      <c r="N478" s="287"/>
      <c r="O478" s="287"/>
      <c r="P478" s="287"/>
      <c r="Q478" s="287"/>
      <c r="R478" s="287"/>
      <c r="S478" s="287"/>
      <c r="T478" s="287"/>
      <c r="U478" s="287"/>
      <c r="V478" s="287"/>
      <c r="W478" s="287"/>
      <c r="X478" s="287"/>
      <c r="Y478" s="287"/>
      <c r="Z478" s="287"/>
    </row>
    <row r="479" spans="1:70" ht="13.5" thickBot="1">
      <c r="A479" s="287" t="s">
        <v>650</v>
      </c>
      <c r="B479" s="287"/>
      <c r="C479" s="287"/>
      <c r="D479" s="287"/>
      <c r="E479" s="287"/>
      <c r="F479" s="287"/>
      <c r="G479" s="287"/>
      <c r="H479" s="287"/>
      <c r="I479" s="287"/>
      <c r="J479" s="287"/>
      <c r="K479" s="287"/>
      <c r="L479" s="287"/>
      <c r="M479" s="287"/>
      <c r="N479" s="287"/>
      <c r="O479" s="287"/>
      <c r="P479" s="287"/>
      <c r="Q479" s="287"/>
      <c r="R479" s="287"/>
      <c r="S479" s="287"/>
      <c r="T479" s="287"/>
      <c r="U479" s="287"/>
      <c r="V479" s="287"/>
      <c r="W479" s="287"/>
      <c r="X479" s="287"/>
      <c r="Y479" s="287"/>
      <c r="Z479" s="287"/>
    </row>
    <row r="480" spans="1:70" ht="13.5" thickBot="1">
      <c r="A480" s="287" t="s">
        <v>651</v>
      </c>
      <c r="B480" s="287"/>
      <c r="C480" s="287"/>
      <c r="D480" s="287"/>
      <c r="E480" s="287"/>
      <c r="F480" s="287"/>
      <c r="G480" s="287"/>
      <c r="H480" s="287"/>
      <c r="I480" s="287"/>
      <c r="J480" s="287"/>
      <c r="K480" s="287"/>
      <c r="L480" s="287"/>
      <c r="M480" s="287"/>
      <c r="N480" s="287"/>
      <c r="O480" s="287"/>
      <c r="P480" s="287"/>
      <c r="Q480" s="287"/>
      <c r="R480" s="287"/>
      <c r="S480" s="287"/>
      <c r="T480" s="287"/>
      <c r="U480" s="287"/>
      <c r="V480" s="287"/>
      <c r="W480" s="287"/>
      <c r="X480" s="287"/>
      <c r="Y480" s="287"/>
      <c r="Z480" s="287"/>
      <c r="AA480" s="265">
        <f>Z650+($AI$480-$Y$650)/10</f>
        <v>5.5873463921161282</v>
      </c>
      <c r="AB480" s="265">
        <f t="shared" ref="AB480:AH480" si="54">AA480+($AI$480-$Y$650)/10</f>
        <v>5.6146233040707969</v>
      </c>
      <c r="AC480" s="265">
        <f t="shared" si="54"/>
        <v>5.6419002160254657</v>
      </c>
      <c r="AD480" s="265">
        <f t="shared" si="54"/>
        <v>5.6691771279801344</v>
      </c>
      <c r="AE480" s="265">
        <f t="shared" si="54"/>
        <v>5.6964540399348031</v>
      </c>
      <c r="AF480" s="265">
        <f t="shared" si="54"/>
        <v>5.7237309518894719</v>
      </c>
      <c r="AG480" s="265">
        <f t="shared" si="54"/>
        <v>5.7510078638441406</v>
      </c>
      <c r="AH480" s="265">
        <f t="shared" si="54"/>
        <v>5.7782847757988094</v>
      </c>
      <c r="AI480" s="266">
        <f>T650*$E$742</f>
        <v>5.8055616877534817</v>
      </c>
      <c r="AJ480" s="265">
        <f>AI480+($AX$480-$AI$480)/15</f>
        <v>5.8712763802445851</v>
      </c>
      <c r="AK480" s="265">
        <f t="shared" ref="AK480:AW480" si="55">AJ480+($AX$480-$AI$480)/15</f>
        <v>5.9369910727356885</v>
      </c>
      <c r="AL480" s="265">
        <f t="shared" si="55"/>
        <v>6.0027057652267919</v>
      </c>
      <c r="AM480" s="265">
        <f t="shared" si="55"/>
        <v>6.0684204577178953</v>
      </c>
      <c r="AN480" s="265">
        <f t="shared" si="55"/>
        <v>6.1341351502089987</v>
      </c>
      <c r="AO480" s="265">
        <f t="shared" si="55"/>
        <v>6.1998498427001021</v>
      </c>
      <c r="AP480" s="265">
        <f t="shared" si="55"/>
        <v>6.2655645351912055</v>
      </c>
      <c r="AQ480" s="265">
        <f t="shared" si="55"/>
        <v>6.3312792276823089</v>
      </c>
      <c r="AR480" s="265">
        <f t="shared" si="55"/>
        <v>6.3969939201734123</v>
      </c>
      <c r="AS480" s="265">
        <f t="shared" si="55"/>
        <v>6.4627086126645157</v>
      </c>
      <c r="AT480" s="265">
        <f t="shared" si="55"/>
        <v>6.5284233051556191</v>
      </c>
      <c r="AU480" s="265">
        <f t="shared" si="55"/>
        <v>6.5941379976467225</v>
      </c>
      <c r="AV480" s="265">
        <f t="shared" si="55"/>
        <v>6.6598526901378259</v>
      </c>
      <c r="AW480" s="265">
        <f t="shared" si="55"/>
        <v>6.7255673826289293</v>
      </c>
      <c r="AX480" s="266">
        <f>AI480*$B$742</f>
        <v>6.791282075120038</v>
      </c>
      <c r="AY480" s="265">
        <f>AX480+($BM$480-$AX$480)/15</f>
        <v>6.858527674659193</v>
      </c>
      <c r="AZ480" s="265">
        <f t="shared" ref="AZ480:BL480" si="56">AY480+($BM$480-$AX$480)/15</f>
        <v>6.925773274198348</v>
      </c>
      <c r="BA480" s="265">
        <f t="shared" si="56"/>
        <v>6.993018873737503</v>
      </c>
      <c r="BB480" s="265">
        <f t="shared" si="56"/>
        <v>7.060264473276658</v>
      </c>
      <c r="BC480" s="265">
        <f t="shared" si="56"/>
        <v>7.1275100728158129</v>
      </c>
      <c r="BD480" s="265">
        <f t="shared" si="56"/>
        <v>7.1947556723549679</v>
      </c>
      <c r="BE480" s="265">
        <f t="shared" si="56"/>
        <v>7.2620012718941229</v>
      </c>
      <c r="BF480" s="265">
        <f t="shared" si="56"/>
        <v>7.3292468714332779</v>
      </c>
      <c r="BG480" s="265">
        <f t="shared" si="56"/>
        <v>7.3964924709724329</v>
      </c>
      <c r="BH480" s="265">
        <f t="shared" si="56"/>
        <v>7.4637380705115879</v>
      </c>
      <c r="BI480" s="265">
        <f t="shared" si="56"/>
        <v>7.5309836700507429</v>
      </c>
      <c r="BJ480" s="265">
        <f t="shared" si="56"/>
        <v>7.5982292695898979</v>
      </c>
      <c r="BK480" s="265">
        <f t="shared" si="56"/>
        <v>7.6654748691290528</v>
      </c>
      <c r="BL480" s="265">
        <f t="shared" si="56"/>
        <v>7.7327204686682078</v>
      </c>
      <c r="BM480" s="266">
        <f>AX480*$C$742</f>
        <v>7.7999660682073682</v>
      </c>
      <c r="BN480" s="265">
        <f>BM480+($BR$480-$BM$480)/5</f>
        <v>7.8771994077800587</v>
      </c>
      <c r="BO480" s="265">
        <f>BN480+($BR$480-$BM$480)/5</f>
        <v>7.9544327473527492</v>
      </c>
      <c r="BP480" s="265">
        <f>BO480+($BR$480-$BM$480)/5</f>
        <v>8.0316660869254388</v>
      </c>
      <c r="BQ480" s="265">
        <f>BP480+($BR$480-$BM$480)/5</f>
        <v>8.1088994264981284</v>
      </c>
      <c r="BR480" s="266">
        <f>BM480*$D$742</f>
        <v>8.1861327660708199</v>
      </c>
    </row>
    <row r="481" spans="1:70">
      <c r="A481" s="287" t="s">
        <v>652</v>
      </c>
      <c r="B481" s="287"/>
      <c r="C481" s="287"/>
      <c r="D481" s="287"/>
      <c r="E481" s="287"/>
      <c r="F481" s="287"/>
      <c r="G481" s="287"/>
      <c r="H481" s="287"/>
      <c r="I481" s="287"/>
      <c r="J481" s="287"/>
      <c r="K481" s="287"/>
      <c r="L481" s="287"/>
      <c r="M481" s="287"/>
      <c r="N481" s="287"/>
      <c r="O481" s="287"/>
      <c r="P481" s="287"/>
      <c r="Q481" s="287"/>
      <c r="R481" s="287"/>
      <c r="S481" s="287"/>
      <c r="T481" s="287"/>
      <c r="U481" s="287"/>
      <c r="V481" s="287"/>
      <c r="W481" s="287"/>
      <c r="X481" s="287"/>
      <c r="Y481" s="287"/>
      <c r="Z481" s="287"/>
    </row>
    <row r="482" spans="1:70" ht="13.5" thickBot="1">
      <c r="A482" s="287" t="s">
        <v>653</v>
      </c>
      <c r="B482" s="287"/>
      <c r="C482" s="287"/>
      <c r="D482" s="287"/>
      <c r="E482" s="287"/>
      <c r="F482" s="287"/>
      <c r="G482" s="287"/>
      <c r="H482" s="287"/>
      <c r="I482" s="287"/>
      <c r="J482" s="287"/>
      <c r="K482" s="287"/>
      <c r="L482" s="287"/>
      <c r="M482" s="287"/>
      <c r="N482" s="287"/>
      <c r="O482" s="287"/>
      <c r="P482" s="287"/>
      <c r="Q482" s="287"/>
      <c r="R482" s="287"/>
      <c r="S482" s="287"/>
      <c r="T482" s="287"/>
      <c r="U482" s="287"/>
      <c r="V482" s="287"/>
      <c r="W482" s="287"/>
      <c r="X482" s="287"/>
      <c r="Y482" s="287"/>
      <c r="Z482" s="287"/>
    </row>
    <row r="483" spans="1:70" ht="13.5" thickBot="1">
      <c r="A483" s="287" t="s">
        <v>544</v>
      </c>
      <c r="B483" s="287"/>
      <c r="C483" s="287"/>
      <c r="D483" s="287"/>
      <c r="E483" s="287"/>
      <c r="F483" s="287"/>
      <c r="G483" s="287"/>
      <c r="H483" s="287"/>
      <c r="I483" s="287"/>
      <c r="J483" s="287"/>
      <c r="K483" s="287"/>
      <c r="L483" s="287"/>
      <c r="M483" s="287"/>
      <c r="N483" s="287"/>
      <c r="O483" s="287"/>
      <c r="P483" s="287"/>
      <c r="Q483" s="287"/>
      <c r="R483" s="287"/>
      <c r="S483" s="287"/>
      <c r="T483" s="287"/>
      <c r="U483" s="287"/>
      <c r="V483" s="287"/>
      <c r="W483" s="287"/>
      <c r="X483" s="287"/>
      <c r="Y483" s="287"/>
      <c r="Z483" s="287"/>
      <c r="AA483" s="267">
        <f>Z653+($AI$483-$Y$653)/10</f>
        <v>15.747041087587585</v>
      </c>
      <c r="AB483" s="267">
        <f t="shared" ref="AB483:AH483" si="57">AA483+($AI$483-$Y$653)/10</f>
        <v>15.673905881106727</v>
      </c>
      <c r="AC483" s="267">
        <f t="shared" si="57"/>
        <v>15.600770674625869</v>
      </c>
      <c r="AD483" s="267">
        <f t="shared" si="57"/>
        <v>15.527635468145011</v>
      </c>
      <c r="AE483" s="267">
        <f t="shared" si="57"/>
        <v>15.454500261664153</v>
      </c>
      <c r="AF483" s="267">
        <f t="shared" si="57"/>
        <v>15.381365055183295</v>
      </c>
      <c r="AG483" s="267">
        <f t="shared" si="57"/>
        <v>15.308229848702437</v>
      </c>
      <c r="AH483" s="267">
        <f t="shared" si="57"/>
        <v>15.235094642221579</v>
      </c>
      <c r="AI483" s="268">
        <f>T653*$E$745</f>
        <v>15.161959435740725</v>
      </c>
      <c r="AJ483" s="267">
        <f>AI483+($AX$483-$AI$483)/15</f>
        <v>15.155998955184113</v>
      </c>
      <c r="AK483" s="267">
        <f t="shared" ref="AK483:AW483" si="58">AJ483+($AX$483-$AI$483)/15</f>
        <v>15.150038474627502</v>
      </c>
      <c r="AL483" s="267">
        <f t="shared" si="58"/>
        <v>15.144077994070891</v>
      </c>
      <c r="AM483" s="267">
        <f t="shared" si="58"/>
        <v>15.138117513514279</v>
      </c>
      <c r="AN483" s="267">
        <f t="shared" si="58"/>
        <v>15.132157032957668</v>
      </c>
      <c r="AO483" s="267">
        <f t="shared" si="58"/>
        <v>15.126196552401057</v>
      </c>
      <c r="AP483" s="267">
        <f t="shared" si="58"/>
        <v>15.120236071844445</v>
      </c>
      <c r="AQ483" s="267">
        <f t="shared" si="58"/>
        <v>15.114275591287834</v>
      </c>
      <c r="AR483" s="267">
        <f t="shared" si="58"/>
        <v>15.108315110731223</v>
      </c>
      <c r="AS483" s="267">
        <f t="shared" si="58"/>
        <v>15.102354630174611</v>
      </c>
      <c r="AT483" s="267">
        <f t="shared" si="58"/>
        <v>15.096394149618</v>
      </c>
      <c r="AU483" s="267">
        <f t="shared" si="58"/>
        <v>15.090433669061388</v>
      </c>
      <c r="AV483" s="267">
        <f t="shared" si="58"/>
        <v>15.084473188504777</v>
      </c>
      <c r="AW483" s="267">
        <f t="shared" si="58"/>
        <v>15.078512707948166</v>
      </c>
      <c r="AX483" s="268">
        <f>AI483*$B$745</f>
        <v>15.072552227391549</v>
      </c>
      <c r="AY483" s="267">
        <f>AX483+($BM$483-$AX$483)/15</f>
        <v>15.082127028094042</v>
      </c>
      <c r="AZ483" s="267">
        <f t="shared" ref="AZ483:BL483" si="59">AY483+($BM$483-$AX$483)/15</f>
        <v>15.091701828796536</v>
      </c>
      <c r="BA483" s="267">
        <f t="shared" si="59"/>
        <v>15.101276629499029</v>
      </c>
      <c r="BB483" s="267">
        <f t="shared" si="59"/>
        <v>15.110851430201523</v>
      </c>
      <c r="BC483" s="267">
        <f t="shared" si="59"/>
        <v>15.120426230904016</v>
      </c>
      <c r="BD483" s="267">
        <f t="shared" si="59"/>
        <v>15.130001031606509</v>
      </c>
      <c r="BE483" s="267">
        <f t="shared" si="59"/>
        <v>15.139575832309003</v>
      </c>
      <c r="BF483" s="267">
        <f t="shared" si="59"/>
        <v>15.149150633011496</v>
      </c>
      <c r="BG483" s="267">
        <f t="shared" si="59"/>
        <v>15.15872543371399</v>
      </c>
      <c r="BH483" s="267">
        <f t="shared" si="59"/>
        <v>15.168300234416483</v>
      </c>
      <c r="BI483" s="267">
        <f t="shared" si="59"/>
        <v>15.177875035118976</v>
      </c>
      <c r="BJ483" s="267">
        <f t="shared" si="59"/>
        <v>15.18744983582147</v>
      </c>
      <c r="BK483" s="267">
        <f t="shared" si="59"/>
        <v>15.197024636523963</v>
      </c>
      <c r="BL483" s="267">
        <f t="shared" si="59"/>
        <v>15.206599437226457</v>
      </c>
      <c r="BM483" s="268">
        <f>AX483*$C$745</f>
        <v>15.216174237928941</v>
      </c>
      <c r="BN483" s="267">
        <f>BM483+($BR$483-$BM$483)/5</f>
        <v>15.225840274150585</v>
      </c>
      <c r="BO483" s="267">
        <f>BN483+($BR$483-$BM$483)/5</f>
        <v>15.235506310372228</v>
      </c>
      <c r="BP483" s="267">
        <f>BO483+($BR$483-$BM$483)/5</f>
        <v>15.245172346593872</v>
      </c>
      <c r="BQ483" s="267">
        <f>BP483+($BR$483-$BM$483)/5</f>
        <v>15.254838382815516</v>
      </c>
      <c r="BR483" s="268">
        <f>BM483*$D$745</f>
        <v>15.264504419037157</v>
      </c>
    </row>
    <row r="484" spans="1:70">
      <c r="A484" s="287" t="s">
        <v>654</v>
      </c>
      <c r="B484" s="287"/>
      <c r="C484" s="287"/>
      <c r="D484" s="287"/>
      <c r="E484" s="287"/>
      <c r="F484" s="287"/>
      <c r="G484" s="287"/>
      <c r="H484" s="287"/>
      <c r="I484" s="287"/>
      <c r="J484" s="287"/>
      <c r="K484" s="287"/>
      <c r="L484" s="287"/>
      <c r="M484" s="287"/>
      <c r="N484" s="287"/>
      <c r="O484" s="287"/>
      <c r="P484" s="287"/>
      <c r="Q484" s="287"/>
      <c r="R484" s="287"/>
      <c r="S484" s="287"/>
      <c r="T484" s="287"/>
      <c r="U484" s="287"/>
      <c r="V484" s="287"/>
      <c r="W484" s="287"/>
      <c r="X484" s="287"/>
      <c r="Y484" s="287"/>
      <c r="Z484" s="287"/>
    </row>
    <row r="485" spans="1:70">
      <c r="A485" s="287" t="s">
        <v>655</v>
      </c>
      <c r="B485" s="287"/>
      <c r="C485" s="287"/>
      <c r="D485" s="287"/>
      <c r="E485" s="287"/>
      <c r="F485" s="287"/>
      <c r="G485" s="287"/>
      <c r="H485" s="287"/>
      <c r="I485" s="287"/>
      <c r="J485" s="287"/>
      <c r="K485" s="287"/>
      <c r="L485" s="287"/>
      <c r="M485" s="287"/>
      <c r="N485" s="287"/>
      <c r="O485" s="287"/>
      <c r="P485" s="287"/>
      <c r="Q485" s="287"/>
      <c r="R485" s="287"/>
      <c r="S485" s="287"/>
      <c r="T485" s="287"/>
      <c r="U485" s="287"/>
      <c r="V485" s="287"/>
      <c r="W485" s="287"/>
      <c r="X485" s="287"/>
      <c r="Y485" s="287"/>
      <c r="Z485" s="287"/>
    </row>
    <row r="486" spans="1:70">
      <c r="A486" s="287" t="s">
        <v>656</v>
      </c>
      <c r="B486" s="287"/>
      <c r="C486" s="287"/>
      <c r="D486" s="287"/>
      <c r="E486" s="287"/>
      <c r="F486" s="287"/>
      <c r="G486" s="287"/>
      <c r="H486" s="287"/>
      <c r="I486" s="287"/>
      <c r="J486" s="287"/>
      <c r="K486" s="287"/>
      <c r="L486" s="287"/>
      <c r="M486" s="287"/>
      <c r="N486" s="287"/>
      <c r="O486" s="287"/>
      <c r="P486" s="287"/>
      <c r="Q486" s="287"/>
      <c r="R486" s="287"/>
      <c r="S486" s="287"/>
      <c r="T486" s="287"/>
      <c r="U486" s="287"/>
      <c r="V486" s="287"/>
      <c r="W486" s="287"/>
      <c r="X486" s="287"/>
      <c r="Y486" s="287"/>
      <c r="Z486" s="287"/>
    </row>
    <row r="487" spans="1:70" ht="13.5" thickBot="1">
      <c r="A487" s="287" t="s">
        <v>657</v>
      </c>
      <c r="B487" s="287"/>
      <c r="C487" s="287"/>
      <c r="D487" s="287"/>
      <c r="E487" s="287"/>
      <c r="F487" s="287"/>
      <c r="G487" s="287"/>
      <c r="H487" s="287"/>
      <c r="I487" s="287"/>
      <c r="J487" s="287"/>
      <c r="K487" s="287"/>
      <c r="L487" s="287"/>
      <c r="M487" s="287"/>
      <c r="N487" s="287"/>
      <c r="O487" s="287"/>
      <c r="P487" s="287"/>
      <c r="Q487" s="287"/>
      <c r="R487" s="287"/>
      <c r="S487" s="287"/>
      <c r="T487" s="287"/>
      <c r="U487" s="287"/>
      <c r="V487" s="287"/>
      <c r="W487" s="287"/>
      <c r="X487" s="287"/>
      <c r="Y487" s="287"/>
      <c r="Z487" s="287"/>
    </row>
    <row r="488" spans="1:70" ht="13.5" thickBot="1">
      <c r="A488" s="287" t="s">
        <v>658</v>
      </c>
      <c r="B488" s="287"/>
      <c r="C488" s="287"/>
      <c r="D488" s="287"/>
      <c r="E488" s="287"/>
      <c r="F488" s="287"/>
      <c r="G488" s="287"/>
      <c r="H488" s="287"/>
      <c r="I488" s="287"/>
      <c r="J488" s="287"/>
      <c r="K488" s="287"/>
      <c r="L488" s="287"/>
      <c r="M488" s="287"/>
      <c r="N488" s="287"/>
      <c r="O488" s="287"/>
      <c r="P488" s="287"/>
      <c r="Q488" s="287"/>
      <c r="R488" s="287"/>
      <c r="S488" s="287"/>
      <c r="T488" s="287"/>
      <c r="U488" s="287"/>
      <c r="V488" s="287"/>
      <c r="W488" s="287"/>
      <c r="X488" s="287"/>
      <c r="Y488" s="287"/>
      <c r="Z488" s="287"/>
      <c r="AA488" s="269">
        <f>Z658+($AI$488-$Y$658)/10</f>
        <v>13.224797394153365</v>
      </c>
      <c r="AB488" s="269">
        <f t="shared" ref="AB488:AH488" si="60">AA488+($AI$488-$Y$658)/10</f>
        <v>13.589441040570847</v>
      </c>
      <c r="AC488" s="269">
        <f t="shared" si="60"/>
        <v>13.954084686988329</v>
      </c>
      <c r="AD488" s="269">
        <f t="shared" si="60"/>
        <v>14.318728333405812</v>
      </c>
      <c r="AE488" s="269">
        <f t="shared" si="60"/>
        <v>14.683371979823294</v>
      </c>
      <c r="AF488" s="269">
        <f t="shared" si="60"/>
        <v>15.048015626240776</v>
      </c>
      <c r="AG488" s="269">
        <f t="shared" si="60"/>
        <v>15.412659272658258</v>
      </c>
      <c r="AH488" s="269">
        <f t="shared" si="60"/>
        <v>15.777302919075741</v>
      </c>
      <c r="AI488" s="270">
        <f>T658*$E$744</f>
        <v>16.141946565493228</v>
      </c>
      <c r="AJ488" s="269">
        <f>AI488+($AX$488-$AI$488)/15</f>
        <v>16.312798018423909</v>
      </c>
      <c r="AK488" s="269">
        <f t="shared" ref="AK488:AW488" si="61">AJ488+($AX$488-$AI$488)/15</f>
        <v>16.483649471354589</v>
      </c>
      <c r="AL488" s="269">
        <f t="shared" si="61"/>
        <v>16.654500924285269</v>
      </c>
      <c r="AM488" s="269">
        <f t="shared" si="61"/>
        <v>16.82535237721595</v>
      </c>
      <c r="AN488" s="269">
        <f t="shared" si="61"/>
        <v>16.99620383014663</v>
      </c>
      <c r="AO488" s="269">
        <f t="shared" si="61"/>
        <v>17.16705528307731</v>
      </c>
      <c r="AP488" s="269">
        <f t="shared" si="61"/>
        <v>17.337906736007991</v>
      </c>
      <c r="AQ488" s="269">
        <f t="shared" si="61"/>
        <v>17.508758188938671</v>
      </c>
      <c r="AR488" s="269">
        <f t="shared" si="61"/>
        <v>17.679609641869352</v>
      </c>
      <c r="AS488" s="269">
        <f t="shared" si="61"/>
        <v>17.850461094800032</v>
      </c>
      <c r="AT488" s="269">
        <f t="shared" si="61"/>
        <v>18.021312547730712</v>
      </c>
      <c r="AU488" s="269">
        <f t="shared" si="61"/>
        <v>18.192164000661393</v>
      </c>
      <c r="AV488" s="269">
        <f t="shared" si="61"/>
        <v>18.363015453592073</v>
      </c>
      <c r="AW488" s="269">
        <f t="shared" si="61"/>
        <v>18.533866906522753</v>
      </c>
      <c r="AX488" s="270">
        <f>AI488*$B$744</f>
        <v>18.704718359453445</v>
      </c>
      <c r="AY488" s="269">
        <f>AX488+($BM$488-$AX$488)/15</f>
        <v>18.811222625087144</v>
      </c>
      <c r="AZ488" s="269">
        <f t="shared" ref="AZ488:BL488" si="62">AY488+($BM$488-$AX$488)/15</f>
        <v>18.917726890720843</v>
      </c>
      <c r="BA488" s="269">
        <f t="shared" si="62"/>
        <v>19.024231156354542</v>
      </c>
      <c r="BB488" s="269">
        <f t="shared" si="62"/>
        <v>19.130735421988241</v>
      </c>
      <c r="BC488" s="269">
        <f t="shared" si="62"/>
        <v>19.23723968762194</v>
      </c>
      <c r="BD488" s="269">
        <f t="shared" si="62"/>
        <v>19.34374395325564</v>
      </c>
      <c r="BE488" s="269">
        <f t="shared" si="62"/>
        <v>19.450248218889339</v>
      </c>
      <c r="BF488" s="269">
        <f t="shared" si="62"/>
        <v>19.556752484523038</v>
      </c>
      <c r="BG488" s="269">
        <f t="shared" si="62"/>
        <v>19.663256750156737</v>
      </c>
      <c r="BH488" s="269">
        <f t="shared" si="62"/>
        <v>19.769761015790436</v>
      </c>
      <c r="BI488" s="269">
        <f t="shared" si="62"/>
        <v>19.876265281424136</v>
      </c>
      <c r="BJ488" s="269">
        <f t="shared" si="62"/>
        <v>19.982769547057835</v>
      </c>
      <c r="BK488" s="269">
        <f t="shared" si="62"/>
        <v>20.089273812691534</v>
      </c>
      <c r="BL488" s="269">
        <f t="shared" si="62"/>
        <v>20.195778078325233</v>
      </c>
      <c r="BM488" s="270">
        <f>AX488*$C$744</f>
        <v>20.302282343958908</v>
      </c>
      <c r="BN488" s="269">
        <f>BM488+($BR$488-$BM$488)/5</f>
        <v>20.417883104696291</v>
      </c>
      <c r="BO488" s="269">
        <f>BN488+($BR$488-$BM$488)/5</f>
        <v>20.533483865433674</v>
      </c>
      <c r="BP488" s="269">
        <f>BO488+($BR$488-$BM$488)/5</f>
        <v>20.649084626171057</v>
      </c>
      <c r="BQ488" s="269">
        <f>BP488+($BR$488-$BM$488)/5</f>
        <v>20.76468538690844</v>
      </c>
      <c r="BR488" s="270">
        <f>BM488*$D$744</f>
        <v>20.880286147645826</v>
      </c>
    </row>
    <row r="489" spans="1:70" ht="13.5" thickBot="1">
      <c r="A489" s="287" t="s">
        <v>659</v>
      </c>
      <c r="B489" s="287"/>
      <c r="C489" s="287"/>
      <c r="D489" s="287"/>
      <c r="E489" s="287"/>
      <c r="F489" s="287"/>
      <c r="G489" s="287"/>
      <c r="H489" s="287"/>
      <c r="I489" s="287"/>
      <c r="J489" s="287"/>
      <c r="K489" s="287"/>
      <c r="L489" s="287"/>
      <c r="M489" s="287"/>
      <c r="N489" s="287"/>
      <c r="O489" s="287"/>
      <c r="P489" s="287"/>
      <c r="Q489" s="287"/>
      <c r="R489" s="287"/>
      <c r="S489" s="287"/>
      <c r="T489" s="287"/>
      <c r="U489" s="287"/>
      <c r="V489" s="287"/>
      <c r="W489" s="287"/>
      <c r="X489" s="287"/>
      <c r="Y489" s="287"/>
      <c r="Z489" s="287"/>
    </row>
    <row r="490" spans="1:70" ht="13.5" thickBot="1">
      <c r="A490" s="287" t="s">
        <v>660</v>
      </c>
      <c r="B490" s="287"/>
      <c r="C490" s="287"/>
      <c r="D490" s="287"/>
      <c r="E490" s="287"/>
      <c r="F490" s="287"/>
      <c r="G490" s="287"/>
      <c r="H490" s="287"/>
      <c r="I490" s="287"/>
      <c r="J490" s="287"/>
      <c r="K490" s="287"/>
      <c r="L490" s="287"/>
      <c r="M490" s="287"/>
      <c r="N490" s="287"/>
      <c r="O490" s="287"/>
      <c r="P490" s="287"/>
      <c r="Q490" s="287"/>
      <c r="R490" s="287"/>
      <c r="S490" s="287"/>
      <c r="T490" s="287"/>
      <c r="U490" s="287"/>
      <c r="V490" s="287"/>
      <c r="W490" s="287"/>
      <c r="X490" s="287"/>
      <c r="Y490" s="287"/>
      <c r="Z490" s="287"/>
      <c r="AA490" s="269">
        <f>Z660+($AI$490-$Y$660)/10</f>
        <v>15.4577980437679</v>
      </c>
      <c r="AB490" s="269">
        <f t="shared" ref="AB490:AH490" si="63">AA490+($AI$490-$Y$660)/10</f>
        <v>15.88385635596555</v>
      </c>
      <c r="AC490" s="269">
        <f t="shared" si="63"/>
        <v>16.309914668163202</v>
      </c>
      <c r="AD490" s="269">
        <f t="shared" si="63"/>
        <v>16.735972980360852</v>
      </c>
      <c r="AE490" s="269">
        <f t="shared" si="63"/>
        <v>17.162031292558503</v>
      </c>
      <c r="AF490" s="269">
        <f t="shared" si="63"/>
        <v>17.588089604756153</v>
      </c>
      <c r="AG490" s="269">
        <f t="shared" si="63"/>
        <v>18.014147916953803</v>
      </c>
      <c r="AH490" s="269">
        <f t="shared" si="63"/>
        <v>18.440206229151453</v>
      </c>
      <c r="AI490" s="270">
        <f>T660*$E$744</f>
        <v>18.866264541349103</v>
      </c>
      <c r="AJ490" s="269">
        <f>AI490+($AX$490-$AI$490)/15</f>
        <v>19.065951034869943</v>
      </c>
      <c r="AK490" s="269">
        <f t="shared" ref="AK490:AW490" si="64">AJ490+($AX$490-$AI$490)/15</f>
        <v>19.265637528390783</v>
      </c>
      <c r="AL490" s="269">
        <f t="shared" si="64"/>
        <v>19.465324021911623</v>
      </c>
      <c r="AM490" s="269">
        <f t="shared" si="64"/>
        <v>19.665010515432463</v>
      </c>
      <c r="AN490" s="269">
        <f t="shared" si="64"/>
        <v>19.864697008953303</v>
      </c>
      <c r="AO490" s="269">
        <f t="shared" si="64"/>
        <v>20.064383502474143</v>
      </c>
      <c r="AP490" s="269">
        <f t="shared" si="64"/>
        <v>20.264069995994983</v>
      </c>
      <c r="AQ490" s="269">
        <f t="shared" si="64"/>
        <v>20.463756489515823</v>
      </c>
      <c r="AR490" s="269">
        <f t="shared" si="64"/>
        <v>20.663442983036663</v>
      </c>
      <c r="AS490" s="269">
        <f t="shared" si="64"/>
        <v>20.863129476557503</v>
      </c>
      <c r="AT490" s="269">
        <f t="shared" si="64"/>
        <v>21.062815970078343</v>
      </c>
      <c r="AU490" s="269">
        <f t="shared" si="64"/>
        <v>21.262502463599183</v>
      </c>
      <c r="AV490" s="269">
        <f t="shared" si="64"/>
        <v>21.462188957120024</v>
      </c>
      <c r="AW490" s="269">
        <f t="shared" si="64"/>
        <v>21.661875450640864</v>
      </c>
      <c r="AX490" s="270">
        <f>AI490*$B$744</f>
        <v>21.861561944161682</v>
      </c>
      <c r="AY490" s="269">
        <f>AX490+($BM$490-$AX$490)/15</f>
        <v>21.986041209538687</v>
      </c>
      <c r="AZ490" s="269">
        <f t="shared" ref="AZ490:BL490" si="65">AY490+($BM$490-$AX$490)/15</f>
        <v>22.110520474915692</v>
      </c>
      <c r="BA490" s="269">
        <f t="shared" si="65"/>
        <v>22.234999740292697</v>
      </c>
      <c r="BB490" s="269">
        <f t="shared" si="65"/>
        <v>22.359479005669701</v>
      </c>
      <c r="BC490" s="269">
        <f t="shared" si="65"/>
        <v>22.483958271046706</v>
      </c>
      <c r="BD490" s="269">
        <f t="shared" si="65"/>
        <v>22.608437536423711</v>
      </c>
      <c r="BE490" s="269">
        <f t="shared" si="65"/>
        <v>22.732916801800716</v>
      </c>
      <c r="BF490" s="269">
        <f t="shared" si="65"/>
        <v>22.857396067177721</v>
      </c>
      <c r="BG490" s="269">
        <f t="shared" si="65"/>
        <v>22.981875332554726</v>
      </c>
      <c r="BH490" s="269">
        <f t="shared" si="65"/>
        <v>23.10635459793173</v>
      </c>
      <c r="BI490" s="269">
        <f t="shared" si="65"/>
        <v>23.230833863308735</v>
      </c>
      <c r="BJ490" s="269">
        <f t="shared" si="65"/>
        <v>23.35531312868574</v>
      </c>
      <c r="BK490" s="269">
        <f t="shared" si="65"/>
        <v>23.479792394062745</v>
      </c>
      <c r="BL490" s="269">
        <f t="shared" si="65"/>
        <v>23.60427165943975</v>
      </c>
      <c r="BM490" s="270">
        <f>AX490*$C$744</f>
        <v>23.728750924816747</v>
      </c>
      <c r="BN490" s="269">
        <f>BM490+($BR$490-$BM$490)/5</f>
        <v>23.863861924249427</v>
      </c>
      <c r="BO490" s="269">
        <f>BN490+($BR$490-$BM$490)/5</f>
        <v>23.998972923682107</v>
      </c>
      <c r="BP490" s="269">
        <f>BO490+($BR$490-$BM$490)/5</f>
        <v>24.134083923114787</v>
      </c>
      <c r="BQ490" s="269">
        <f>BP490+($BR$490-$BM$490)/5</f>
        <v>24.269194922547467</v>
      </c>
      <c r="BR490" s="270">
        <f>BM490*$D$744</f>
        <v>24.404305921980139</v>
      </c>
    </row>
    <row r="491" spans="1:70">
      <c r="A491" s="287" t="s">
        <v>662</v>
      </c>
      <c r="B491" s="287"/>
      <c r="C491" s="287"/>
      <c r="D491" s="287"/>
      <c r="E491" s="287"/>
      <c r="F491" s="287"/>
      <c r="G491" s="287"/>
      <c r="H491" s="287"/>
      <c r="I491" s="287"/>
      <c r="J491" s="287"/>
      <c r="K491" s="287"/>
      <c r="L491" s="287"/>
      <c r="M491" s="287"/>
      <c r="N491" s="287"/>
      <c r="O491" s="287"/>
      <c r="P491" s="287"/>
      <c r="Q491" s="287"/>
      <c r="R491" s="287"/>
      <c r="S491" s="287"/>
      <c r="T491" s="287"/>
      <c r="U491" s="287"/>
      <c r="V491" s="287"/>
      <c r="W491" s="287"/>
      <c r="X491" s="287"/>
      <c r="Y491" s="287"/>
      <c r="Z491" s="287"/>
    </row>
    <row r="492" spans="1:70">
      <c r="A492" s="287" t="s">
        <v>922</v>
      </c>
      <c r="B492" s="287"/>
      <c r="C492" s="287"/>
      <c r="D492" s="287"/>
      <c r="E492" s="287"/>
      <c r="F492" s="287"/>
      <c r="G492" s="287"/>
      <c r="H492" s="287"/>
      <c r="I492" s="287"/>
      <c r="J492" s="287"/>
      <c r="K492" s="287"/>
      <c r="L492" s="287"/>
      <c r="M492" s="287"/>
      <c r="N492" s="287"/>
      <c r="O492" s="287"/>
      <c r="P492" s="287"/>
      <c r="Q492" s="287"/>
      <c r="R492" s="287"/>
      <c r="S492" s="287"/>
      <c r="T492" s="287"/>
      <c r="U492" s="287"/>
      <c r="V492" s="287"/>
      <c r="W492" s="287"/>
      <c r="X492" s="287"/>
      <c r="Y492" s="287"/>
      <c r="Z492" s="287"/>
    </row>
    <row r="493" spans="1:70" ht="13.5" thickBot="1">
      <c r="A493" s="287" t="s">
        <v>923</v>
      </c>
      <c r="B493" s="287"/>
      <c r="C493" s="287"/>
      <c r="D493" s="287"/>
      <c r="E493" s="287"/>
      <c r="F493" s="287"/>
      <c r="G493" s="287"/>
      <c r="H493" s="287"/>
      <c r="I493" s="287"/>
      <c r="J493" s="287"/>
      <c r="K493" s="287"/>
      <c r="L493" s="287"/>
      <c r="M493" s="287"/>
      <c r="N493" s="287"/>
      <c r="O493" s="287"/>
      <c r="P493" s="287"/>
      <c r="Q493" s="287"/>
      <c r="R493" s="287"/>
      <c r="S493" s="287"/>
      <c r="T493" s="287"/>
      <c r="U493" s="287"/>
      <c r="V493" s="287"/>
      <c r="W493" s="287"/>
      <c r="X493" s="287"/>
      <c r="Y493" s="287"/>
      <c r="Z493" s="287"/>
    </row>
    <row r="494" spans="1:70" ht="13.5" thickBot="1">
      <c r="A494" s="287" t="s">
        <v>945</v>
      </c>
      <c r="B494" s="287"/>
      <c r="C494" s="287"/>
      <c r="D494" s="287"/>
      <c r="E494" s="287"/>
      <c r="F494" s="287"/>
      <c r="G494" s="287"/>
      <c r="H494" s="287"/>
      <c r="I494" s="287"/>
      <c r="J494" s="287"/>
      <c r="K494" s="287"/>
      <c r="L494" s="287"/>
      <c r="M494" s="287"/>
      <c r="N494" s="287"/>
      <c r="O494" s="287"/>
      <c r="P494" s="287"/>
      <c r="Q494" s="287"/>
      <c r="R494" s="287"/>
      <c r="S494" s="287"/>
      <c r="T494" s="287"/>
      <c r="U494" s="287"/>
      <c r="V494" s="287"/>
      <c r="W494" s="287"/>
      <c r="X494" s="287"/>
      <c r="Y494" s="287"/>
      <c r="Z494" s="287"/>
      <c r="AA494" s="271">
        <f>Z664+($AI$494-$Y$664)/10</f>
        <v>19.493346965415647</v>
      </c>
      <c r="AB494" s="271">
        <f t="shared" ref="AB494:AH494" si="66">AA494+($AI$494-$Y$664)/10</f>
        <v>19.39274662152437</v>
      </c>
      <c r="AC494" s="271">
        <f t="shared" si="66"/>
        <v>19.292146277633094</v>
      </c>
      <c r="AD494" s="271">
        <f t="shared" si="66"/>
        <v>19.191545933741818</v>
      </c>
      <c r="AE494" s="271">
        <f t="shared" si="66"/>
        <v>19.090945589850541</v>
      </c>
      <c r="AF494" s="271">
        <f t="shared" si="66"/>
        <v>18.990345245959265</v>
      </c>
      <c r="AG494" s="271">
        <f t="shared" si="66"/>
        <v>18.889744902067989</v>
      </c>
      <c r="AH494" s="271">
        <f t="shared" si="66"/>
        <v>18.789144558176712</v>
      </c>
      <c r="AI494" s="272">
        <f>T664*$E$747</f>
        <v>18.68854421428545</v>
      </c>
      <c r="AJ494" s="271">
        <f>AI494+($AX$494-$AI$494)/15</f>
        <v>18.700972398006513</v>
      </c>
      <c r="AK494" s="271">
        <f t="shared" ref="AK494:AW494" si="67">AJ494+($AX$494-$AI$494)/15</f>
        <v>18.713400581727576</v>
      </c>
      <c r="AL494" s="271">
        <f t="shared" si="67"/>
        <v>18.72582876544864</v>
      </c>
      <c r="AM494" s="271">
        <f t="shared" si="67"/>
        <v>18.738256949169703</v>
      </c>
      <c r="AN494" s="271">
        <f t="shared" si="67"/>
        <v>18.750685132890766</v>
      </c>
      <c r="AO494" s="271">
        <f t="shared" si="67"/>
        <v>18.763113316611829</v>
      </c>
      <c r="AP494" s="271">
        <f t="shared" si="67"/>
        <v>18.775541500332892</v>
      </c>
      <c r="AQ494" s="271">
        <f t="shared" si="67"/>
        <v>18.787969684053955</v>
      </c>
      <c r="AR494" s="271">
        <f t="shared" si="67"/>
        <v>18.800397867775018</v>
      </c>
      <c r="AS494" s="271">
        <f t="shared" si="67"/>
        <v>18.812826051496081</v>
      </c>
      <c r="AT494" s="271">
        <f t="shared" si="67"/>
        <v>18.825254235217145</v>
      </c>
      <c r="AU494" s="271">
        <f t="shared" si="67"/>
        <v>18.837682418938208</v>
      </c>
      <c r="AV494" s="271">
        <f t="shared" si="67"/>
        <v>18.850110602659271</v>
      </c>
      <c r="AW494" s="271">
        <f t="shared" si="67"/>
        <v>18.862538786380334</v>
      </c>
      <c r="AX494" s="272">
        <f>AI494*$B$747</f>
        <v>18.874966970101411</v>
      </c>
      <c r="AY494" s="271">
        <f>AX494+($BM$494-$AX$494)/15</f>
        <v>18.881381252955478</v>
      </c>
      <c r="AZ494" s="271">
        <f t="shared" ref="AZ494:BL494" si="68">AY494+($BM$494-$AX$494)/15</f>
        <v>18.887795535809545</v>
      </c>
      <c r="BA494" s="271">
        <f t="shared" si="68"/>
        <v>18.894209818663612</v>
      </c>
      <c r="BB494" s="271">
        <f t="shared" si="68"/>
        <v>18.900624101517678</v>
      </c>
      <c r="BC494" s="271">
        <f t="shared" si="68"/>
        <v>18.907038384371745</v>
      </c>
      <c r="BD494" s="271">
        <f t="shared" si="68"/>
        <v>18.913452667225812</v>
      </c>
      <c r="BE494" s="271">
        <f t="shared" si="68"/>
        <v>18.919866950079879</v>
      </c>
      <c r="BF494" s="271">
        <f t="shared" si="68"/>
        <v>18.926281232933945</v>
      </c>
      <c r="BG494" s="271">
        <f t="shared" si="68"/>
        <v>18.932695515788012</v>
      </c>
      <c r="BH494" s="271">
        <f t="shared" si="68"/>
        <v>18.939109798642079</v>
      </c>
      <c r="BI494" s="271">
        <f t="shared" si="68"/>
        <v>18.945524081496146</v>
      </c>
      <c r="BJ494" s="271">
        <f t="shared" si="68"/>
        <v>18.951938364350212</v>
      </c>
      <c r="BK494" s="271">
        <f t="shared" si="68"/>
        <v>18.958352647204279</v>
      </c>
      <c r="BL494" s="271">
        <f t="shared" si="68"/>
        <v>18.964766930058346</v>
      </c>
      <c r="BM494" s="272">
        <f>AX494*$C$747</f>
        <v>18.971181212912409</v>
      </c>
      <c r="BN494" s="271">
        <f>BM494+($BR$494-$BM$494)/5</f>
        <v>18.97762819226703</v>
      </c>
      <c r="BO494" s="271">
        <f>BN494+($BR$494-$BM$494)/5</f>
        <v>18.984075171621651</v>
      </c>
      <c r="BP494" s="271">
        <f>BO494+($BR$494-$BM$494)/5</f>
        <v>18.990522150976272</v>
      </c>
      <c r="BQ494" s="271">
        <f>BP494+($BR$494-$BM$494)/5</f>
        <v>18.996969130330893</v>
      </c>
      <c r="BR494" s="272">
        <f>BM494*$D$747</f>
        <v>19.003416109685507</v>
      </c>
    </row>
    <row r="495" spans="1:70">
      <c r="A495" s="287" t="s">
        <v>946</v>
      </c>
      <c r="B495" s="287"/>
      <c r="C495" s="287"/>
      <c r="D495" s="287"/>
      <c r="E495" s="287"/>
      <c r="F495" s="287"/>
      <c r="G495" s="287"/>
      <c r="H495" s="287"/>
      <c r="I495" s="287"/>
      <c r="J495" s="287"/>
      <c r="K495" s="287"/>
      <c r="L495" s="287"/>
      <c r="M495" s="287"/>
      <c r="N495" s="287"/>
      <c r="O495" s="287"/>
      <c r="P495" s="287"/>
      <c r="Q495" s="287"/>
      <c r="R495" s="287"/>
      <c r="S495" s="287"/>
      <c r="T495" s="287"/>
      <c r="U495" s="287"/>
      <c r="V495" s="287"/>
      <c r="W495" s="287"/>
      <c r="X495" s="287"/>
      <c r="Y495" s="287"/>
      <c r="Z495" s="287"/>
    </row>
    <row r="496" spans="1:70">
      <c r="A496" s="287" t="s">
        <v>971</v>
      </c>
      <c r="B496" s="287"/>
      <c r="C496" s="287"/>
      <c r="D496" s="287"/>
      <c r="E496" s="287"/>
      <c r="F496" s="287"/>
      <c r="G496" s="287"/>
      <c r="H496" s="287"/>
      <c r="I496" s="287"/>
      <c r="J496" s="287"/>
      <c r="K496" s="287"/>
      <c r="L496" s="287"/>
      <c r="M496" s="287"/>
      <c r="N496" s="287"/>
      <c r="O496" s="287"/>
      <c r="P496" s="287"/>
      <c r="Q496" s="287"/>
      <c r="R496" s="287"/>
      <c r="S496" s="287"/>
      <c r="T496" s="287"/>
      <c r="U496" s="287"/>
      <c r="V496" s="287"/>
      <c r="W496" s="287"/>
      <c r="X496" s="287"/>
      <c r="Y496" s="287"/>
      <c r="Z496" s="287"/>
    </row>
    <row r="499" spans="1:70" ht="13.5" thickBot="1"/>
    <row r="500" spans="1:70">
      <c r="A500" s="232" t="s">
        <v>441</v>
      </c>
      <c r="B500" s="233"/>
      <c r="C500" s="233"/>
      <c r="D500" s="234"/>
      <c r="E500" s="233"/>
      <c r="F500" s="233"/>
      <c r="G500" s="233"/>
      <c r="H500" s="233"/>
      <c r="I500" s="233"/>
      <c r="J500" s="233"/>
      <c r="K500" s="233"/>
      <c r="L500" s="233"/>
      <c r="M500" s="233"/>
      <c r="N500" s="233"/>
      <c r="O500" s="233"/>
      <c r="P500" s="233"/>
      <c r="Q500" s="233"/>
      <c r="R500" s="233"/>
      <c r="S500" s="233"/>
      <c r="T500" s="233"/>
      <c r="U500" s="233"/>
      <c r="V500" s="233"/>
      <c r="W500" s="233"/>
      <c r="X500" s="233"/>
      <c r="Y500" s="233"/>
    </row>
    <row r="501" spans="1:70">
      <c r="A501" s="235" t="s">
        <v>442</v>
      </c>
      <c r="B501" s="236"/>
      <c r="C501" s="236"/>
      <c r="D501" s="236"/>
      <c r="E501" s="236"/>
      <c r="F501" s="236"/>
      <c r="G501" s="236"/>
      <c r="H501" s="236"/>
      <c r="I501" s="236"/>
      <c r="J501" s="236"/>
      <c r="K501" s="236"/>
      <c r="L501" s="236"/>
      <c r="M501" s="236"/>
      <c r="N501" s="236"/>
      <c r="O501" s="236"/>
      <c r="P501" s="236"/>
      <c r="Q501" s="236"/>
      <c r="R501" s="236"/>
      <c r="S501" s="236"/>
      <c r="T501" s="236"/>
      <c r="U501" s="236"/>
      <c r="V501" s="236"/>
      <c r="W501" s="236"/>
      <c r="X501" s="236"/>
      <c r="Y501" s="236"/>
    </row>
    <row r="502" spans="1:70">
      <c r="A502" s="235" t="s">
        <v>855</v>
      </c>
      <c r="B502" s="236"/>
      <c r="C502" s="236"/>
      <c r="D502" s="236"/>
      <c r="E502" s="236"/>
      <c r="F502" s="236"/>
      <c r="G502" s="236"/>
      <c r="H502" s="236"/>
      <c r="I502" s="236"/>
      <c r="J502" s="236"/>
      <c r="K502" s="236"/>
      <c r="L502" s="236"/>
      <c r="M502" s="236"/>
      <c r="N502" s="236"/>
      <c r="O502" s="236"/>
      <c r="P502" s="236"/>
      <c r="Q502" s="236"/>
      <c r="R502" s="236"/>
      <c r="S502" s="236"/>
      <c r="T502" s="236"/>
      <c r="U502" s="236"/>
      <c r="V502" s="236"/>
      <c r="W502" s="236"/>
      <c r="X502" s="236"/>
      <c r="Y502" s="236"/>
    </row>
    <row r="503" spans="1:70">
      <c r="A503" s="235" t="s">
        <v>856</v>
      </c>
      <c r="B503" s="236"/>
      <c r="C503" s="236"/>
      <c r="D503" s="236"/>
      <c r="E503" s="236"/>
      <c r="F503" s="236"/>
      <c r="G503" s="236"/>
      <c r="H503" s="236"/>
      <c r="I503" s="236"/>
      <c r="J503" s="236"/>
      <c r="K503" s="236"/>
      <c r="L503" s="236"/>
      <c r="M503" s="236"/>
      <c r="N503" s="236"/>
      <c r="O503" s="236"/>
      <c r="P503" s="236"/>
      <c r="Q503" s="236"/>
      <c r="R503" s="236"/>
      <c r="S503" s="236"/>
      <c r="T503" s="236"/>
      <c r="U503" s="236"/>
      <c r="V503" s="236"/>
      <c r="W503" s="236"/>
      <c r="X503" s="236"/>
      <c r="Y503" s="236"/>
    </row>
    <row r="504" spans="1:70">
      <c r="A504" s="235" t="s">
        <v>443</v>
      </c>
      <c r="B504" s="236"/>
      <c r="C504" s="236"/>
      <c r="D504" s="236"/>
      <c r="E504" s="236"/>
      <c r="F504" s="236"/>
      <c r="G504" s="236"/>
      <c r="H504" s="236"/>
      <c r="I504" s="236"/>
      <c r="J504" s="236"/>
      <c r="K504" s="236"/>
      <c r="L504" s="236"/>
      <c r="M504" s="236"/>
      <c r="N504" s="236"/>
      <c r="O504" s="236"/>
      <c r="P504" s="236"/>
      <c r="Q504" s="236"/>
      <c r="R504" s="236"/>
      <c r="S504" s="236"/>
      <c r="T504" s="236"/>
      <c r="U504" s="236"/>
      <c r="V504" s="236"/>
      <c r="W504" s="236"/>
      <c r="X504" s="236"/>
      <c r="Y504" s="236"/>
    </row>
    <row r="505" spans="1:70" ht="13.5" thickBot="1">
      <c r="A505" s="235" t="s">
        <v>444</v>
      </c>
      <c r="B505" s="236"/>
      <c r="C505" s="236"/>
      <c r="D505" s="236"/>
      <c r="E505" s="236"/>
      <c r="F505" s="236"/>
      <c r="G505" s="236"/>
      <c r="H505" s="236"/>
      <c r="I505" s="236"/>
      <c r="J505" s="236"/>
      <c r="K505" s="236"/>
      <c r="L505" s="236"/>
      <c r="M505" s="236"/>
      <c r="N505" s="236"/>
      <c r="O505" s="236"/>
      <c r="P505" s="236"/>
      <c r="Q505" s="236"/>
      <c r="R505" s="236"/>
      <c r="S505" s="236"/>
      <c r="T505" s="236"/>
      <c r="U505" s="236"/>
      <c r="V505" s="236"/>
      <c r="W505" s="236"/>
      <c r="X505" s="236"/>
      <c r="Y505" s="236"/>
    </row>
    <row r="506" spans="1:70" ht="13.5" thickBot="1">
      <c r="A506" s="237" t="s">
        <v>445</v>
      </c>
      <c r="B506" s="236"/>
      <c r="C506" s="236"/>
      <c r="D506" s="236"/>
      <c r="E506" s="236"/>
      <c r="F506" s="236"/>
      <c r="G506" s="236"/>
      <c r="H506" s="236"/>
      <c r="I506" s="236"/>
      <c r="J506" s="236"/>
      <c r="K506" s="236"/>
      <c r="L506" s="236"/>
      <c r="M506" s="236"/>
      <c r="N506" s="236"/>
      <c r="O506" s="236"/>
      <c r="P506" s="236"/>
      <c r="Q506" s="236"/>
      <c r="R506" s="236"/>
      <c r="S506" s="236"/>
      <c r="T506" s="236"/>
      <c r="U506" s="236"/>
      <c r="V506" s="236"/>
      <c r="W506" s="236"/>
      <c r="X506" s="236"/>
      <c r="Y506" s="236"/>
      <c r="AA506" s="265">
        <f>Z676+($AI$506-$Y$676)/10</f>
        <v>5.5529965108452508</v>
      </c>
      <c r="AB506" s="265">
        <f t="shared" ref="AB506:AH506" si="69">AA506+($AI$506-$Y$676)/10</f>
        <v>5.5809474506703411</v>
      </c>
      <c r="AC506" s="265">
        <f t="shared" si="69"/>
        <v>5.6088983904954315</v>
      </c>
      <c r="AD506" s="265">
        <f t="shared" si="69"/>
        <v>5.6368493303205218</v>
      </c>
      <c r="AE506" s="265">
        <f t="shared" si="69"/>
        <v>5.6648002701456122</v>
      </c>
      <c r="AF506" s="265">
        <f t="shared" si="69"/>
        <v>5.6927512099707025</v>
      </c>
      <c r="AG506" s="265">
        <f t="shared" si="69"/>
        <v>5.7207021497957928</v>
      </c>
      <c r="AH506" s="265">
        <f t="shared" si="69"/>
        <v>5.7486530896208832</v>
      </c>
      <c r="AI506" s="266">
        <f>T676*$E$742</f>
        <v>5.77660402944597</v>
      </c>
      <c r="AJ506" s="265">
        <f>AI506+($AX$506-$AI$506)/15</f>
        <v>5.8419909425225587</v>
      </c>
      <c r="AK506" s="265">
        <f t="shared" ref="AK506:AW506" si="70">AJ506+($AX$506-$AI$506)/15</f>
        <v>5.9073778555991474</v>
      </c>
      <c r="AL506" s="265">
        <f t="shared" si="70"/>
        <v>5.9727647686757361</v>
      </c>
      <c r="AM506" s="265">
        <f t="shared" si="70"/>
        <v>6.0381516817523249</v>
      </c>
      <c r="AN506" s="265">
        <f t="shared" si="70"/>
        <v>6.1035385948289136</v>
      </c>
      <c r="AO506" s="265">
        <f t="shared" si="70"/>
        <v>6.1689255079055023</v>
      </c>
      <c r="AP506" s="265">
        <f t="shared" si="70"/>
        <v>6.234312420982091</v>
      </c>
      <c r="AQ506" s="265">
        <f t="shared" si="70"/>
        <v>6.2996993340586798</v>
      </c>
      <c r="AR506" s="265">
        <f t="shared" si="70"/>
        <v>6.3650862471352685</v>
      </c>
      <c r="AS506" s="265">
        <f t="shared" si="70"/>
        <v>6.4304731602118572</v>
      </c>
      <c r="AT506" s="265">
        <f t="shared" si="70"/>
        <v>6.4958600732884459</v>
      </c>
      <c r="AU506" s="265">
        <f t="shared" si="70"/>
        <v>6.5612469863650347</v>
      </c>
      <c r="AV506" s="265">
        <f t="shared" si="70"/>
        <v>6.6266338994416234</v>
      </c>
      <c r="AW506" s="265">
        <f t="shared" si="70"/>
        <v>6.6920208125182121</v>
      </c>
      <c r="AX506" s="266">
        <f>AI506*$B$742</f>
        <v>6.7574077255948062</v>
      </c>
      <c r="AY506" s="265">
        <f>AX506+($BM$506-$AX$506)/15</f>
        <v>6.8243179096825601</v>
      </c>
      <c r="AZ506" s="265">
        <f t="shared" ref="AZ506:BL506" si="71">AY506+($BM$506-$AX$506)/15</f>
        <v>6.8912280937703141</v>
      </c>
      <c r="BA506" s="265">
        <f t="shared" si="71"/>
        <v>6.958138277858068</v>
      </c>
      <c r="BB506" s="265">
        <f t="shared" si="71"/>
        <v>7.025048461945822</v>
      </c>
      <c r="BC506" s="265">
        <f t="shared" si="71"/>
        <v>7.091958646033576</v>
      </c>
      <c r="BD506" s="265">
        <f t="shared" si="71"/>
        <v>7.1588688301213299</v>
      </c>
      <c r="BE506" s="265">
        <f t="shared" si="71"/>
        <v>7.2257790142090839</v>
      </c>
      <c r="BF506" s="265">
        <f t="shared" si="71"/>
        <v>7.2926891982968378</v>
      </c>
      <c r="BG506" s="265">
        <f t="shared" si="71"/>
        <v>7.3595993823845918</v>
      </c>
      <c r="BH506" s="265">
        <f t="shared" si="71"/>
        <v>7.4265095664723457</v>
      </c>
      <c r="BI506" s="265">
        <f t="shared" si="71"/>
        <v>7.4934197505600997</v>
      </c>
      <c r="BJ506" s="265">
        <f t="shared" si="71"/>
        <v>7.5603299346478536</v>
      </c>
      <c r="BK506" s="265">
        <f t="shared" si="71"/>
        <v>7.6272401187356076</v>
      </c>
      <c r="BL506" s="265">
        <f t="shared" si="71"/>
        <v>7.6941503028233615</v>
      </c>
      <c r="BM506" s="266">
        <f>AX506*$C$742</f>
        <v>7.7610604869111093</v>
      </c>
      <c r="BN506" s="265">
        <f>BM506+($BR$506-$BM$506)/5</f>
        <v>7.8379085930167243</v>
      </c>
      <c r="BO506" s="265">
        <f>BN506+($BR$506-$BM$506)/5</f>
        <v>7.9147566991223393</v>
      </c>
      <c r="BP506" s="265">
        <f>BO506+($BR$506-$BM$506)/5</f>
        <v>7.9916048052279542</v>
      </c>
      <c r="BQ506" s="265">
        <f>BP506+($BR$506-$BM$506)/5</f>
        <v>8.0684529113335692</v>
      </c>
      <c r="BR506" s="266">
        <f>BM506*$D$742</f>
        <v>8.1453010174391842</v>
      </c>
    </row>
    <row r="507" spans="1:70" ht="13.5" thickBot="1">
      <c r="A507" s="235"/>
      <c r="B507" s="236"/>
      <c r="C507" s="236"/>
      <c r="D507" s="236"/>
      <c r="E507" s="236"/>
      <c r="F507" s="236"/>
      <c r="G507" s="236"/>
      <c r="H507" s="236"/>
      <c r="I507" s="236"/>
      <c r="J507" s="236"/>
      <c r="K507" s="236"/>
      <c r="L507" s="236"/>
      <c r="M507" s="236"/>
      <c r="N507" s="236"/>
      <c r="O507" s="236"/>
      <c r="P507" s="236"/>
      <c r="Q507" s="236"/>
      <c r="R507" s="236"/>
      <c r="S507" s="236"/>
      <c r="T507" s="236"/>
      <c r="U507" s="236"/>
      <c r="V507" s="236"/>
      <c r="W507" s="236"/>
      <c r="X507" s="236"/>
      <c r="Y507" s="236"/>
      <c r="AA507" s="273">
        <f>Z677+($AI$507-$Y$677)/10</f>
        <v>1.3364941226202385</v>
      </c>
      <c r="AB507" s="273">
        <f t="shared" ref="AB507:AH507" si="72">AA507+($AI$507-$Y$677)/10</f>
        <v>1.3402060190972878</v>
      </c>
      <c r="AC507" s="273">
        <f t="shared" si="72"/>
        <v>1.343917915574337</v>
      </c>
      <c r="AD507" s="273">
        <f t="shared" si="72"/>
        <v>1.3476298120513863</v>
      </c>
      <c r="AE507" s="273">
        <f t="shared" si="72"/>
        <v>1.3513417085284356</v>
      </c>
      <c r="AF507" s="273">
        <f t="shared" si="72"/>
        <v>1.3550536050054849</v>
      </c>
      <c r="AG507" s="273">
        <f t="shared" si="72"/>
        <v>1.3587655014825342</v>
      </c>
      <c r="AH507" s="273">
        <f t="shared" si="72"/>
        <v>1.3624773979595834</v>
      </c>
      <c r="AI507" s="274">
        <f>T677*$E$740</f>
        <v>1.3661892944366323</v>
      </c>
      <c r="AJ507" s="273">
        <f>AI507+($AX$507-$AI$507)/15</f>
        <v>1.3701947313799723</v>
      </c>
      <c r="AK507" s="273">
        <f t="shared" ref="AK507:AW507" si="73">AJ507+($AX$507-$AI$507)/15</f>
        <v>1.3742001683233123</v>
      </c>
      <c r="AL507" s="273">
        <f t="shared" si="73"/>
        <v>1.3782056052666523</v>
      </c>
      <c r="AM507" s="273">
        <f t="shared" si="73"/>
        <v>1.3822110422099922</v>
      </c>
      <c r="AN507" s="273">
        <f t="shared" si="73"/>
        <v>1.3862164791533322</v>
      </c>
      <c r="AO507" s="273">
        <f t="shared" si="73"/>
        <v>1.3902219160966722</v>
      </c>
      <c r="AP507" s="273">
        <f t="shared" si="73"/>
        <v>1.3942273530400122</v>
      </c>
      <c r="AQ507" s="273">
        <f t="shared" si="73"/>
        <v>1.3982327899833522</v>
      </c>
      <c r="AR507" s="273">
        <f t="shared" si="73"/>
        <v>1.4022382269266922</v>
      </c>
      <c r="AS507" s="273">
        <f t="shared" si="73"/>
        <v>1.4062436638700322</v>
      </c>
      <c r="AT507" s="273">
        <f t="shared" si="73"/>
        <v>1.4102491008133722</v>
      </c>
      <c r="AU507" s="273">
        <f t="shared" si="73"/>
        <v>1.4142545377567122</v>
      </c>
      <c r="AV507" s="273">
        <f t="shared" si="73"/>
        <v>1.4182599747000522</v>
      </c>
      <c r="AW507" s="273">
        <f t="shared" si="73"/>
        <v>1.4222654116433922</v>
      </c>
      <c r="AX507" s="274">
        <f>AI507*$B$740</f>
        <v>1.4262708485867317</v>
      </c>
      <c r="AY507" s="273">
        <f>AX507+($BM$507-$AX$507)/15</f>
        <v>1.428975877834666</v>
      </c>
      <c r="AZ507" s="273">
        <f t="shared" ref="AZ507:BL507" si="74">AY507+($BM$507-$AX$507)/15</f>
        <v>1.4316809070826002</v>
      </c>
      <c r="BA507" s="273">
        <f t="shared" si="74"/>
        <v>1.4343859363305345</v>
      </c>
      <c r="BB507" s="273">
        <f t="shared" si="74"/>
        <v>1.4370909655784687</v>
      </c>
      <c r="BC507" s="273">
        <f t="shared" si="74"/>
        <v>1.439795994826403</v>
      </c>
      <c r="BD507" s="273">
        <f t="shared" si="74"/>
        <v>1.4425010240743372</v>
      </c>
      <c r="BE507" s="273">
        <f t="shared" si="74"/>
        <v>1.4452060533222715</v>
      </c>
      <c r="BF507" s="273">
        <f t="shared" si="74"/>
        <v>1.4479110825702057</v>
      </c>
      <c r="BG507" s="273">
        <f t="shared" si="74"/>
        <v>1.45061611181814</v>
      </c>
      <c r="BH507" s="273">
        <f t="shared" si="74"/>
        <v>1.4533211410660742</v>
      </c>
      <c r="BI507" s="273">
        <f t="shared" si="74"/>
        <v>1.4560261703140085</v>
      </c>
      <c r="BJ507" s="273">
        <f t="shared" si="74"/>
        <v>1.4587311995619427</v>
      </c>
      <c r="BK507" s="273">
        <f t="shared" si="74"/>
        <v>1.461436228809877</v>
      </c>
      <c r="BL507" s="273">
        <f t="shared" si="74"/>
        <v>1.4641412580578113</v>
      </c>
      <c r="BM507" s="274">
        <f>AX507*$C$740</f>
        <v>1.4668462873057471</v>
      </c>
      <c r="BN507" s="273">
        <f>BM507+($BR$507-$BM$507)/5</f>
        <v>1.4696282709053681</v>
      </c>
      <c r="BO507" s="273">
        <f>BN507+($BR$507-$BM$507)/5</f>
        <v>1.4724102545049891</v>
      </c>
      <c r="BP507" s="273">
        <f>BO507+($BR$507-$BM$507)/5</f>
        <v>1.4751922381046101</v>
      </c>
      <c r="BQ507" s="273">
        <f>BP507+($BR$507-$BM$507)/5</f>
        <v>1.4779742217042311</v>
      </c>
      <c r="BR507" s="274">
        <f>BM507*$D$740</f>
        <v>1.4807562053038525</v>
      </c>
    </row>
    <row r="508" spans="1:70">
      <c r="A508" s="238" t="s">
        <v>446</v>
      </c>
      <c r="B508" s="236"/>
      <c r="C508" s="236"/>
      <c r="D508" s="236"/>
      <c r="E508" s="236"/>
      <c r="F508" s="236"/>
      <c r="G508" s="236"/>
      <c r="H508" s="236"/>
      <c r="I508" s="236"/>
      <c r="J508" s="236"/>
      <c r="K508" s="236"/>
      <c r="L508" s="236"/>
      <c r="M508" s="236"/>
      <c r="N508" s="236"/>
      <c r="O508" s="236"/>
      <c r="P508" s="236"/>
      <c r="Q508" s="236"/>
      <c r="R508" s="236"/>
      <c r="S508" s="236"/>
      <c r="T508" s="236"/>
      <c r="U508" s="236"/>
      <c r="V508" s="236"/>
      <c r="W508" s="236"/>
      <c r="X508" s="236"/>
      <c r="Y508" s="236"/>
    </row>
    <row r="509" spans="1:70">
      <c r="A509" s="238" t="s">
        <v>447</v>
      </c>
      <c r="B509" s="236"/>
      <c r="C509" s="236"/>
      <c r="D509" s="236"/>
      <c r="E509" s="236"/>
      <c r="F509" s="236"/>
      <c r="G509" s="236"/>
      <c r="H509" s="236"/>
      <c r="I509" s="236"/>
      <c r="J509" s="236"/>
      <c r="K509" s="236"/>
      <c r="L509" s="236"/>
      <c r="M509" s="236"/>
      <c r="N509" s="236"/>
      <c r="O509" s="236"/>
      <c r="P509" s="236"/>
      <c r="Q509" s="236"/>
      <c r="R509" s="236"/>
      <c r="S509" s="236"/>
      <c r="T509" s="236"/>
      <c r="U509" s="236"/>
      <c r="V509" s="236"/>
      <c r="W509" s="236"/>
      <c r="X509" s="236"/>
      <c r="Y509" s="236"/>
    </row>
    <row r="510" spans="1:70">
      <c r="A510" s="238"/>
      <c r="B510" s="236"/>
      <c r="C510" s="236"/>
      <c r="D510" s="236"/>
      <c r="E510" s="236"/>
      <c r="F510" s="236"/>
      <c r="G510" s="236"/>
      <c r="H510" s="236"/>
      <c r="I510" s="236"/>
      <c r="J510" s="236"/>
      <c r="K510" s="236"/>
      <c r="L510" s="236"/>
      <c r="M510" s="236"/>
      <c r="N510" s="236"/>
      <c r="O510" s="236"/>
      <c r="P510" s="236"/>
      <c r="Q510" s="236"/>
      <c r="R510" s="236"/>
      <c r="S510" s="236"/>
      <c r="T510" s="236"/>
      <c r="U510" s="236"/>
      <c r="V510" s="236"/>
      <c r="W510" s="236"/>
      <c r="X510" s="236"/>
      <c r="Y510" s="236"/>
    </row>
    <row r="511" spans="1:70">
      <c r="A511" s="235" t="s">
        <v>439</v>
      </c>
      <c r="B511" s="236" t="s">
        <v>448</v>
      </c>
      <c r="C511" s="236" t="s">
        <v>449</v>
      </c>
      <c r="D511" s="236" t="s">
        <v>450</v>
      </c>
      <c r="E511" s="236" t="s">
        <v>451</v>
      </c>
      <c r="F511" s="236" t="s">
        <v>452</v>
      </c>
      <c r="G511" s="236" t="s">
        <v>453</v>
      </c>
      <c r="H511" s="236" t="s">
        <v>454</v>
      </c>
      <c r="I511" s="236" t="s">
        <v>455</v>
      </c>
      <c r="J511" s="236" t="s">
        <v>456</v>
      </c>
      <c r="K511" s="236" t="s">
        <v>457</v>
      </c>
      <c r="L511" s="236" t="s">
        <v>458</v>
      </c>
      <c r="M511" s="236" t="s">
        <v>459</v>
      </c>
      <c r="N511" s="236" t="s">
        <v>460</v>
      </c>
      <c r="O511" s="236" t="s">
        <v>461</v>
      </c>
      <c r="P511" s="236" t="s">
        <v>462</v>
      </c>
      <c r="Q511" s="236" t="s">
        <v>463</v>
      </c>
      <c r="R511" s="236" t="s">
        <v>464</v>
      </c>
      <c r="S511" s="236" t="s">
        <v>465</v>
      </c>
      <c r="T511" s="236" t="s">
        <v>466</v>
      </c>
      <c r="U511" s="236" t="s">
        <v>467</v>
      </c>
      <c r="V511" s="236" t="s">
        <v>468</v>
      </c>
      <c r="W511" s="236" t="s">
        <v>469</v>
      </c>
      <c r="X511" s="236" t="s">
        <v>470</v>
      </c>
      <c r="Y511" s="236" t="s">
        <v>471</v>
      </c>
      <c r="Z511">
        <v>2026</v>
      </c>
    </row>
    <row r="512" spans="1:70">
      <c r="A512" s="235" t="s">
        <v>439</v>
      </c>
      <c r="B512" s="236" t="s">
        <v>439</v>
      </c>
      <c r="C512" s="236" t="s">
        <v>439</v>
      </c>
      <c r="D512" s="236" t="s">
        <v>439</v>
      </c>
      <c r="E512" s="236" t="s">
        <v>439</v>
      </c>
      <c r="F512" s="236" t="s">
        <v>439</v>
      </c>
      <c r="G512" s="236" t="s">
        <v>439</v>
      </c>
      <c r="H512" s="236" t="s">
        <v>439</v>
      </c>
      <c r="I512" s="236" t="s">
        <v>439</v>
      </c>
      <c r="J512" s="236" t="s">
        <v>439</v>
      </c>
      <c r="K512" s="236" t="s">
        <v>439</v>
      </c>
      <c r="L512" s="236" t="s">
        <v>439</v>
      </c>
      <c r="M512" s="236" t="s">
        <v>439</v>
      </c>
      <c r="N512" s="236" t="s">
        <v>439</v>
      </c>
      <c r="O512" s="236" t="s">
        <v>439</v>
      </c>
      <c r="P512" s="236" t="s">
        <v>439</v>
      </c>
      <c r="Q512" s="236" t="s">
        <v>439</v>
      </c>
      <c r="R512" s="236" t="s">
        <v>439</v>
      </c>
      <c r="S512" s="236" t="s">
        <v>439</v>
      </c>
      <c r="T512" s="236" t="s">
        <v>439</v>
      </c>
      <c r="U512" s="236" t="s">
        <v>439</v>
      </c>
      <c r="V512" s="236" t="s">
        <v>439</v>
      </c>
      <c r="W512" s="236" t="s">
        <v>439</v>
      </c>
      <c r="X512" s="236" t="s">
        <v>439</v>
      </c>
      <c r="Y512" s="236" t="s">
        <v>439</v>
      </c>
    </row>
    <row r="513" spans="1:26">
      <c r="A513" s="235" t="s">
        <v>439</v>
      </c>
      <c r="B513" s="236" t="s">
        <v>439</v>
      </c>
      <c r="C513" s="236" t="s">
        <v>439</v>
      </c>
      <c r="D513" s="236" t="s">
        <v>439</v>
      </c>
      <c r="E513" s="236" t="s">
        <v>439</v>
      </c>
      <c r="F513" s="236" t="s">
        <v>439</v>
      </c>
      <c r="G513" s="236" t="s">
        <v>439</v>
      </c>
      <c r="H513" s="236" t="s">
        <v>439</v>
      </c>
      <c r="I513" s="236" t="s">
        <v>439</v>
      </c>
      <c r="J513" s="236" t="s">
        <v>439</v>
      </c>
      <c r="K513" s="236" t="s">
        <v>439</v>
      </c>
      <c r="L513" s="236" t="s">
        <v>439</v>
      </c>
      <c r="M513" s="236" t="s">
        <v>439</v>
      </c>
      <c r="N513" s="236" t="s">
        <v>439</v>
      </c>
      <c r="O513" s="236" t="s">
        <v>439</v>
      </c>
      <c r="P513" s="236" t="s">
        <v>439</v>
      </c>
      <c r="Q513" s="236" t="s">
        <v>439</v>
      </c>
      <c r="R513" s="236" t="s">
        <v>439</v>
      </c>
      <c r="S513" s="236" t="s">
        <v>439</v>
      </c>
      <c r="T513" s="236" t="s">
        <v>439</v>
      </c>
      <c r="U513" s="236" t="s">
        <v>439</v>
      </c>
      <c r="V513" s="236" t="s">
        <v>439</v>
      </c>
      <c r="W513" s="236" t="s">
        <v>439</v>
      </c>
      <c r="X513" s="236" t="s">
        <v>439</v>
      </c>
      <c r="Y513" s="236" t="s">
        <v>439</v>
      </c>
    </row>
    <row r="514" spans="1:26">
      <c r="A514" s="235" t="s">
        <v>472</v>
      </c>
      <c r="B514" s="239">
        <v>15.0220499038696</v>
      </c>
      <c r="C514" s="239">
        <v>15.811363220214799</v>
      </c>
      <c r="D514" s="239">
        <v>16.4251308441162</v>
      </c>
      <c r="E514" s="239">
        <v>16.464759826660199</v>
      </c>
      <c r="F514" s="239">
        <v>15.680528640747101</v>
      </c>
      <c r="G514" s="239">
        <v>15.0112085342407</v>
      </c>
      <c r="H514" s="239">
        <v>14.5817928314209</v>
      </c>
      <c r="I514" s="239">
        <v>14.458288192749</v>
      </c>
      <c r="J514" s="239">
        <v>14.326377868652299</v>
      </c>
      <c r="K514" s="239">
        <v>14.293612480163601</v>
      </c>
      <c r="L514" s="239">
        <v>14.4205980300903</v>
      </c>
      <c r="M514" s="239">
        <v>14.6031141281128</v>
      </c>
      <c r="N514" s="239">
        <v>14.8352861404419</v>
      </c>
      <c r="O514" s="239">
        <v>14.979790687561</v>
      </c>
      <c r="P514" s="239">
        <v>15.0010738372803</v>
      </c>
      <c r="Q514" s="239">
        <v>15.073490142822299</v>
      </c>
      <c r="R514" s="239">
        <v>15.2468109130859</v>
      </c>
      <c r="S514" s="239">
        <v>15.482013702392599</v>
      </c>
      <c r="T514" s="239">
        <v>15.6422672271729</v>
      </c>
      <c r="U514" s="239">
        <v>15.809124946594199</v>
      </c>
      <c r="V514" s="239">
        <v>15.869408607482899</v>
      </c>
      <c r="W514" s="239">
        <v>15.910493850708001</v>
      </c>
      <c r="X514" s="239">
        <v>16.000511169433601</v>
      </c>
      <c r="Y514" s="239">
        <v>16.127393722534201</v>
      </c>
    </row>
    <row r="515" spans="1:26">
      <c r="A515" s="235" t="s">
        <v>473</v>
      </c>
      <c r="B515" s="239">
        <v>8.3285751342773402</v>
      </c>
      <c r="C515" s="239">
        <v>9.67810153961182</v>
      </c>
      <c r="D515" s="239">
        <v>10.6516561508179</v>
      </c>
      <c r="E515" s="239">
        <v>10.5737972259521</v>
      </c>
      <c r="F515" s="239">
        <v>9.7301187515258807</v>
      </c>
      <c r="G515" s="239">
        <v>9.2126417160034197</v>
      </c>
      <c r="H515" s="239">
        <v>8.7946681976318395</v>
      </c>
      <c r="I515" s="239">
        <v>8.5506849288940394</v>
      </c>
      <c r="J515" s="239">
        <v>8.3542766571044904</v>
      </c>
      <c r="K515" s="239">
        <v>8.2684001922607404</v>
      </c>
      <c r="L515" s="239">
        <v>8.3419942855834996</v>
      </c>
      <c r="M515" s="239">
        <v>8.4596767425537092</v>
      </c>
      <c r="N515" s="239">
        <v>8.6078786849975604</v>
      </c>
      <c r="O515" s="239">
        <v>8.7398357391357404</v>
      </c>
      <c r="P515" s="239">
        <v>8.7483062744140607</v>
      </c>
      <c r="Q515" s="239">
        <v>8.7686567306518608</v>
      </c>
      <c r="R515" s="239">
        <v>8.8867673873901403</v>
      </c>
      <c r="S515" s="239">
        <v>9.0631914138793892</v>
      </c>
      <c r="T515" s="239">
        <v>9.2055320739746094</v>
      </c>
      <c r="U515" s="239">
        <v>9.3421277999877894</v>
      </c>
      <c r="V515" s="239">
        <v>9.4150266647338903</v>
      </c>
      <c r="W515" s="239">
        <v>9.4582109451293892</v>
      </c>
      <c r="X515" s="239">
        <v>9.5390539169311506</v>
      </c>
      <c r="Y515" s="239">
        <v>9.6245632171630895</v>
      </c>
    </row>
    <row r="516" spans="1:26">
      <c r="A516" s="235" t="s">
        <v>474</v>
      </c>
      <c r="B516" s="239">
        <v>10.0436496734619</v>
      </c>
      <c r="C516" s="239">
        <v>11.266843795776399</v>
      </c>
      <c r="D516" s="239">
        <v>13.0600261688232</v>
      </c>
      <c r="E516" s="239">
        <v>12.5262813568115</v>
      </c>
      <c r="F516" s="239">
        <v>11.260459899902299</v>
      </c>
      <c r="G516" s="239">
        <v>10.814398765564</v>
      </c>
      <c r="H516" s="239">
        <v>10.6458578109741</v>
      </c>
      <c r="I516" s="239">
        <v>10.453662872314499</v>
      </c>
      <c r="J516" s="239">
        <v>10.443992614746101</v>
      </c>
      <c r="K516" s="239">
        <v>10.420529365539601</v>
      </c>
      <c r="L516" s="239">
        <v>10.4911556243896</v>
      </c>
      <c r="M516" s="239">
        <v>10.5971431732178</v>
      </c>
      <c r="N516" s="239">
        <v>10.650529861450201</v>
      </c>
      <c r="O516" s="239">
        <v>10.7566242218018</v>
      </c>
      <c r="P516" s="239">
        <v>10.8697347640991</v>
      </c>
      <c r="Q516" s="239">
        <v>10.955939292907701</v>
      </c>
      <c r="R516" s="239">
        <v>11.0780487060547</v>
      </c>
      <c r="S516" s="239">
        <v>11.222780227661101</v>
      </c>
      <c r="T516" s="239">
        <v>11.364427566528301</v>
      </c>
      <c r="U516" s="239">
        <v>11.5109758377075</v>
      </c>
      <c r="V516" s="239">
        <v>11.6184797286987</v>
      </c>
      <c r="W516" s="239">
        <v>11.7467203140259</v>
      </c>
      <c r="X516" s="239">
        <v>11.8437652587891</v>
      </c>
      <c r="Y516" s="239">
        <v>11.9311771392822</v>
      </c>
    </row>
    <row r="517" spans="1:26">
      <c r="A517" s="235" t="s">
        <v>475</v>
      </c>
      <c r="B517" s="239">
        <v>8.3698368072509801</v>
      </c>
      <c r="C517" s="239">
        <v>9.5702075958252006</v>
      </c>
      <c r="D517" s="239">
        <v>10.537187576293899</v>
      </c>
      <c r="E517" s="239">
        <v>10.120927810668899</v>
      </c>
      <c r="F517" s="239">
        <v>9.0704116821289098</v>
      </c>
      <c r="G517" s="239">
        <v>8.6811342239379901</v>
      </c>
      <c r="H517" s="239">
        <v>8.4951152801513707</v>
      </c>
      <c r="I517" s="239">
        <v>8.3145399093627894</v>
      </c>
      <c r="J517" s="239">
        <v>8.2864685058593803</v>
      </c>
      <c r="K517" s="239">
        <v>8.2537784576415998</v>
      </c>
      <c r="L517" s="239">
        <v>8.2966070175170898</v>
      </c>
      <c r="M517" s="239">
        <v>8.3739995956420898</v>
      </c>
      <c r="N517" s="239">
        <v>8.4385089874267596</v>
      </c>
      <c r="O517" s="239">
        <v>8.4884243011474592</v>
      </c>
      <c r="P517" s="239">
        <v>8.5346355438232404</v>
      </c>
      <c r="Q517" s="239">
        <v>8.5863618850708008</v>
      </c>
      <c r="R517" s="239">
        <v>8.7058753967285192</v>
      </c>
      <c r="S517" s="239">
        <v>8.7835302352905291</v>
      </c>
      <c r="T517" s="239">
        <v>8.8462095260620099</v>
      </c>
      <c r="U517" s="239">
        <v>8.9105930328369105</v>
      </c>
      <c r="V517" s="239">
        <v>8.9716310501098597</v>
      </c>
      <c r="W517" s="239">
        <v>9.0270709991455096</v>
      </c>
      <c r="X517" s="239">
        <v>9.0740833282470703</v>
      </c>
      <c r="Y517" s="239">
        <v>9.1169166564941406</v>
      </c>
    </row>
    <row r="518" spans="1:26">
      <c r="A518" s="235" t="s">
        <v>476</v>
      </c>
      <c r="B518" s="239">
        <v>12.976583480835</v>
      </c>
      <c r="C518" s="239">
        <v>14.582922935485801</v>
      </c>
      <c r="D518" s="239">
        <v>17.5701904296875</v>
      </c>
      <c r="E518" s="239">
        <v>17.073207855224599</v>
      </c>
      <c r="F518" s="239">
        <v>15.3619232177734</v>
      </c>
      <c r="G518" s="239">
        <v>14.740796089172401</v>
      </c>
      <c r="H518" s="239">
        <v>14.555371284484901</v>
      </c>
      <c r="I518" s="239">
        <v>14.281338691711399</v>
      </c>
      <c r="J518" s="239">
        <v>14.253823280334499</v>
      </c>
      <c r="K518" s="239">
        <v>14.190848350524901</v>
      </c>
      <c r="L518" s="239">
        <v>14.252662658691399</v>
      </c>
      <c r="M518" s="239">
        <v>14.348473548889199</v>
      </c>
      <c r="N518" s="239">
        <v>14.316626548767101</v>
      </c>
      <c r="O518" s="239">
        <v>14.447472572326699</v>
      </c>
      <c r="P518" s="239">
        <v>14.6025552749634</v>
      </c>
      <c r="Q518" s="239">
        <v>14.6705665588379</v>
      </c>
      <c r="R518" s="239">
        <v>14.712552070617701</v>
      </c>
      <c r="S518" s="239">
        <v>14.8757133483887</v>
      </c>
      <c r="T518" s="239">
        <v>15.056845664978001</v>
      </c>
      <c r="U518" s="239">
        <v>15.2477731704712</v>
      </c>
      <c r="V518" s="239">
        <v>15.3445425033569</v>
      </c>
      <c r="W518" s="239">
        <v>15.4947566986084</v>
      </c>
      <c r="X518" s="239">
        <v>15.580441474914601</v>
      </c>
      <c r="Y518" s="239">
        <v>15.645468711853001</v>
      </c>
    </row>
    <row r="519" spans="1:26">
      <c r="A519" s="235" t="s">
        <v>477</v>
      </c>
      <c r="B519" s="239">
        <v>7.8179483413696298</v>
      </c>
      <c r="C519" s="239">
        <v>9.2187824249267596</v>
      </c>
      <c r="D519" s="239">
        <v>9.9373922348022496</v>
      </c>
      <c r="E519" s="239">
        <v>10.0359506607056</v>
      </c>
      <c r="F519" s="239">
        <v>9.3121318817138707</v>
      </c>
      <c r="G519" s="239">
        <v>8.7750911712646502</v>
      </c>
      <c r="H519" s="239">
        <v>8.2899227142334002</v>
      </c>
      <c r="I519" s="239">
        <v>8.0357856750488299</v>
      </c>
      <c r="J519" s="239">
        <v>7.7935147285461399</v>
      </c>
      <c r="K519" s="239">
        <v>7.6957306861877397</v>
      </c>
      <c r="L519" s="239">
        <v>7.7737927436828604</v>
      </c>
      <c r="M519" s="239">
        <v>7.89709520339966</v>
      </c>
      <c r="N519" s="239">
        <v>8.0722961425781303</v>
      </c>
      <c r="O519" s="239">
        <v>8.21258449554443</v>
      </c>
      <c r="P519" s="239">
        <v>8.1957035064697301</v>
      </c>
      <c r="Q519" s="239">
        <v>8.2030982971191406</v>
      </c>
      <c r="R519" s="239">
        <v>8.3247480392456108</v>
      </c>
      <c r="S519" s="239">
        <v>8.5131444931030291</v>
      </c>
      <c r="T519" s="239">
        <v>8.6595201492309606</v>
      </c>
      <c r="U519" s="239">
        <v>8.7975921630859393</v>
      </c>
      <c r="V519" s="239">
        <v>8.8660669326782209</v>
      </c>
      <c r="W519" s="239">
        <v>8.8930187225341797</v>
      </c>
      <c r="X519" s="239">
        <v>8.9751634597778303</v>
      </c>
      <c r="Y519" s="239">
        <v>9.0651559829711896</v>
      </c>
    </row>
    <row r="520" spans="1:26">
      <c r="A520" s="235" t="s">
        <v>478</v>
      </c>
      <c r="B520" s="239">
        <v>25.222642898559599</v>
      </c>
      <c r="C520" s="239">
        <v>25.415189743041999</v>
      </c>
      <c r="D520" s="239">
        <v>25.1893119812012</v>
      </c>
      <c r="E520" s="239">
        <v>25.147850036621101</v>
      </c>
      <c r="F520" s="239">
        <v>24.3894958496094</v>
      </c>
      <c r="G520" s="239">
        <v>23.460399627685501</v>
      </c>
      <c r="H520" s="239">
        <v>22.990982055664102</v>
      </c>
      <c r="I520" s="239">
        <v>23.018142700195298</v>
      </c>
      <c r="J520" s="239">
        <v>22.960025787353501</v>
      </c>
      <c r="K520" s="239">
        <v>22.974227905273398</v>
      </c>
      <c r="L520" s="239">
        <v>23.1215305328369</v>
      </c>
      <c r="M520" s="239">
        <v>23.312740325927699</v>
      </c>
      <c r="N520" s="239">
        <v>23.5714206695557</v>
      </c>
      <c r="O520" s="239">
        <v>23.632020950317401</v>
      </c>
      <c r="P520" s="239">
        <v>23.589054107666001</v>
      </c>
      <c r="Q520" s="239">
        <v>23.650138854980501</v>
      </c>
      <c r="R520" s="239">
        <v>23.8146667480469</v>
      </c>
      <c r="S520" s="239">
        <v>24.0346794128418</v>
      </c>
      <c r="T520" s="239">
        <v>24.122148513793899</v>
      </c>
      <c r="U520" s="239">
        <v>24.230636596679702</v>
      </c>
      <c r="V520" s="239">
        <v>24.181154251098601</v>
      </c>
      <c r="W520" s="239">
        <v>24.130558013916001</v>
      </c>
      <c r="X520" s="239">
        <v>24.148235321044901</v>
      </c>
      <c r="Y520" s="239">
        <v>24.238166809081999</v>
      </c>
    </row>
    <row r="521" spans="1:26">
      <c r="A521" s="235" t="s">
        <v>439</v>
      </c>
      <c r="B521" s="239" t="s">
        <v>439</v>
      </c>
      <c r="C521" s="239" t="s">
        <v>439</v>
      </c>
      <c r="D521" s="239" t="s">
        <v>439</v>
      </c>
      <c r="E521" s="239" t="s">
        <v>439</v>
      </c>
      <c r="F521" s="239" t="s">
        <v>439</v>
      </c>
      <c r="G521" s="239" t="s">
        <v>439</v>
      </c>
      <c r="H521" s="239" t="s">
        <v>439</v>
      </c>
      <c r="I521" s="239" t="s">
        <v>439</v>
      </c>
      <c r="J521" s="239" t="s">
        <v>439</v>
      </c>
      <c r="K521" s="239" t="s">
        <v>439</v>
      </c>
      <c r="L521" s="239" t="s">
        <v>439</v>
      </c>
      <c r="M521" s="239" t="s">
        <v>439</v>
      </c>
      <c r="N521" s="239" t="s">
        <v>439</v>
      </c>
      <c r="O521" s="239" t="s">
        <v>439</v>
      </c>
      <c r="P521" s="239" t="s">
        <v>439</v>
      </c>
      <c r="Q521" s="239" t="s">
        <v>439</v>
      </c>
      <c r="R521" s="239" t="s">
        <v>439</v>
      </c>
      <c r="S521" s="239" t="s">
        <v>439</v>
      </c>
      <c r="T521" s="239" t="s">
        <v>439</v>
      </c>
      <c r="U521" s="239" t="s">
        <v>439</v>
      </c>
      <c r="V521" s="239" t="s">
        <v>439</v>
      </c>
      <c r="W521" s="239" t="s">
        <v>439</v>
      </c>
      <c r="X521" s="239" t="s">
        <v>439</v>
      </c>
      <c r="Y521" s="239" t="s">
        <v>439</v>
      </c>
    </row>
    <row r="522" spans="1:26">
      <c r="A522" s="235" t="s">
        <v>479</v>
      </c>
      <c r="B522" s="239">
        <v>15.064169883728001</v>
      </c>
      <c r="C522" s="239">
        <v>15.629265785217299</v>
      </c>
      <c r="D522" s="239">
        <v>15.835299491882299</v>
      </c>
      <c r="E522" s="239">
        <v>15.918291091918899</v>
      </c>
      <c r="F522" s="239">
        <v>15.0829524993896</v>
      </c>
      <c r="G522" s="239">
        <v>14.3196773529053</v>
      </c>
      <c r="H522" s="239">
        <v>13.910519599914601</v>
      </c>
      <c r="I522" s="239">
        <v>13.8424997329712</v>
      </c>
      <c r="J522" s="239">
        <v>13.762632369995099</v>
      </c>
      <c r="K522" s="239">
        <v>13.8186712265015</v>
      </c>
      <c r="L522" s="239">
        <v>14.058515548706101</v>
      </c>
      <c r="M522" s="239">
        <v>14.316973686218301</v>
      </c>
      <c r="N522" s="239">
        <v>14.661353111267101</v>
      </c>
      <c r="O522" s="239">
        <v>14.869439125061</v>
      </c>
      <c r="P522" s="239">
        <v>14.9301090240479</v>
      </c>
      <c r="Q522" s="239">
        <v>15.044508934021</v>
      </c>
      <c r="R522" s="239">
        <v>15.2485342025757</v>
      </c>
      <c r="S522" s="239">
        <v>15.517853736877401</v>
      </c>
      <c r="T522" s="239">
        <v>15.7009220123291</v>
      </c>
      <c r="U522" s="239">
        <v>15.889198303222701</v>
      </c>
      <c r="V522" s="239">
        <v>15.933961868286101</v>
      </c>
      <c r="W522" s="239">
        <v>15.975202560424799</v>
      </c>
      <c r="X522" s="239">
        <v>16.0630493164063</v>
      </c>
      <c r="Y522" s="239">
        <v>16.195989608764599</v>
      </c>
    </row>
    <row r="523" spans="1:26">
      <c r="A523" s="235" t="s">
        <v>473</v>
      </c>
      <c r="B523" s="239">
        <v>6.5697088241577104</v>
      </c>
      <c r="C523" s="239">
        <v>7.9157042503356898</v>
      </c>
      <c r="D523" s="239">
        <v>8.3734645843505895</v>
      </c>
      <c r="E523" s="239">
        <v>8.3683490753173793</v>
      </c>
      <c r="F523" s="239">
        <v>7.7444124221801802</v>
      </c>
      <c r="G523" s="239">
        <v>7.3380589485168501</v>
      </c>
      <c r="H523" s="239">
        <v>7.0368156433105504</v>
      </c>
      <c r="I523" s="239">
        <v>6.9020848274231001</v>
      </c>
      <c r="J523" s="239">
        <v>6.8100509643554696</v>
      </c>
      <c r="K523" s="239">
        <v>6.84179735183716</v>
      </c>
      <c r="L523" s="239">
        <v>6.8974781036376998</v>
      </c>
      <c r="M523" s="239">
        <v>6.9808845520019496</v>
      </c>
      <c r="N523" s="239">
        <v>7.1057710647582999</v>
      </c>
      <c r="O523" s="239">
        <v>7.20139837265015</v>
      </c>
      <c r="P523" s="239">
        <v>7.18692874908447</v>
      </c>
      <c r="Q523" s="239">
        <v>7.1932849884033203</v>
      </c>
      <c r="R523" s="239">
        <v>7.2944316864013699</v>
      </c>
      <c r="S523" s="239">
        <v>7.4377117156982404</v>
      </c>
      <c r="T523" s="239">
        <v>7.5399260520935103</v>
      </c>
      <c r="U523" s="239">
        <v>7.6392593383789098</v>
      </c>
      <c r="V523" s="239">
        <v>7.6873850822448704</v>
      </c>
      <c r="W523" s="239">
        <v>7.6958703994751003</v>
      </c>
      <c r="X523" s="239">
        <v>7.7559337615966797</v>
      </c>
      <c r="Y523" s="239">
        <v>7.8220491409301802</v>
      </c>
    </row>
    <row r="524" spans="1:26">
      <c r="A524" s="235" t="s">
        <v>474</v>
      </c>
      <c r="B524" s="239">
        <v>6.9482707977294904</v>
      </c>
      <c r="C524" s="239">
        <v>8.0266513824462908</v>
      </c>
      <c r="D524" s="239">
        <v>8.9197750091552699</v>
      </c>
      <c r="E524" s="239">
        <v>8.6532449722290004</v>
      </c>
      <c r="F524" s="239">
        <v>7.9109911918640101</v>
      </c>
      <c r="G524" s="239">
        <v>7.48618364334106</v>
      </c>
      <c r="H524" s="239">
        <v>7.32971286773682</v>
      </c>
      <c r="I524" s="239">
        <v>7.1282916069030797</v>
      </c>
      <c r="J524" s="239">
        <v>7.1344366073608398</v>
      </c>
      <c r="K524" s="239">
        <v>7.2035880088806197</v>
      </c>
      <c r="L524" s="239">
        <v>7.21549415588379</v>
      </c>
      <c r="M524" s="239">
        <v>7.2433881759643599</v>
      </c>
      <c r="N524" s="239">
        <v>7.2548027038574201</v>
      </c>
      <c r="O524" s="239">
        <v>7.2826437950134304</v>
      </c>
      <c r="P524" s="239">
        <v>7.3254833221435502</v>
      </c>
      <c r="Q524" s="239">
        <v>7.3667011260986301</v>
      </c>
      <c r="R524" s="239">
        <v>7.4382300376892099</v>
      </c>
      <c r="S524" s="239">
        <v>7.5099358558654803</v>
      </c>
      <c r="T524" s="239">
        <v>7.5474686622619602</v>
      </c>
      <c r="U524" s="239">
        <v>7.6315479278564498</v>
      </c>
      <c r="V524" s="239">
        <v>7.69354152679443</v>
      </c>
      <c r="W524" s="239">
        <v>7.7161302566528303</v>
      </c>
      <c r="X524" s="239">
        <v>7.7569241523742702</v>
      </c>
      <c r="Y524" s="239">
        <v>7.8363184928893999</v>
      </c>
    </row>
    <row r="525" spans="1:26">
      <c r="A525" s="235" t="s">
        <v>475</v>
      </c>
      <c r="B525" s="239">
        <v>6.1493649482727104</v>
      </c>
      <c r="C525" s="239">
        <v>7.03082323074341</v>
      </c>
      <c r="D525" s="239">
        <v>7.7272844314575204</v>
      </c>
      <c r="E525" s="239">
        <v>7.4210705757141104</v>
      </c>
      <c r="F525" s="239">
        <v>6.8826036453247097</v>
      </c>
      <c r="G525" s="239">
        <v>6.5409913063049299</v>
      </c>
      <c r="H525" s="239">
        <v>6.4167842864990199</v>
      </c>
      <c r="I525" s="239">
        <v>6.2535924911498997</v>
      </c>
      <c r="J525" s="239">
        <v>6.2965154647827104</v>
      </c>
      <c r="K525" s="239">
        <v>6.4007697105407697</v>
      </c>
      <c r="L525" s="239">
        <v>6.4218788146972701</v>
      </c>
      <c r="M525" s="239">
        <v>6.4483299255371103</v>
      </c>
      <c r="N525" s="239">
        <v>6.4679012298584002</v>
      </c>
      <c r="O525" s="239">
        <v>6.4912290573120099</v>
      </c>
      <c r="P525" s="239">
        <v>6.52826023101807</v>
      </c>
      <c r="Q525" s="239">
        <v>6.5738272666931197</v>
      </c>
      <c r="R525" s="239">
        <v>6.6604804992675799</v>
      </c>
      <c r="S525" s="239">
        <v>6.7330570220947301</v>
      </c>
      <c r="T525" s="239">
        <v>6.75683689117432</v>
      </c>
      <c r="U525" s="239">
        <v>6.8434348106384304</v>
      </c>
      <c r="V525" s="239">
        <v>6.9099073410034197</v>
      </c>
      <c r="W525" s="239">
        <v>6.9186587333679199</v>
      </c>
      <c r="X525" s="239">
        <v>6.9633812904357901</v>
      </c>
      <c r="Y525" s="239">
        <v>7.0585165023803702</v>
      </c>
    </row>
    <row r="526" spans="1:26">
      <c r="A526" s="235" t="s">
        <v>480</v>
      </c>
      <c r="B526" s="239">
        <v>4.2683343887329102</v>
      </c>
      <c r="C526" s="239">
        <v>4.9646224975585902</v>
      </c>
      <c r="D526" s="239">
        <v>5.0606441497802699</v>
      </c>
      <c r="E526" s="239">
        <v>5.3499689102172896</v>
      </c>
      <c r="F526" s="239">
        <v>5.0606269836425799</v>
      </c>
      <c r="G526" s="239">
        <v>4.6454811096191397</v>
      </c>
      <c r="H526" s="239">
        <v>4.44089698791504</v>
      </c>
      <c r="I526" s="239">
        <v>4.3064308166503897</v>
      </c>
      <c r="J526" s="239">
        <v>4.2577414512634304</v>
      </c>
      <c r="K526" s="239">
        <v>4.3118896484375</v>
      </c>
      <c r="L526" s="239">
        <v>4.3638815879821804</v>
      </c>
      <c r="M526" s="239">
        <v>4.4166550636291504</v>
      </c>
      <c r="N526" s="239">
        <v>4.4711151123046902</v>
      </c>
      <c r="O526" s="239">
        <v>4.5238728523254403</v>
      </c>
      <c r="P526" s="239">
        <v>4.5756058692932102</v>
      </c>
      <c r="Q526" s="239">
        <v>4.6275658607482901</v>
      </c>
      <c r="R526" s="239">
        <v>4.6890521049499503</v>
      </c>
      <c r="S526" s="239">
        <v>4.7516570091247603</v>
      </c>
      <c r="T526" s="239">
        <v>4.8052668571472203</v>
      </c>
      <c r="U526" s="239">
        <v>4.8599562644958496</v>
      </c>
      <c r="V526" s="239">
        <v>4.9139251708984402</v>
      </c>
      <c r="W526" s="239">
        <v>4.9674754142761204</v>
      </c>
      <c r="X526" s="239">
        <v>5.0218071937561</v>
      </c>
      <c r="Y526" s="239">
        <v>5.0773591995239302</v>
      </c>
    </row>
    <row r="527" spans="1:26">
      <c r="A527" s="257" t="s">
        <v>477</v>
      </c>
      <c r="B527" s="239">
        <v>6.6170339584350604</v>
      </c>
      <c r="C527" s="239">
        <v>8.0769119262695295</v>
      </c>
      <c r="D527" s="239">
        <v>8.4474086761474592</v>
      </c>
      <c r="E527" s="239">
        <v>8.5042705535888707</v>
      </c>
      <c r="F527" s="239">
        <v>7.8856530189514196</v>
      </c>
      <c r="G527" s="239">
        <v>7.4673976898193404</v>
      </c>
      <c r="H527" s="239">
        <v>7.1177520751953098</v>
      </c>
      <c r="I527" s="239">
        <v>6.9923906326293901</v>
      </c>
      <c r="J527" s="239">
        <v>6.8716683387756303</v>
      </c>
      <c r="K527" s="239">
        <v>6.8934268951415998</v>
      </c>
      <c r="L527" s="239">
        <v>6.9598770141601598</v>
      </c>
      <c r="M527" s="239">
        <v>7.0576272010803196</v>
      </c>
      <c r="N527" s="239">
        <v>7.21203565597534</v>
      </c>
      <c r="O527" s="239">
        <v>7.32529544830322</v>
      </c>
      <c r="P527" s="239">
        <v>7.2944836616516104</v>
      </c>
      <c r="Q527" s="239">
        <v>7.2903637886047399</v>
      </c>
      <c r="R527" s="239">
        <v>7.3995337486267099</v>
      </c>
      <c r="S527" s="239">
        <v>7.56237888336182</v>
      </c>
      <c r="T527" s="239">
        <v>7.6814393997192401</v>
      </c>
      <c r="U527" s="239">
        <v>7.78521823883057</v>
      </c>
      <c r="V527" s="239">
        <v>7.8287162780761701</v>
      </c>
      <c r="W527" s="239">
        <v>7.8313083648681596</v>
      </c>
      <c r="X527" s="239">
        <v>7.8953433036804199</v>
      </c>
      <c r="Y527" s="239">
        <v>7.9576945304870597</v>
      </c>
      <c r="Z527" s="265">
        <f>Y527+($AI$357-$Y$527)/10</f>
        <v>8.0099991534203383</v>
      </c>
    </row>
    <row r="528" spans="1:26">
      <c r="A528" s="258" t="s">
        <v>478</v>
      </c>
      <c r="B528" s="239">
        <v>23.353584289550799</v>
      </c>
      <c r="C528" s="239">
        <v>23.2374382019043</v>
      </c>
      <c r="D528" s="239">
        <v>23.0415229797363</v>
      </c>
      <c r="E528" s="239">
        <v>22.938554763793899</v>
      </c>
      <c r="F528" s="239">
        <v>21.8424968719482</v>
      </c>
      <c r="G528" s="239">
        <v>20.6924953460693</v>
      </c>
      <c r="H528" s="239">
        <v>20.1292018890381</v>
      </c>
      <c r="I528" s="239">
        <v>20.063879013061499</v>
      </c>
      <c r="J528" s="239">
        <v>19.9343872070313</v>
      </c>
      <c r="K528" s="239">
        <v>19.938108444213899</v>
      </c>
      <c r="L528" s="239">
        <v>20.262083053588899</v>
      </c>
      <c r="M528" s="239">
        <v>20.589830398559599</v>
      </c>
      <c r="N528" s="239">
        <v>21.038742065429702</v>
      </c>
      <c r="O528" s="239">
        <v>21.2544975280762</v>
      </c>
      <c r="P528" s="239">
        <v>21.300868988037099</v>
      </c>
      <c r="Q528" s="239">
        <v>21.4323215484619</v>
      </c>
      <c r="R528" s="239">
        <v>21.647081375122099</v>
      </c>
      <c r="S528" s="239">
        <v>21.937980651855501</v>
      </c>
      <c r="T528" s="239">
        <v>22.104045867919901</v>
      </c>
      <c r="U528" s="239">
        <v>22.281753540039102</v>
      </c>
      <c r="V528" s="239">
        <v>22.24875831604</v>
      </c>
      <c r="W528" s="239">
        <v>22.2471523284912</v>
      </c>
      <c r="X528" s="239">
        <v>22.287950515747099</v>
      </c>
      <c r="Y528" s="239">
        <v>22.4030246734619</v>
      </c>
      <c r="Z528" s="267">
        <f>Y528+($AI$358-$Y$528)/10</f>
        <v>22.313820934181763</v>
      </c>
    </row>
    <row r="529" spans="1:70">
      <c r="A529" s="235" t="s">
        <v>439</v>
      </c>
      <c r="B529" s="239" t="s">
        <v>439</v>
      </c>
      <c r="C529" s="239" t="s">
        <v>439</v>
      </c>
      <c r="D529" s="239" t="s">
        <v>439</v>
      </c>
      <c r="E529" s="239" t="s">
        <v>439</v>
      </c>
      <c r="F529" s="239" t="s">
        <v>439</v>
      </c>
      <c r="G529" s="239" t="s">
        <v>439</v>
      </c>
      <c r="H529" s="239" t="s">
        <v>439</v>
      </c>
      <c r="I529" s="239" t="s">
        <v>439</v>
      </c>
      <c r="J529" s="239" t="s">
        <v>439</v>
      </c>
      <c r="K529" s="239" t="s">
        <v>439</v>
      </c>
      <c r="L529" s="239" t="s">
        <v>439</v>
      </c>
      <c r="M529" s="239" t="s">
        <v>439</v>
      </c>
      <c r="N529" s="239" t="s">
        <v>439</v>
      </c>
      <c r="O529" s="239" t="s">
        <v>439</v>
      </c>
      <c r="P529" s="239" t="s">
        <v>439</v>
      </c>
      <c r="Q529" s="239" t="s">
        <v>439</v>
      </c>
      <c r="R529" s="239" t="s">
        <v>439</v>
      </c>
      <c r="S529" s="239" t="s">
        <v>439</v>
      </c>
      <c r="T529" s="239" t="s">
        <v>439</v>
      </c>
      <c r="U529" s="239" t="s">
        <v>439</v>
      </c>
      <c r="V529" s="239" t="s">
        <v>439</v>
      </c>
      <c r="W529" s="239" t="s">
        <v>439</v>
      </c>
      <c r="X529" s="239" t="s">
        <v>439</v>
      </c>
      <c r="Y529" s="239" t="s">
        <v>439</v>
      </c>
    </row>
    <row r="530" spans="1:70" ht="13.5" thickBot="1">
      <c r="A530" s="235" t="s">
        <v>481</v>
      </c>
      <c r="B530" s="239">
        <v>6.3922061920165998</v>
      </c>
      <c r="C530" s="239">
        <v>7.7839651107788104</v>
      </c>
      <c r="D530" s="239">
        <v>8.7301359176635707</v>
      </c>
      <c r="E530" s="239">
        <v>8.5276689529418892</v>
      </c>
      <c r="F530" s="239">
        <v>7.7321057319641104</v>
      </c>
      <c r="G530" s="239">
        <v>7.2916359901428196</v>
      </c>
      <c r="H530" s="239">
        <v>7.0938224792480504</v>
      </c>
      <c r="I530" s="239">
        <v>6.9649901390075701</v>
      </c>
      <c r="J530" s="239">
        <v>6.8520793914794904</v>
      </c>
      <c r="K530" s="239">
        <v>6.8315567970275897</v>
      </c>
      <c r="L530" s="239">
        <v>6.8953166007995597</v>
      </c>
      <c r="M530" s="239">
        <v>6.99013376235962</v>
      </c>
      <c r="N530" s="239">
        <v>7.1103782653808603</v>
      </c>
      <c r="O530" s="239">
        <v>7.2379879951477104</v>
      </c>
      <c r="P530" s="239">
        <v>7.276611328125</v>
      </c>
      <c r="Q530" s="239">
        <v>7.3343372344970703</v>
      </c>
      <c r="R530" s="239">
        <v>7.4634890556335396</v>
      </c>
      <c r="S530" s="239">
        <v>7.6215224266052202</v>
      </c>
      <c r="T530" s="239">
        <v>7.7529444694518999</v>
      </c>
      <c r="U530" s="239">
        <v>7.8803434371948198</v>
      </c>
      <c r="V530" s="239">
        <v>7.9471721649169904</v>
      </c>
      <c r="W530" s="239">
        <v>7.99715328216553</v>
      </c>
      <c r="X530" s="239">
        <v>8.05676174163818</v>
      </c>
      <c r="Y530" s="239">
        <v>8.1260271072387695</v>
      </c>
    </row>
    <row r="531" spans="1:70" ht="13.5" thickBot="1">
      <c r="A531" s="235" t="s">
        <v>482</v>
      </c>
      <c r="B531" s="239">
        <v>4.9298634529113796</v>
      </c>
      <c r="C531" s="239">
        <v>6.4939708709716797</v>
      </c>
      <c r="D531" s="239">
        <v>7.4592456817626998</v>
      </c>
      <c r="E531" s="239">
        <v>7.2321572303771999</v>
      </c>
      <c r="F531" s="239">
        <v>6.3973078727722203</v>
      </c>
      <c r="G531" s="239">
        <v>5.9808039665222203</v>
      </c>
      <c r="H531" s="239">
        <v>5.7940292358398402</v>
      </c>
      <c r="I531" s="239">
        <v>5.64864206314087</v>
      </c>
      <c r="J531" s="239">
        <v>5.54791307449341</v>
      </c>
      <c r="K531" s="239">
        <v>5.5448842048645002</v>
      </c>
      <c r="L531" s="239">
        <v>5.5862631797790501</v>
      </c>
      <c r="M531" s="239">
        <v>5.6484580039978001</v>
      </c>
      <c r="N531" s="239">
        <v>5.7157526016235396</v>
      </c>
      <c r="O531" s="239">
        <v>5.8273496627807599</v>
      </c>
      <c r="P531" s="239">
        <v>5.8644676208496103</v>
      </c>
      <c r="Q531" s="239">
        <v>5.9049983024597203</v>
      </c>
      <c r="R531" s="239">
        <v>6.0105843544006303</v>
      </c>
      <c r="S531" s="239">
        <v>6.1420850753784197</v>
      </c>
      <c r="T531" s="239">
        <v>6.2661328315734899</v>
      </c>
      <c r="U531" s="239">
        <v>6.3902029991149902</v>
      </c>
      <c r="V531" s="239">
        <v>6.4639844894409197</v>
      </c>
      <c r="W531" s="239">
        <v>6.5222811698913601</v>
      </c>
      <c r="X531" s="239">
        <v>6.5781168937683097</v>
      </c>
      <c r="Y531" s="239">
        <v>6.6401424407959002</v>
      </c>
      <c r="AA531" s="277">
        <f>Z701+($AI$531-$Y$701)/10</f>
        <v>1.6707610713595051</v>
      </c>
      <c r="AB531" s="277">
        <f t="shared" ref="AB531:AH531" si="75">AA531+($AI$531-$Y$701)/10</f>
        <v>1.7872284374395671</v>
      </c>
      <c r="AC531" s="277">
        <f t="shared" si="75"/>
        <v>1.903695803519629</v>
      </c>
      <c r="AD531" s="277">
        <f t="shared" si="75"/>
        <v>2.0201631695996909</v>
      </c>
      <c r="AE531" s="277">
        <f t="shared" si="75"/>
        <v>2.1366305356797528</v>
      </c>
      <c r="AF531" s="277">
        <f t="shared" si="75"/>
        <v>2.2530979017598147</v>
      </c>
      <c r="AG531" s="277">
        <f t="shared" si="75"/>
        <v>2.3695652678398766</v>
      </c>
      <c r="AH531" s="277">
        <f t="shared" si="75"/>
        <v>2.4860326339199386</v>
      </c>
      <c r="AI531" s="282">
        <v>2.6025</v>
      </c>
      <c r="AJ531" s="277">
        <f>AI531+($BM$531-$AI$531)/30</f>
        <v>2.6824166666666667</v>
      </c>
      <c r="AK531" s="277">
        <f t="shared" ref="AK531:BR531" si="76">AJ531+($BM$531-$AI$531)/30</f>
        <v>2.7623333333333333</v>
      </c>
      <c r="AL531" s="277">
        <f t="shared" si="76"/>
        <v>2.8422499999999999</v>
      </c>
      <c r="AM531" s="277">
        <f t="shared" si="76"/>
        <v>2.9221666666666666</v>
      </c>
      <c r="AN531" s="277">
        <f t="shared" si="76"/>
        <v>3.0020833333333332</v>
      </c>
      <c r="AO531" s="277">
        <f t="shared" si="76"/>
        <v>3.0819999999999999</v>
      </c>
      <c r="AP531" s="277">
        <f t="shared" si="76"/>
        <v>3.1619166666666665</v>
      </c>
      <c r="AQ531" s="277">
        <f t="shared" si="76"/>
        <v>3.2418333333333331</v>
      </c>
      <c r="AR531" s="277">
        <f t="shared" si="76"/>
        <v>3.3217499999999998</v>
      </c>
      <c r="AS531" s="277">
        <f t="shared" si="76"/>
        <v>3.4016666666666664</v>
      </c>
      <c r="AT531" s="277">
        <f t="shared" si="76"/>
        <v>3.481583333333333</v>
      </c>
      <c r="AU531" s="277">
        <f t="shared" si="76"/>
        <v>3.5614999999999997</v>
      </c>
      <c r="AV531" s="277">
        <f t="shared" si="76"/>
        <v>3.6414166666666663</v>
      </c>
      <c r="AW531" s="277">
        <f t="shared" si="76"/>
        <v>3.7213333333333329</v>
      </c>
      <c r="AX531" s="277">
        <f t="shared" si="76"/>
        <v>3.8012499999999996</v>
      </c>
      <c r="AY531" s="277">
        <f t="shared" si="76"/>
        <v>3.8811666666666662</v>
      </c>
      <c r="AZ531" s="277">
        <f t="shared" si="76"/>
        <v>3.9610833333333328</v>
      </c>
      <c r="BA531" s="277">
        <f t="shared" si="76"/>
        <v>4.0409999999999995</v>
      </c>
      <c r="BB531" s="277">
        <f t="shared" si="76"/>
        <v>4.1209166666666661</v>
      </c>
      <c r="BC531" s="277">
        <f t="shared" si="76"/>
        <v>4.2008333333333328</v>
      </c>
      <c r="BD531" s="277">
        <f t="shared" si="76"/>
        <v>4.2807499999999994</v>
      </c>
      <c r="BE531" s="277">
        <f t="shared" si="76"/>
        <v>4.360666666666666</v>
      </c>
      <c r="BF531" s="277">
        <f t="shared" si="76"/>
        <v>4.4405833333333327</v>
      </c>
      <c r="BG531" s="277">
        <f t="shared" si="76"/>
        <v>4.5204999999999993</v>
      </c>
      <c r="BH531" s="277">
        <f t="shared" si="76"/>
        <v>4.6004166666666659</v>
      </c>
      <c r="BI531" s="277">
        <f t="shared" si="76"/>
        <v>4.6803333333333326</v>
      </c>
      <c r="BJ531" s="277">
        <f t="shared" si="76"/>
        <v>4.7602499999999992</v>
      </c>
      <c r="BK531" s="277">
        <f t="shared" si="76"/>
        <v>4.8401666666666658</v>
      </c>
      <c r="BL531" s="277">
        <f t="shared" si="76"/>
        <v>4.9200833333333325</v>
      </c>
      <c r="BM531" s="280">
        <v>5</v>
      </c>
      <c r="BN531" s="277">
        <f t="shared" si="76"/>
        <v>5.0799166666666666</v>
      </c>
      <c r="BO531" s="277">
        <f t="shared" si="76"/>
        <v>5.1598333333333333</v>
      </c>
      <c r="BP531" s="277">
        <f t="shared" si="76"/>
        <v>5.2397499999999999</v>
      </c>
      <c r="BQ531" s="277">
        <f t="shared" si="76"/>
        <v>5.3196666666666665</v>
      </c>
      <c r="BR531" s="277">
        <f t="shared" si="76"/>
        <v>5.3995833333333332</v>
      </c>
    </row>
    <row r="532" spans="1:70">
      <c r="A532" s="235" t="s">
        <v>474</v>
      </c>
      <c r="B532" s="239">
        <v>6.5291514396667498</v>
      </c>
      <c r="C532" s="239">
        <v>8.2850980758666992</v>
      </c>
      <c r="D532" s="239">
        <v>9.8001232147216797</v>
      </c>
      <c r="E532" s="239">
        <v>9.3072748184204102</v>
      </c>
      <c r="F532" s="239">
        <v>8.1255960464477504</v>
      </c>
      <c r="G532" s="239">
        <v>7.6394152641296396</v>
      </c>
      <c r="H532" s="239">
        <v>7.5353851318359402</v>
      </c>
      <c r="I532" s="239">
        <v>7.29905128479004</v>
      </c>
      <c r="J532" s="239">
        <v>7.2437157630920401</v>
      </c>
      <c r="K532" s="239">
        <v>7.2615475654602104</v>
      </c>
      <c r="L532" s="239">
        <v>7.28952884674072</v>
      </c>
      <c r="M532" s="239">
        <v>7.3323044776916504</v>
      </c>
      <c r="N532" s="239">
        <v>7.3129158020019496</v>
      </c>
      <c r="O532" s="239">
        <v>7.4180650711059597</v>
      </c>
      <c r="P532" s="239">
        <v>7.5101509094238299</v>
      </c>
      <c r="Q532" s="239">
        <v>7.5518846511840803</v>
      </c>
      <c r="R532" s="239">
        <v>7.6326026916503897</v>
      </c>
      <c r="S532" s="239">
        <v>7.7444272041320801</v>
      </c>
      <c r="T532" s="239">
        <v>7.8752341270446804</v>
      </c>
      <c r="U532" s="239">
        <v>8.0334920883178693</v>
      </c>
      <c r="V532" s="239">
        <v>8.1469945907592791</v>
      </c>
      <c r="W532" s="239">
        <v>8.2539978027343803</v>
      </c>
      <c r="X532" s="239">
        <v>8.3047761917114293</v>
      </c>
      <c r="Y532" s="239">
        <v>8.3638219833374006</v>
      </c>
      <c r="AA532" s="280">
        <v>8.7353999999999985</v>
      </c>
      <c r="AB532" s="280">
        <v>8.7353999999999985</v>
      </c>
      <c r="AC532" s="280">
        <v>8.7353999999999985</v>
      </c>
      <c r="AD532" s="280">
        <v>8.7353999999999985</v>
      </c>
      <c r="AE532" s="280">
        <v>8.7353999999999985</v>
      </c>
      <c r="AF532" s="280">
        <v>8.7353999999999985</v>
      </c>
      <c r="AG532" s="280">
        <v>8.7353999999999985</v>
      </c>
      <c r="AH532" s="280">
        <v>8.2799999999999994</v>
      </c>
      <c r="AI532" s="280">
        <v>8.2799999999999994</v>
      </c>
      <c r="AJ532" s="271">
        <f>AI532+($AX$532-$AI$532)/15</f>
        <v>8.2855063337213686</v>
      </c>
      <c r="AK532" s="271">
        <f t="shared" ref="AK532:AW532" si="77">AJ532+($AX$532-$AI$532)/15</f>
        <v>8.2910126674427378</v>
      </c>
      <c r="AL532" s="271">
        <f t="shared" si="77"/>
        <v>8.296519001164107</v>
      </c>
      <c r="AM532" s="271">
        <f t="shared" si="77"/>
        <v>8.3020253348854762</v>
      </c>
      <c r="AN532" s="271">
        <f t="shared" si="77"/>
        <v>8.3075316686068454</v>
      </c>
      <c r="AO532" s="271">
        <f t="shared" si="77"/>
        <v>8.3130380023282147</v>
      </c>
      <c r="AP532" s="271">
        <f t="shared" si="77"/>
        <v>8.3185443360495839</v>
      </c>
      <c r="AQ532" s="271">
        <f t="shared" si="77"/>
        <v>8.3240506697709531</v>
      </c>
      <c r="AR532" s="271">
        <f t="shared" si="77"/>
        <v>8.3295570034923223</v>
      </c>
      <c r="AS532" s="271">
        <f t="shared" si="77"/>
        <v>8.3350633372136915</v>
      </c>
      <c r="AT532" s="271">
        <f t="shared" si="77"/>
        <v>8.3405696709350607</v>
      </c>
      <c r="AU532" s="271">
        <f t="shared" si="77"/>
        <v>8.34607600465643</v>
      </c>
      <c r="AV532" s="271">
        <f t="shared" si="77"/>
        <v>8.3515823383777992</v>
      </c>
      <c r="AW532" s="271">
        <f t="shared" si="77"/>
        <v>8.3570886720991684</v>
      </c>
      <c r="AX532" s="276">
        <f>AI532*$B$747</f>
        <v>8.3625950058205305</v>
      </c>
      <c r="AY532" s="271">
        <f>AX532+($BM$532-$AX$532)/15</f>
        <v>8.3654368677345836</v>
      </c>
      <c r="AZ532" s="271">
        <f t="shared" ref="AZ532:BL532" si="78">AY532+($BM$532-$AX$532)/15</f>
        <v>8.3682787296486367</v>
      </c>
      <c r="BA532" s="271">
        <f t="shared" si="78"/>
        <v>8.3711205915626898</v>
      </c>
      <c r="BB532" s="271">
        <f t="shared" si="78"/>
        <v>8.373962453476743</v>
      </c>
      <c r="BC532" s="271">
        <f t="shared" si="78"/>
        <v>8.3768043153907961</v>
      </c>
      <c r="BD532" s="271">
        <f t="shared" si="78"/>
        <v>8.3796461773048492</v>
      </c>
      <c r="BE532" s="271">
        <f t="shared" si="78"/>
        <v>8.3824880392189023</v>
      </c>
      <c r="BF532" s="271">
        <f t="shared" si="78"/>
        <v>8.3853299011329554</v>
      </c>
      <c r="BG532" s="271">
        <f t="shared" si="78"/>
        <v>8.3881717630470085</v>
      </c>
      <c r="BH532" s="271">
        <f t="shared" si="78"/>
        <v>8.3910136249610616</v>
      </c>
      <c r="BI532" s="271">
        <f t="shared" si="78"/>
        <v>8.3938554868751147</v>
      </c>
      <c r="BJ532" s="271">
        <f t="shared" si="78"/>
        <v>8.3966973487891678</v>
      </c>
      <c r="BK532" s="271">
        <f t="shared" si="78"/>
        <v>8.399539210703221</v>
      </c>
      <c r="BL532" s="271">
        <f t="shared" si="78"/>
        <v>8.4023810726172741</v>
      </c>
      <c r="BM532" s="276">
        <f>AX532*$C$747</f>
        <v>8.4052229345313236</v>
      </c>
      <c r="BN532" s="271">
        <f>BM532+($BR$532-$BM$532)/5</f>
        <v>8.4080792827007791</v>
      </c>
      <c r="BO532" s="271">
        <f>BN532+($BR$532-$BM$532)/5</f>
        <v>8.4109356308702345</v>
      </c>
      <c r="BP532" s="271">
        <f>BO532+($BR$532-$BM$532)/5</f>
        <v>8.41379197903969</v>
      </c>
      <c r="BQ532" s="271">
        <f>BP532+($BR$532-$BM$532)/5</f>
        <v>8.4166483272091455</v>
      </c>
      <c r="BR532" s="276">
        <f>BM532*$D$747</f>
        <v>8.4195046753785974</v>
      </c>
    </row>
    <row r="533" spans="1:70">
      <c r="A533" s="235" t="s">
        <v>475</v>
      </c>
      <c r="B533" s="239">
        <v>6.3323707580566397</v>
      </c>
      <c r="C533" s="239">
        <v>7.2384452819824201</v>
      </c>
      <c r="D533" s="239">
        <v>7.96527099609375</v>
      </c>
      <c r="E533" s="239">
        <v>7.6527137756347701</v>
      </c>
      <c r="F533" s="239">
        <v>7.15256595611572</v>
      </c>
      <c r="G533" s="239">
        <v>6.8207654953002903</v>
      </c>
      <c r="H533" s="239">
        <v>6.8779778480529803</v>
      </c>
      <c r="I533" s="239">
        <v>6.7174663543701199</v>
      </c>
      <c r="J533" s="239">
        <v>6.78255271911621</v>
      </c>
      <c r="K533" s="239">
        <v>7.1339807510376003</v>
      </c>
      <c r="L533" s="239">
        <v>7.1601362228393599</v>
      </c>
      <c r="M533" s="239">
        <v>7.1876134872436497</v>
      </c>
      <c r="N533" s="239">
        <v>7.1760501861572301</v>
      </c>
      <c r="O533" s="239">
        <v>7.19400835037231</v>
      </c>
      <c r="P533" s="239">
        <v>7.2192950248718297</v>
      </c>
      <c r="Q533" s="239">
        <v>7.2771706581115696</v>
      </c>
      <c r="R533" s="239">
        <v>7.32332468032837</v>
      </c>
      <c r="S533" s="239">
        <v>7.37906789779663</v>
      </c>
      <c r="T533" s="239">
        <v>7.3721222877502397</v>
      </c>
      <c r="U533" s="239">
        <v>7.4461221694946298</v>
      </c>
      <c r="V533" s="239">
        <v>7.5145907402038601</v>
      </c>
      <c r="W533" s="239">
        <v>7.4954967498779297</v>
      </c>
      <c r="X533" s="239">
        <v>7.5633401870727504</v>
      </c>
      <c r="Y533" s="239">
        <v>7.7325506210327104</v>
      </c>
      <c r="AA533" s="281">
        <v>4.78</v>
      </c>
      <c r="AB533" s="281">
        <v>4.78</v>
      </c>
      <c r="AC533" s="281">
        <v>4.78</v>
      </c>
      <c r="AD533" s="281">
        <v>4.78</v>
      </c>
      <c r="AE533" s="281">
        <v>4.78</v>
      </c>
      <c r="AF533" s="281">
        <v>4.78</v>
      </c>
      <c r="AG533" s="281">
        <v>4.78</v>
      </c>
      <c r="AH533" s="281">
        <v>4.78</v>
      </c>
      <c r="AI533" s="281">
        <v>4.78</v>
      </c>
      <c r="AJ533" s="281">
        <v>4.78</v>
      </c>
      <c r="AK533" s="281">
        <v>4.78</v>
      </c>
      <c r="AL533" s="281">
        <v>4.78</v>
      </c>
      <c r="AM533" s="281">
        <v>4.78</v>
      </c>
      <c r="AN533" s="281">
        <v>4.78</v>
      </c>
      <c r="AO533" s="281">
        <v>4.78</v>
      </c>
      <c r="AP533" s="281">
        <v>4.78</v>
      </c>
      <c r="AQ533" s="281">
        <v>4.78</v>
      </c>
      <c r="AR533" s="281">
        <v>4.78</v>
      </c>
      <c r="AS533" s="281">
        <v>4.78</v>
      </c>
      <c r="AT533" s="281">
        <v>4.78</v>
      </c>
      <c r="AU533" s="281">
        <v>4.78</v>
      </c>
      <c r="AV533" s="281">
        <v>4.78</v>
      </c>
      <c r="AW533" s="281">
        <v>4.78</v>
      </c>
      <c r="AX533" s="281">
        <v>4.78</v>
      </c>
      <c r="AY533" s="281">
        <v>4.78</v>
      </c>
      <c r="AZ533" s="281">
        <v>4.78</v>
      </c>
      <c r="BA533" s="281">
        <v>4.78</v>
      </c>
      <c r="BB533" s="281">
        <v>4.78</v>
      </c>
      <c r="BC533" s="281">
        <v>4.78</v>
      </c>
      <c r="BD533" s="281">
        <v>4.78</v>
      </c>
      <c r="BE533" s="281">
        <v>4.78</v>
      </c>
      <c r="BF533" s="281">
        <v>4.78</v>
      </c>
      <c r="BG533" s="281">
        <v>4.78</v>
      </c>
      <c r="BH533" s="281">
        <v>4.78</v>
      </c>
      <c r="BI533" s="281">
        <v>4.78</v>
      </c>
      <c r="BJ533" s="281">
        <v>4.78</v>
      </c>
      <c r="BK533" s="281">
        <v>4.78</v>
      </c>
      <c r="BL533" s="281">
        <v>4.78</v>
      </c>
      <c r="BM533" s="281">
        <v>4.78</v>
      </c>
      <c r="BN533" s="281">
        <v>4.78</v>
      </c>
      <c r="BO533" s="281">
        <v>4.78</v>
      </c>
      <c r="BP533" s="281">
        <v>4.78</v>
      </c>
      <c r="BQ533" s="281">
        <v>4.78</v>
      </c>
      <c r="BR533" s="281">
        <v>4.78</v>
      </c>
    </row>
    <row r="534" spans="1:70">
      <c r="A534" s="235" t="s">
        <v>476</v>
      </c>
      <c r="B534" s="239">
        <v>8.4833917617797905</v>
      </c>
      <c r="C534" s="239">
        <v>12.566796302795399</v>
      </c>
      <c r="D534" s="239">
        <v>15.1470994949341</v>
      </c>
      <c r="E534" s="239">
        <v>13.2375335693359</v>
      </c>
      <c r="F534" s="239">
        <v>11.1595468521118</v>
      </c>
      <c r="G534" s="239">
        <v>10.509430885314901</v>
      </c>
      <c r="H534" s="239">
        <v>10.3245944976807</v>
      </c>
      <c r="I534" s="239">
        <v>10.044970512390099</v>
      </c>
      <c r="J534" s="239">
        <v>10.0157480239868</v>
      </c>
      <c r="K534" s="239">
        <v>9.9449577331543004</v>
      </c>
      <c r="L534" s="239">
        <v>10.002993583679199</v>
      </c>
      <c r="M534" s="239">
        <v>10.097089767456101</v>
      </c>
      <c r="N534" s="239">
        <v>10.020875930786101</v>
      </c>
      <c r="O534" s="239">
        <v>10.2241611480713</v>
      </c>
      <c r="P534" s="239">
        <v>10.3367824554443</v>
      </c>
      <c r="Q534" s="239">
        <v>10.319104194641101</v>
      </c>
      <c r="R534" s="239">
        <v>10.409514427185099</v>
      </c>
      <c r="S534" s="239">
        <v>10.552604675293001</v>
      </c>
      <c r="T534" s="239">
        <v>10.737306594848601</v>
      </c>
      <c r="U534" s="239">
        <v>10.9299325942993</v>
      </c>
      <c r="V534" s="239">
        <v>11.0452260971069</v>
      </c>
      <c r="W534" s="239">
        <v>11.198148727416999</v>
      </c>
      <c r="X534" s="239">
        <v>11.303442955017101</v>
      </c>
      <c r="Y534" s="239">
        <v>11.352322578430201</v>
      </c>
      <c r="AA534" s="280" t="e">
        <f t="shared" ref="AA534:AG534" si="79">AA533*GJ_p_MMBtu</f>
        <v>#NAME?</v>
      </c>
      <c r="AB534" s="280" t="e">
        <f t="shared" si="79"/>
        <v>#NAME?</v>
      </c>
      <c r="AC534" s="280" t="e">
        <f t="shared" si="79"/>
        <v>#NAME?</v>
      </c>
      <c r="AD534" s="280" t="e">
        <f t="shared" si="79"/>
        <v>#NAME?</v>
      </c>
      <c r="AE534" s="280" t="e">
        <f t="shared" si="79"/>
        <v>#NAME?</v>
      </c>
      <c r="AF534" s="280" t="e">
        <f t="shared" si="79"/>
        <v>#NAME?</v>
      </c>
      <c r="AG534" s="280" t="e">
        <f t="shared" si="79"/>
        <v>#NAME?</v>
      </c>
      <c r="AH534" s="280" t="e">
        <f t="shared" ref="AH534:BM534" si="80">AH533*GJ_p_MMBtu</f>
        <v>#NAME?</v>
      </c>
      <c r="AI534" s="280" t="e">
        <f t="shared" si="80"/>
        <v>#NAME?</v>
      </c>
      <c r="AJ534" s="280" t="e">
        <f t="shared" si="80"/>
        <v>#NAME?</v>
      </c>
      <c r="AK534" s="280" t="e">
        <f t="shared" si="80"/>
        <v>#NAME?</v>
      </c>
      <c r="AL534" s="280" t="e">
        <f t="shared" si="80"/>
        <v>#NAME?</v>
      </c>
      <c r="AM534" s="280" t="e">
        <f t="shared" si="80"/>
        <v>#NAME?</v>
      </c>
      <c r="AN534" s="280" t="e">
        <f t="shared" si="80"/>
        <v>#NAME?</v>
      </c>
      <c r="AO534" s="280" t="e">
        <f t="shared" si="80"/>
        <v>#NAME?</v>
      </c>
      <c r="AP534" s="280" t="e">
        <f t="shared" si="80"/>
        <v>#NAME?</v>
      </c>
      <c r="AQ534" s="280" t="e">
        <f t="shared" si="80"/>
        <v>#NAME?</v>
      </c>
      <c r="AR534" s="280" t="e">
        <f t="shared" si="80"/>
        <v>#NAME?</v>
      </c>
      <c r="AS534" s="280" t="e">
        <f t="shared" si="80"/>
        <v>#NAME?</v>
      </c>
      <c r="AT534" s="280" t="e">
        <f t="shared" si="80"/>
        <v>#NAME?</v>
      </c>
      <c r="AU534" s="280" t="e">
        <f t="shared" si="80"/>
        <v>#NAME?</v>
      </c>
      <c r="AV534" s="280" t="e">
        <f t="shared" si="80"/>
        <v>#NAME?</v>
      </c>
      <c r="AW534" s="280" t="e">
        <f t="shared" si="80"/>
        <v>#NAME?</v>
      </c>
      <c r="AX534" s="280" t="e">
        <f t="shared" si="80"/>
        <v>#NAME?</v>
      </c>
      <c r="AY534" s="280" t="e">
        <f t="shared" si="80"/>
        <v>#NAME?</v>
      </c>
      <c r="AZ534" s="280" t="e">
        <f t="shared" si="80"/>
        <v>#NAME?</v>
      </c>
      <c r="BA534" s="280" t="e">
        <f t="shared" si="80"/>
        <v>#NAME?</v>
      </c>
      <c r="BB534" s="280" t="e">
        <f t="shared" si="80"/>
        <v>#NAME?</v>
      </c>
      <c r="BC534" s="280" t="e">
        <f t="shared" si="80"/>
        <v>#NAME?</v>
      </c>
      <c r="BD534" s="280" t="e">
        <f t="shared" si="80"/>
        <v>#NAME?</v>
      </c>
      <c r="BE534" s="280" t="e">
        <f t="shared" si="80"/>
        <v>#NAME?</v>
      </c>
      <c r="BF534" s="280" t="e">
        <f t="shared" si="80"/>
        <v>#NAME?</v>
      </c>
      <c r="BG534" s="280" t="e">
        <f t="shared" si="80"/>
        <v>#NAME?</v>
      </c>
      <c r="BH534" s="280" t="e">
        <f t="shared" si="80"/>
        <v>#NAME?</v>
      </c>
      <c r="BI534" s="280" t="e">
        <f t="shared" si="80"/>
        <v>#NAME?</v>
      </c>
      <c r="BJ534" s="280" t="e">
        <f t="shared" si="80"/>
        <v>#NAME?</v>
      </c>
      <c r="BK534" s="280" t="e">
        <f t="shared" si="80"/>
        <v>#NAME?</v>
      </c>
      <c r="BL534" s="280" t="e">
        <f t="shared" si="80"/>
        <v>#NAME?</v>
      </c>
      <c r="BM534" s="280" t="e">
        <f t="shared" si="80"/>
        <v>#NAME?</v>
      </c>
      <c r="BN534" s="280" t="e">
        <f>BN533*GJ_p_MMBtu</f>
        <v>#NAME?</v>
      </c>
      <c r="BO534" s="280" t="e">
        <f>BO533*GJ_p_MMBtu</f>
        <v>#NAME?</v>
      </c>
      <c r="BP534" s="280" t="e">
        <f>BP533*GJ_p_MMBtu</f>
        <v>#NAME?</v>
      </c>
      <c r="BQ534" s="280" t="e">
        <f>BQ533*GJ_p_MMBtu</f>
        <v>#NAME?</v>
      </c>
      <c r="BR534" s="280" t="e">
        <f>BR533*GJ_p_MMBtu</f>
        <v>#NAME?</v>
      </c>
    </row>
    <row r="535" spans="1:70" ht="51" customHeight="1">
      <c r="A535" s="235" t="s">
        <v>480</v>
      </c>
      <c r="B535" s="239">
        <v>3.9384419918060298</v>
      </c>
      <c r="C535" s="239">
        <v>4.5867881774902299</v>
      </c>
      <c r="D535" s="239">
        <v>4.6800308227539098</v>
      </c>
      <c r="E535" s="239">
        <v>4.9388971328735396</v>
      </c>
      <c r="F535" s="239">
        <v>4.6724338531494096</v>
      </c>
      <c r="G535" s="239">
        <v>4.2573971748352104</v>
      </c>
      <c r="H535" s="239">
        <v>4.0660681724548304</v>
      </c>
      <c r="I535" s="239">
        <v>3.9201312065124498</v>
      </c>
      <c r="J535" s="239">
        <v>3.8699574470520002</v>
      </c>
      <c r="K535" s="239">
        <v>3.9242179393768302</v>
      </c>
      <c r="L535" s="239">
        <v>3.9701111316680899</v>
      </c>
      <c r="M535" s="239">
        <v>4.0123748779296902</v>
      </c>
      <c r="N535" s="239">
        <v>4.03127193450928</v>
      </c>
      <c r="O535" s="239">
        <v>4.0987625122070304</v>
      </c>
      <c r="P535" s="239">
        <v>4.1393604278564498</v>
      </c>
      <c r="Q535" s="239">
        <v>4.1877317428588903</v>
      </c>
      <c r="R535" s="239">
        <v>4.2278647422790501</v>
      </c>
      <c r="S535" s="239">
        <v>4.2813539505004901</v>
      </c>
      <c r="T535" s="239">
        <v>4.3376803398132298</v>
      </c>
      <c r="U535" s="239">
        <v>4.4096555709838903</v>
      </c>
      <c r="V535" s="239">
        <v>4.4638853073120099</v>
      </c>
      <c r="W535" s="239">
        <v>4.5156707763671902</v>
      </c>
      <c r="X535" s="239">
        <v>4.5648870468139604</v>
      </c>
      <c r="Y535" s="239">
        <v>4.6165790557861301</v>
      </c>
      <c r="AA535" s="239"/>
      <c r="AB535" s="239"/>
      <c r="AC535" s="239"/>
      <c r="AD535" s="239"/>
      <c r="AE535" s="239"/>
      <c r="AF535" s="239"/>
      <c r="AG535" s="239"/>
      <c r="AH535" s="239"/>
    </row>
    <row r="536" spans="1:70">
      <c r="A536" s="257" t="s">
        <v>483</v>
      </c>
      <c r="B536" s="239">
        <v>3.88655662536621</v>
      </c>
      <c r="C536" s="239">
        <v>5.55936574935913</v>
      </c>
      <c r="D536" s="239">
        <v>6.0491561889648402</v>
      </c>
      <c r="E536" s="239">
        <v>6.0767245292663601</v>
      </c>
      <c r="F536" s="239">
        <v>5.4288315773010298</v>
      </c>
      <c r="G536" s="239">
        <v>4.9784579277038601</v>
      </c>
      <c r="H536" s="239">
        <v>4.6095819473266602</v>
      </c>
      <c r="I536" s="239">
        <v>4.5152282714843803</v>
      </c>
      <c r="J536" s="239">
        <v>4.3734540939331099</v>
      </c>
      <c r="K536" s="239">
        <v>4.3719940185546902</v>
      </c>
      <c r="L536" s="239">
        <v>4.4435229301452601</v>
      </c>
      <c r="M536" s="239">
        <v>4.5411396026611301</v>
      </c>
      <c r="N536" s="239">
        <v>4.7005810737609899</v>
      </c>
      <c r="O536" s="239">
        <v>4.81768798828125</v>
      </c>
      <c r="P536" s="239">
        <v>4.7900476455688503</v>
      </c>
      <c r="Q536" s="239">
        <v>4.8231658935546902</v>
      </c>
      <c r="R536" s="239">
        <v>4.9558763504028303</v>
      </c>
      <c r="S536" s="239">
        <v>5.1147346496581996</v>
      </c>
      <c r="T536" s="239">
        <v>5.2329874038696298</v>
      </c>
      <c r="U536" s="239">
        <v>5.3250308036804199</v>
      </c>
      <c r="V536" s="239">
        <v>5.3559622764587402</v>
      </c>
      <c r="W536" s="239">
        <v>5.3499736785888699</v>
      </c>
      <c r="X536" s="239">
        <v>5.4079699516296396</v>
      </c>
      <c r="Y536" s="239">
        <v>5.4724006652831996</v>
      </c>
      <c r="Z536" s="265">
        <f>Y536+($AI$366-$Y$536)/10</f>
        <v>5.502911815190215</v>
      </c>
    </row>
    <row r="537" spans="1:70">
      <c r="A537" s="235" t="s">
        <v>484</v>
      </c>
      <c r="B537" s="239">
        <v>1.88388228416443</v>
      </c>
      <c r="C537" s="239">
        <v>1.8499996662139899</v>
      </c>
      <c r="D537" s="239">
        <v>1.9631321430206301</v>
      </c>
      <c r="E537" s="239">
        <v>1.9065624475479099</v>
      </c>
      <c r="F537" s="239">
        <v>1.8876701593398999</v>
      </c>
      <c r="G537" s="239">
        <v>1.8568421602249101</v>
      </c>
      <c r="H537" s="239">
        <v>1.8503668308258101</v>
      </c>
      <c r="I537" s="239">
        <v>1.8461718559265099</v>
      </c>
      <c r="J537" s="239">
        <v>1.81827020645142</v>
      </c>
      <c r="K537" s="239">
        <v>1.79229772090912</v>
      </c>
      <c r="L537" s="239">
        <v>1.7775920629501301</v>
      </c>
      <c r="M537" s="239">
        <v>1.7720992565155</v>
      </c>
      <c r="N537" s="239">
        <v>1.7673192024230999</v>
      </c>
      <c r="O537" s="239">
        <v>1.76388168334961</v>
      </c>
      <c r="P537" s="239">
        <v>1.7582092285156301</v>
      </c>
      <c r="Q537" s="239">
        <v>1.7531107664108301</v>
      </c>
      <c r="R537" s="239">
        <v>1.7537478208541899</v>
      </c>
      <c r="S537" s="239">
        <v>1.7550060749053999</v>
      </c>
      <c r="T537" s="239">
        <v>1.75110328197479</v>
      </c>
      <c r="U537" s="239">
        <v>1.741095662117</v>
      </c>
      <c r="V537" s="239">
        <v>1.72283828258514</v>
      </c>
      <c r="W537" s="239">
        <v>1.7066173553466799</v>
      </c>
      <c r="X537" s="239">
        <v>1.6973831653595</v>
      </c>
      <c r="Y537" s="239">
        <v>1.68216860294342</v>
      </c>
    </row>
    <row r="538" spans="1:70">
      <c r="A538" s="235" t="s">
        <v>485</v>
      </c>
      <c r="B538" s="239">
        <v>1.5976041555404701</v>
      </c>
      <c r="C538" s="239">
        <v>1.5543407201767001</v>
      </c>
      <c r="D538" s="239">
        <v>1.5665656328201301</v>
      </c>
      <c r="E538" s="239">
        <v>1.6037170886993399</v>
      </c>
      <c r="F538" s="239">
        <v>1.59409379959106</v>
      </c>
      <c r="G538" s="239">
        <v>1.5766631364822401</v>
      </c>
      <c r="H538" s="239">
        <v>1.5775339603424099</v>
      </c>
      <c r="I538" s="239">
        <v>1.5708864927291899</v>
      </c>
      <c r="J538" s="239">
        <v>1.5649564266204801</v>
      </c>
      <c r="K538" s="239">
        <v>1.56413578987122</v>
      </c>
      <c r="L538" s="239">
        <v>1.5547889471054099</v>
      </c>
      <c r="M538" s="239">
        <v>1.54732978343964</v>
      </c>
      <c r="N538" s="239">
        <v>1.54787278175354</v>
      </c>
      <c r="O538" s="239">
        <v>1.5495419502258301</v>
      </c>
      <c r="P538" s="239">
        <v>1.5494637489318801</v>
      </c>
      <c r="Q538" s="239">
        <v>1.5568271875381501</v>
      </c>
      <c r="R538" s="239">
        <v>1.55967605113983</v>
      </c>
      <c r="S538" s="239">
        <v>1.5613601207733201</v>
      </c>
      <c r="T538" s="239">
        <v>1.5625598430633501</v>
      </c>
      <c r="U538" s="239">
        <v>1.5681461095809901</v>
      </c>
      <c r="V538" s="239">
        <v>1.5708984136581401</v>
      </c>
      <c r="W538" s="239">
        <v>1.6035954952239999</v>
      </c>
      <c r="X538" s="239">
        <v>1.60524129867554</v>
      </c>
      <c r="Y538" s="239">
        <v>1.6024739742279099</v>
      </c>
    </row>
    <row r="539" spans="1:70">
      <c r="A539" s="258" t="s">
        <v>478</v>
      </c>
      <c r="B539" s="239">
        <v>14.734835624694799</v>
      </c>
      <c r="C539" s="239">
        <v>15.0261535644531</v>
      </c>
      <c r="D539" s="239">
        <v>15.7151737213135</v>
      </c>
      <c r="E539" s="239">
        <v>15.5977983474731</v>
      </c>
      <c r="F539" s="239">
        <v>15.0554456710815</v>
      </c>
      <c r="G539" s="239">
        <v>14.415571212768601</v>
      </c>
      <c r="H539" s="239">
        <v>14.123340606689499</v>
      </c>
      <c r="I539" s="239">
        <v>14.033378601074199</v>
      </c>
      <c r="J539" s="239">
        <v>13.8423414230347</v>
      </c>
      <c r="K539" s="239">
        <v>13.6992740631104</v>
      </c>
      <c r="L539" s="239">
        <v>13.8484916687012</v>
      </c>
      <c r="M539" s="239">
        <v>14.089280128479</v>
      </c>
      <c r="N539" s="239">
        <v>14.438159942626999</v>
      </c>
      <c r="O539" s="239">
        <v>14.622407913208001</v>
      </c>
      <c r="P539" s="239">
        <v>14.680962562561</v>
      </c>
      <c r="Q539" s="239">
        <v>14.817166328430201</v>
      </c>
      <c r="R539" s="239">
        <v>15.035754203796399</v>
      </c>
      <c r="S539" s="239">
        <v>15.3131446838379</v>
      </c>
      <c r="T539" s="239">
        <v>15.467190742492701</v>
      </c>
      <c r="U539" s="239">
        <v>15.608844757080099</v>
      </c>
      <c r="V539" s="239">
        <v>15.623446464538601</v>
      </c>
      <c r="W539" s="239">
        <v>15.6070909500122</v>
      </c>
      <c r="X539" s="239">
        <v>15.6627254486084</v>
      </c>
      <c r="Y539" s="239">
        <v>15.7515544891357</v>
      </c>
      <c r="Z539" s="267">
        <f>Y539+($AI$369-$Y$539)/10</f>
        <v>15.681619149325263</v>
      </c>
    </row>
    <row r="540" spans="1:70">
      <c r="A540" s="235" t="s">
        <v>439</v>
      </c>
      <c r="B540" s="239" t="s">
        <v>439</v>
      </c>
      <c r="C540" s="239" t="s">
        <v>439</v>
      </c>
      <c r="D540" s="239" t="s">
        <v>439</v>
      </c>
      <c r="E540" s="239" t="s">
        <v>439</v>
      </c>
      <c r="F540" s="239" t="s">
        <v>439</v>
      </c>
      <c r="G540" s="239" t="s">
        <v>439</v>
      </c>
      <c r="H540" s="239" t="s">
        <v>439</v>
      </c>
      <c r="I540" s="239" t="s">
        <v>439</v>
      </c>
      <c r="J540" s="239" t="s">
        <v>439</v>
      </c>
      <c r="K540" s="239" t="s">
        <v>439</v>
      </c>
      <c r="L540" s="239" t="s">
        <v>439</v>
      </c>
      <c r="M540" s="239" t="s">
        <v>439</v>
      </c>
      <c r="N540" s="239" t="s">
        <v>439</v>
      </c>
      <c r="O540" s="239" t="s">
        <v>439</v>
      </c>
      <c r="P540" s="239" t="s">
        <v>439</v>
      </c>
      <c r="Q540" s="239" t="s">
        <v>439</v>
      </c>
      <c r="R540" s="239" t="s">
        <v>439</v>
      </c>
      <c r="S540" s="239" t="s">
        <v>439</v>
      </c>
      <c r="T540" s="239" t="s">
        <v>439</v>
      </c>
      <c r="U540" s="239" t="s">
        <v>439</v>
      </c>
      <c r="V540" s="239" t="s">
        <v>439</v>
      </c>
      <c r="W540" s="239" t="s">
        <v>439</v>
      </c>
      <c r="X540" s="239" t="s">
        <v>439</v>
      </c>
      <c r="Y540" s="239" t="s">
        <v>439</v>
      </c>
    </row>
    <row r="541" spans="1:70">
      <c r="A541" s="235" t="s">
        <v>486</v>
      </c>
      <c r="B541" s="239">
        <v>10.068477630615201</v>
      </c>
      <c r="C541" s="239">
        <v>11.4567165374756</v>
      </c>
      <c r="D541" s="239">
        <v>12.984972000122101</v>
      </c>
      <c r="E541" s="239">
        <v>12.646059036254901</v>
      </c>
      <c r="F541" s="239">
        <v>12.0215864181519</v>
      </c>
      <c r="G541" s="239">
        <v>11.451254844665501</v>
      </c>
      <c r="H541" s="239">
        <v>11.2903280258179</v>
      </c>
      <c r="I541" s="239">
        <v>11.054517745971699</v>
      </c>
      <c r="J541" s="239">
        <v>10.953487396240201</v>
      </c>
      <c r="K541" s="239">
        <v>10.9616088867188</v>
      </c>
      <c r="L541" s="239">
        <v>10.9120273590088</v>
      </c>
      <c r="M541" s="239">
        <v>10.9370317459106</v>
      </c>
      <c r="N541" s="239">
        <v>10.932166099548301</v>
      </c>
      <c r="O541" s="239">
        <v>10.949841499328601</v>
      </c>
      <c r="P541" s="239">
        <v>10.9948740005493</v>
      </c>
      <c r="Q541" s="239">
        <v>11.046938896179199</v>
      </c>
      <c r="R541" s="239">
        <v>11.074780464172401</v>
      </c>
      <c r="S541" s="239">
        <v>11.117128372192401</v>
      </c>
      <c r="T541" s="239">
        <v>11.155697822570801</v>
      </c>
      <c r="U541" s="239">
        <v>11.209436416626</v>
      </c>
      <c r="V541" s="239">
        <v>11.2737817764282</v>
      </c>
      <c r="W541" s="239">
        <v>11.3331050872803</v>
      </c>
      <c r="X541" s="239">
        <v>11.350456237793001</v>
      </c>
      <c r="Y541" s="239">
        <v>11.462995529174799</v>
      </c>
    </row>
    <row r="542" spans="1:70">
      <c r="A542" s="235" t="s">
        <v>482</v>
      </c>
      <c r="B542" s="239">
        <v>10.0396184921265</v>
      </c>
      <c r="C542" s="239">
        <v>11.4297380447388</v>
      </c>
      <c r="D542" s="239">
        <v>12.961000442504901</v>
      </c>
      <c r="E542" s="239">
        <v>12.6219329833984</v>
      </c>
      <c r="F542" s="239">
        <v>11.9984340667725</v>
      </c>
      <c r="G542" s="239">
        <v>11.4290685653687</v>
      </c>
      <c r="H542" s="239">
        <v>11.2685947418213</v>
      </c>
      <c r="I542" s="239">
        <v>11.0320892333984</v>
      </c>
      <c r="J542" s="239">
        <v>10.930870056152299</v>
      </c>
      <c r="K542" s="239">
        <v>10.938961982727101</v>
      </c>
      <c r="L542" s="239">
        <v>10.8886499404907</v>
      </c>
      <c r="M542" s="239">
        <v>10.913072586059601</v>
      </c>
      <c r="N542" s="239">
        <v>10.9073333740234</v>
      </c>
      <c r="O542" s="239">
        <v>10.9247722625732</v>
      </c>
      <c r="P542" s="239">
        <v>10.969937324523899</v>
      </c>
      <c r="Q542" s="239">
        <v>11.021965980529799</v>
      </c>
      <c r="R542" s="239">
        <v>11.049379348754901</v>
      </c>
      <c r="S542" s="239">
        <v>11.0911350250244</v>
      </c>
      <c r="T542" s="239">
        <v>11.129392623901399</v>
      </c>
      <c r="U542" s="239">
        <v>11.182910919189499</v>
      </c>
      <c r="V542" s="239">
        <v>11.247509956359901</v>
      </c>
      <c r="W542" s="239">
        <v>11.307147026061999</v>
      </c>
      <c r="X542" s="239">
        <v>11.324338912963899</v>
      </c>
      <c r="Y542" s="239">
        <v>11.436959266662599</v>
      </c>
    </row>
    <row r="543" spans="1:70">
      <c r="A543" s="235" t="s">
        <v>474</v>
      </c>
      <c r="B543" s="239">
        <v>10.0409812927246</v>
      </c>
      <c r="C543" s="239">
        <v>11.431476593017599</v>
      </c>
      <c r="D543" s="239">
        <v>12.9638833999634</v>
      </c>
      <c r="E543" s="239">
        <v>12.6248769760132</v>
      </c>
      <c r="F543" s="239">
        <v>12.0015964508057</v>
      </c>
      <c r="G543" s="239">
        <v>11.432228088378899</v>
      </c>
      <c r="H543" s="239">
        <v>11.2722625732422</v>
      </c>
      <c r="I543" s="239">
        <v>11.0358724594116</v>
      </c>
      <c r="J543" s="239">
        <v>10.934929847717299</v>
      </c>
      <c r="K543" s="239">
        <v>10.9432172775269</v>
      </c>
      <c r="L543" s="239">
        <v>10.892875671386699</v>
      </c>
      <c r="M543" s="239">
        <v>10.9173030853271</v>
      </c>
      <c r="N543" s="239">
        <v>10.911340713501</v>
      </c>
      <c r="O543" s="239">
        <v>10.928663253784199</v>
      </c>
      <c r="P543" s="239">
        <v>10.9740562438965</v>
      </c>
      <c r="Q543" s="239">
        <v>11.026309967041</v>
      </c>
      <c r="R543" s="239">
        <v>11.0536193847656</v>
      </c>
      <c r="S543" s="239">
        <v>11.0952548980713</v>
      </c>
      <c r="T543" s="239">
        <v>11.1333513259888</v>
      </c>
      <c r="U543" s="239">
        <v>11.1867895126343</v>
      </c>
      <c r="V543" s="239">
        <v>11.251508712768601</v>
      </c>
      <c r="W543" s="239">
        <v>11.3113117218018</v>
      </c>
      <c r="X543" s="239">
        <v>11.328408241271999</v>
      </c>
      <c r="Y543" s="239">
        <v>11.4412240982056</v>
      </c>
    </row>
    <row r="544" spans="1:70">
      <c r="A544" s="262" t="s">
        <v>487</v>
      </c>
      <c r="B544" s="239">
        <v>9.5535230636596697</v>
      </c>
      <c r="C544" s="239">
        <v>10.9202365875244</v>
      </c>
      <c r="D544" s="239">
        <v>12.0208587646484</v>
      </c>
      <c r="E544" s="239">
        <v>11.5461339950562</v>
      </c>
      <c r="F544" s="239">
        <v>11.286841392517101</v>
      </c>
      <c r="G544" s="239">
        <v>11.003821372985801</v>
      </c>
      <c r="H544" s="239">
        <v>10.8476676940918</v>
      </c>
      <c r="I544" s="239">
        <v>10.675346374511699</v>
      </c>
      <c r="J544" s="239">
        <v>10.7599039077759</v>
      </c>
      <c r="K544" s="239">
        <v>10.8244476318359</v>
      </c>
      <c r="L544" s="239">
        <v>10.807107925415</v>
      </c>
      <c r="M544" s="239">
        <v>10.788902282714799</v>
      </c>
      <c r="N544" s="239">
        <v>10.7359352111816</v>
      </c>
      <c r="O544" s="239">
        <v>10.7108716964722</v>
      </c>
      <c r="P544" s="239">
        <v>10.6978845596313</v>
      </c>
      <c r="Q544" s="239">
        <v>10.720422744751</v>
      </c>
      <c r="R544" s="239">
        <v>10.715018272399901</v>
      </c>
      <c r="S544" s="239">
        <v>10.7237329483032</v>
      </c>
      <c r="T544" s="239">
        <v>10.658562660217299</v>
      </c>
      <c r="U544" s="239">
        <v>10.6896152496338</v>
      </c>
      <c r="V544" s="239">
        <v>10.7133436203003</v>
      </c>
      <c r="W544" s="239">
        <v>10.6396188735962</v>
      </c>
      <c r="X544" s="239">
        <v>10.6814889907837</v>
      </c>
      <c r="Y544" s="239">
        <v>10.8466644287109</v>
      </c>
      <c r="Z544" s="269">
        <f>Y544+($AI$374-$Y$544)/10</f>
        <v>11.215393895691953</v>
      </c>
    </row>
    <row r="545" spans="1:26">
      <c r="A545" s="235" t="s">
        <v>488</v>
      </c>
      <c r="B545" s="239">
        <v>6.0538434982299796</v>
      </c>
      <c r="C545" s="239">
        <v>6.4578518867492702</v>
      </c>
      <c r="D545" s="239">
        <v>8.1168746948242205</v>
      </c>
      <c r="E545" s="239">
        <v>7.6875572204589799</v>
      </c>
      <c r="F545" s="239">
        <v>7.0150871276855504</v>
      </c>
      <c r="G545" s="239">
        <v>6.5790328979492196</v>
      </c>
      <c r="H545" s="239">
        <v>6.5712537765502903</v>
      </c>
      <c r="I545" s="239">
        <v>6.42602443695068</v>
      </c>
      <c r="J545" s="239">
        <v>6.2476048469543501</v>
      </c>
      <c r="K545" s="239">
        <v>6.2184038162231401</v>
      </c>
      <c r="L545" s="239">
        <v>6.2436552047729501</v>
      </c>
      <c r="M545" s="239">
        <v>6.2858424186706499</v>
      </c>
      <c r="N545" s="239">
        <v>6.2737250328064</v>
      </c>
      <c r="O545" s="239">
        <v>6.2926135063171396</v>
      </c>
      <c r="P545" s="239">
        <v>6.3336305618286097</v>
      </c>
      <c r="Q545" s="239">
        <v>6.3623290061950701</v>
      </c>
      <c r="R545" s="239">
        <v>6.4419050216674796</v>
      </c>
      <c r="S545" s="239">
        <v>6.5377755165100098</v>
      </c>
      <c r="T545" s="239">
        <v>6.5789065361022896</v>
      </c>
      <c r="U545" s="239">
        <v>6.7034192085266104</v>
      </c>
      <c r="V545" s="239">
        <v>6.8036813735961896</v>
      </c>
      <c r="W545" s="239">
        <v>6.8691210746765101</v>
      </c>
      <c r="X545" s="239">
        <v>6.8930430412292498</v>
      </c>
      <c r="Y545" s="239">
        <v>6.9258189201354998</v>
      </c>
    </row>
    <row r="546" spans="1:26">
      <c r="A546" s="262" t="s">
        <v>489</v>
      </c>
      <c r="B546" s="239">
        <v>11.3207235336304</v>
      </c>
      <c r="C546" s="239">
        <v>12.9284992218018</v>
      </c>
      <c r="D546" s="239">
        <v>14.6530704498291</v>
      </c>
      <c r="E546" s="239">
        <v>14.346965789794901</v>
      </c>
      <c r="F546" s="239">
        <v>13.634911537170399</v>
      </c>
      <c r="G546" s="239">
        <v>12.9354457855225</v>
      </c>
      <c r="H546" s="239">
        <v>12.7248182296753</v>
      </c>
      <c r="I546" s="239">
        <v>12.444727897644</v>
      </c>
      <c r="J546" s="239">
        <v>12.3216390609741</v>
      </c>
      <c r="K546" s="239">
        <v>12.333900451660201</v>
      </c>
      <c r="L546" s="239">
        <v>12.228641510009799</v>
      </c>
      <c r="M546" s="239">
        <v>12.2244319915771</v>
      </c>
      <c r="N546" s="239">
        <v>12.232741355896</v>
      </c>
      <c r="O546" s="239">
        <v>12.2594261169434</v>
      </c>
      <c r="P546" s="239">
        <v>12.3207359313965</v>
      </c>
      <c r="Q546" s="239">
        <v>12.3872022628784</v>
      </c>
      <c r="R546" s="239">
        <v>12.4125566482544</v>
      </c>
      <c r="S546" s="239">
        <v>12.451280593872101</v>
      </c>
      <c r="T546" s="239">
        <v>12.520702362060501</v>
      </c>
      <c r="U546" s="239">
        <v>12.5581102371216</v>
      </c>
      <c r="V546" s="239">
        <v>12.622034072876</v>
      </c>
      <c r="W546" s="239">
        <v>12.7203483581543</v>
      </c>
      <c r="X546" s="239">
        <v>12.7153625488281</v>
      </c>
      <c r="Y546" s="239">
        <v>12.8139133453369</v>
      </c>
      <c r="Z546" s="269">
        <f>Y546+($AI$376-$Y$546)/10</f>
        <v>13.239838295522954</v>
      </c>
    </row>
    <row r="547" spans="1:26">
      <c r="A547" s="235" t="s">
        <v>480</v>
      </c>
      <c r="B547" s="239">
        <v>3.83150410652161</v>
      </c>
      <c r="C547" s="239">
        <v>4.4939312934875497</v>
      </c>
      <c r="D547" s="239">
        <v>4.5839381217956499</v>
      </c>
      <c r="E547" s="239">
        <v>4.8374905586242702</v>
      </c>
      <c r="F547" s="239">
        <v>4.5451078414917001</v>
      </c>
      <c r="G547" s="239">
        <v>4.1204147338867196</v>
      </c>
      <c r="H547" s="239">
        <v>3.9213058948516801</v>
      </c>
      <c r="I547" s="239">
        <v>3.7859048843383798</v>
      </c>
      <c r="J547" s="239">
        <v>3.7380118370056201</v>
      </c>
      <c r="K547" s="239">
        <v>3.79148626327515</v>
      </c>
      <c r="L547" s="239">
        <v>3.8454215526580802</v>
      </c>
      <c r="M547" s="239">
        <v>3.8996179103851301</v>
      </c>
      <c r="N547" s="239">
        <v>3.9557838439941402</v>
      </c>
      <c r="O547" s="239">
        <v>4.0096635818481401</v>
      </c>
      <c r="P547" s="239">
        <v>4.0587000846862802</v>
      </c>
      <c r="Q547" s="239">
        <v>4.1115031242370597</v>
      </c>
      <c r="R547" s="239">
        <v>4.1679596900939897</v>
      </c>
      <c r="S547" s="239">
        <v>4.2270021438598597</v>
      </c>
      <c r="T547" s="239">
        <v>4.2823433876037598</v>
      </c>
      <c r="U547" s="239">
        <v>4.3368558883667001</v>
      </c>
      <c r="V547" s="239">
        <v>4.3924484252929696</v>
      </c>
      <c r="W547" s="239">
        <v>4.4465680122375497</v>
      </c>
      <c r="X547" s="239">
        <v>4.5027370452880904</v>
      </c>
      <c r="Y547" s="239">
        <v>4.5619544982910201</v>
      </c>
    </row>
    <row r="548" spans="1:26">
      <c r="A548" s="235" t="s">
        <v>490</v>
      </c>
      <c r="B548" s="239">
        <v>15.146578788757299</v>
      </c>
      <c r="C548" s="239">
        <v>16.654964447021499</v>
      </c>
      <c r="D548" s="239">
        <v>20.603065490722699</v>
      </c>
      <c r="E548" s="239">
        <v>20.419296264648398</v>
      </c>
      <c r="F548" s="239">
        <v>16.382719039916999</v>
      </c>
      <c r="G548" s="239">
        <v>15.8189392089844</v>
      </c>
      <c r="H548" s="239">
        <v>15.6014108657837</v>
      </c>
      <c r="I548" s="239">
        <v>15.311073303222701</v>
      </c>
      <c r="J548" s="239">
        <v>15.2448682785034</v>
      </c>
      <c r="K548" s="239">
        <v>15.179443359375</v>
      </c>
      <c r="L548" s="239">
        <v>15.2014074325562</v>
      </c>
      <c r="M548" s="239">
        <v>15.2481698989868</v>
      </c>
      <c r="N548" s="239">
        <v>15.181710243225099</v>
      </c>
      <c r="O548" s="239">
        <v>15.278540611267101</v>
      </c>
      <c r="P548" s="239">
        <v>15.3825387954712</v>
      </c>
      <c r="Q548" s="239">
        <v>15.370577812194799</v>
      </c>
      <c r="R548" s="239">
        <v>15.3893880844116</v>
      </c>
      <c r="S548" s="239">
        <v>15.510032653808601</v>
      </c>
      <c r="T548" s="239">
        <v>15.6597127914429</v>
      </c>
      <c r="U548" s="239">
        <v>15.774450302124</v>
      </c>
      <c r="V548" s="239">
        <v>15.847083091735801</v>
      </c>
      <c r="W548" s="239">
        <v>16.037206649780298</v>
      </c>
      <c r="X548" s="239">
        <v>16.107362747192401</v>
      </c>
      <c r="Y548" s="239">
        <v>16.244932174682599</v>
      </c>
    </row>
    <row r="549" spans="1:26">
      <c r="A549" s="235" t="s">
        <v>491</v>
      </c>
      <c r="B549" s="239">
        <v>7.2317700386047399</v>
      </c>
      <c r="C549" s="239">
        <v>9.0444478988647496</v>
      </c>
      <c r="D549" s="239">
        <v>9.7142534255981392</v>
      </c>
      <c r="E549" s="239">
        <v>9.7951860427856392</v>
      </c>
      <c r="F549" s="239">
        <v>9.2951183319091797</v>
      </c>
      <c r="G549" s="239">
        <v>8.9833269119262695</v>
      </c>
      <c r="H549" s="239">
        <v>8.7195968627929705</v>
      </c>
      <c r="I549" s="239">
        <v>8.6326360702514595</v>
      </c>
      <c r="J549" s="239">
        <v>8.5613536834716797</v>
      </c>
      <c r="K549" s="239">
        <v>8.6190090179443395</v>
      </c>
      <c r="L549" s="239">
        <v>8.7080965042114293</v>
      </c>
      <c r="M549" s="239">
        <v>8.8271207809448207</v>
      </c>
      <c r="N549" s="239">
        <v>8.9910020828247106</v>
      </c>
      <c r="O549" s="239">
        <v>9.1132879257202095</v>
      </c>
      <c r="P549" s="239">
        <v>9.1042909622192401</v>
      </c>
      <c r="Q549" s="239">
        <v>9.1039905548095703</v>
      </c>
      <c r="R549" s="239">
        <v>9.2009325027465803</v>
      </c>
      <c r="S549" s="239">
        <v>9.3432521820068395</v>
      </c>
      <c r="T549" s="239">
        <v>9.4465293884277308</v>
      </c>
      <c r="U549" s="239">
        <v>9.5402717590331996</v>
      </c>
      <c r="V549" s="239">
        <v>9.5791873931884801</v>
      </c>
      <c r="W549" s="239">
        <v>9.5845136642456108</v>
      </c>
      <c r="X549" s="239">
        <v>9.6436891555786097</v>
      </c>
      <c r="Y549" s="239">
        <v>9.694091796875</v>
      </c>
    </row>
    <row r="550" spans="1:26">
      <c r="A550" s="264" t="s">
        <v>496</v>
      </c>
      <c r="B550" s="239">
        <v>14.6543264389038</v>
      </c>
      <c r="C550" s="239">
        <v>16.232709884643601</v>
      </c>
      <c r="D550" s="239">
        <v>19.6646022796631</v>
      </c>
      <c r="E550" s="239">
        <v>19.5902194976807</v>
      </c>
      <c r="F550" s="239">
        <v>19.473403930664102</v>
      </c>
      <c r="G550" s="239">
        <v>18.312351226806602</v>
      </c>
      <c r="H550" s="239">
        <v>18.154972076416001</v>
      </c>
      <c r="I550" s="239">
        <v>17.744245529174801</v>
      </c>
      <c r="J550" s="239">
        <v>17.108533859252901</v>
      </c>
      <c r="K550" s="239">
        <v>16.985416412353501</v>
      </c>
      <c r="L550" s="239">
        <v>16.891477584838899</v>
      </c>
      <c r="M550" s="239">
        <v>17.106473922729499</v>
      </c>
      <c r="N550" s="239">
        <v>17.298709869384801</v>
      </c>
      <c r="O550" s="239">
        <v>17.370653152465799</v>
      </c>
      <c r="P550" s="239">
        <v>17.404756546020501</v>
      </c>
      <c r="Q550" s="239">
        <v>17.4316711425781</v>
      </c>
      <c r="R550" s="239">
        <v>17.495216369628899</v>
      </c>
      <c r="S550" s="239">
        <v>17.111986160278299</v>
      </c>
      <c r="T550" s="239">
        <v>17.221326828002901</v>
      </c>
      <c r="U550" s="239">
        <v>17.6731853485107</v>
      </c>
      <c r="V550" s="239">
        <v>17.676996231079102</v>
      </c>
      <c r="W550" s="239">
        <v>17.866504669189499</v>
      </c>
      <c r="X550" s="239">
        <v>17.993064880371101</v>
      </c>
      <c r="Y550" s="239">
        <v>18.128524780273398</v>
      </c>
      <c r="Z550" s="271">
        <f>Y550+($AI$380-$Y$550)/10</f>
        <v>18.036478922002154</v>
      </c>
    </row>
    <row r="551" spans="1:26">
      <c r="A551" s="235" t="s">
        <v>478</v>
      </c>
      <c r="B551" s="239">
        <v>20.034517288208001</v>
      </c>
      <c r="C551" s="239">
        <v>20.636144638061499</v>
      </c>
      <c r="D551" s="239">
        <v>21.1998176574707</v>
      </c>
      <c r="E551" s="239">
        <v>20.923387527465799</v>
      </c>
      <c r="F551" s="239">
        <v>19.967187881469702</v>
      </c>
      <c r="G551" s="239">
        <v>19.089002609252901</v>
      </c>
      <c r="H551" s="239">
        <v>18.799640655517599</v>
      </c>
      <c r="I551" s="239">
        <v>18.828804016113299</v>
      </c>
      <c r="J551" s="239">
        <v>18.807792663574201</v>
      </c>
      <c r="K551" s="239">
        <v>18.831340789794901</v>
      </c>
      <c r="L551" s="239">
        <v>19.0241508483887</v>
      </c>
      <c r="M551" s="239">
        <v>19.232509613037099</v>
      </c>
      <c r="N551" s="239">
        <v>19.521226882934599</v>
      </c>
      <c r="O551" s="239">
        <v>19.590469360351602</v>
      </c>
      <c r="P551" s="239">
        <v>19.544775009155298</v>
      </c>
      <c r="Q551" s="239">
        <v>19.5792236328125</v>
      </c>
      <c r="R551" s="239">
        <v>19.706111907958999</v>
      </c>
      <c r="S551" s="239">
        <v>19.899772644043001</v>
      </c>
      <c r="T551" s="239">
        <v>19.988050460815401</v>
      </c>
      <c r="U551" s="239">
        <v>20.054973602294901</v>
      </c>
      <c r="V551" s="239">
        <v>19.979206085205099</v>
      </c>
      <c r="W551" s="239">
        <v>19.890190124511701</v>
      </c>
      <c r="X551" s="239">
        <v>19.9172687530518</v>
      </c>
      <c r="Y551" s="239">
        <v>19.9590148925781</v>
      </c>
    </row>
    <row r="552" spans="1:26">
      <c r="A552" s="235" t="s">
        <v>439</v>
      </c>
      <c r="B552" s="239" t="s">
        <v>439</v>
      </c>
      <c r="C552" s="239" t="s">
        <v>439</v>
      </c>
      <c r="D552" s="239" t="s">
        <v>439</v>
      </c>
      <c r="E552" s="239" t="s">
        <v>439</v>
      </c>
      <c r="F552" s="239" t="s">
        <v>439</v>
      </c>
      <c r="G552" s="239" t="s">
        <v>439</v>
      </c>
      <c r="H552" s="239" t="s">
        <v>439</v>
      </c>
      <c r="I552" s="239" t="s">
        <v>439</v>
      </c>
      <c r="J552" s="239" t="s">
        <v>439</v>
      </c>
      <c r="K552" s="239" t="s">
        <v>439</v>
      </c>
      <c r="L552" s="239" t="s">
        <v>439</v>
      </c>
      <c r="M552" s="239" t="s">
        <v>439</v>
      </c>
      <c r="N552" s="239" t="s">
        <v>439</v>
      </c>
      <c r="O552" s="239" t="s">
        <v>439</v>
      </c>
      <c r="P552" s="239" t="s">
        <v>439</v>
      </c>
      <c r="Q552" s="239" t="s">
        <v>439</v>
      </c>
      <c r="R552" s="239" t="s">
        <v>439</v>
      </c>
      <c r="S552" s="239" t="s">
        <v>439</v>
      </c>
      <c r="T552" s="239" t="s">
        <v>439</v>
      </c>
      <c r="U552" s="239" t="s">
        <v>439</v>
      </c>
      <c r="V552" s="239" t="s">
        <v>439</v>
      </c>
      <c r="W552" s="239" t="s">
        <v>439</v>
      </c>
      <c r="X552" s="239" t="s">
        <v>439</v>
      </c>
      <c r="Y552" s="239" t="s">
        <v>439</v>
      </c>
    </row>
    <row r="553" spans="1:26">
      <c r="A553" s="235" t="s">
        <v>497</v>
      </c>
      <c r="B553" s="239">
        <v>10.2607097625732</v>
      </c>
      <c r="C553" s="239">
        <v>11.4965677261353</v>
      </c>
      <c r="D553" s="239">
        <v>12.498481750488301</v>
      </c>
      <c r="E553" s="239">
        <v>12.3126974105835</v>
      </c>
      <c r="F553" s="239">
        <v>11.5857706069946</v>
      </c>
      <c r="G553" s="239">
        <v>11.0374755859375</v>
      </c>
      <c r="H553" s="239">
        <v>10.8027191162109</v>
      </c>
      <c r="I553" s="239">
        <v>10.6485815048218</v>
      </c>
      <c r="J553" s="239">
        <v>10.5555610656738</v>
      </c>
      <c r="K553" s="239">
        <v>10.564617156982401</v>
      </c>
      <c r="L553" s="239">
        <v>10.6249675750732</v>
      </c>
      <c r="M553" s="239">
        <v>10.7333173751831</v>
      </c>
      <c r="N553" s="239">
        <v>10.851320266723601</v>
      </c>
      <c r="O553" s="239">
        <v>10.9544372558594</v>
      </c>
      <c r="P553" s="239">
        <v>11.0046529769897</v>
      </c>
      <c r="Q553" s="239">
        <v>11.070010185241699</v>
      </c>
      <c r="R553" s="239">
        <v>11.175311088561999</v>
      </c>
      <c r="S553" s="239">
        <v>11.313448905944799</v>
      </c>
      <c r="T553" s="239">
        <v>11.4217777252197</v>
      </c>
      <c r="U553" s="239">
        <v>11.534593582153301</v>
      </c>
      <c r="V553" s="239">
        <v>11.6029949188232</v>
      </c>
      <c r="W553" s="239">
        <v>11.660957336425801</v>
      </c>
      <c r="X553" s="239">
        <v>11.7183265686035</v>
      </c>
      <c r="Y553" s="239">
        <v>11.827390670776399</v>
      </c>
    </row>
    <row r="554" spans="1:26">
      <c r="A554" s="235" t="s">
        <v>482</v>
      </c>
      <c r="B554" s="239">
        <v>7.8488264083862296</v>
      </c>
      <c r="C554" s="239">
        <v>9.3171482086181605</v>
      </c>
      <c r="D554" s="239">
        <v>10.5270042419434</v>
      </c>
      <c r="E554" s="239">
        <v>10.2914838790894</v>
      </c>
      <c r="F554" s="239">
        <v>9.5772314071655291</v>
      </c>
      <c r="G554" s="239">
        <v>9.0944671630859393</v>
      </c>
      <c r="H554" s="239">
        <v>8.8957033157348597</v>
      </c>
      <c r="I554" s="239">
        <v>8.7092790603637695</v>
      </c>
      <c r="J554" s="239">
        <v>8.6138839721679705</v>
      </c>
      <c r="K554" s="239">
        <v>8.6225843429565394</v>
      </c>
      <c r="L554" s="239">
        <v>8.6363019943237305</v>
      </c>
      <c r="M554" s="239">
        <v>8.7009534835815394</v>
      </c>
      <c r="N554" s="239">
        <v>8.7555856704711896</v>
      </c>
      <c r="O554" s="239">
        <v>8.8331260681152308</v>
      </c>
      <c r="P554" s="239">
        <v>8.8750228881835902</v>
      </c>
      <c r="Q554" s="239">
        <v>8.9212465286254901</v>
      </c>
      <c r="R554" s="239">
        <v>8.9933633804321307</v>
      </c>
      <c r="S554" s="239">
        <v>9.0904560089111293</v>
      </c>
      <c r="T554" s="239">
        <v>9.1763067245483398</v>
      </c>
      <c r="U554" s="239">
        <v>9.2688179016113299</v>
      </c>
      <c r="V554" s="239">
        <v>9.3425512313842791</v>
      </c>
      <c r="W554" s="239">
        <v>9.4030828475952095</v>
      </c>
      <c r="X554" s="239">
        <v>9.4481410980224592</v>
      </c>
      <c r="Y554" s="239">
        <v>9.5455484390258807</v>
      </c>
    </row>
    <row r="555" spans="1:26">
      <c r="A555" s="235" t="s">
        <v>478</v>
      </c>
      <c r="B555" s="239">
        <v>21.599882125854499</v>
      </c>
      <c r="C555" s="239">
        <v>21.735733032226602</v>
      </c>
      <c r="D555" s="239">
        <v>21.728578567504901</v>
      </c>
      <c r="E555" s="239">
        <v>21.659519195556602</v>
      </c>
      <c r="F555" s="239">
        <v>20.859115600585898</v>
      </c>
      <c r="G555" s="239">
        <v>19.947565078735401</v>
      </c>
      <c r="H555" s="239">
        <v>19.5044040679932</v>
      </c>
      <c r="I555" s="239">
        <v>19.468164443969702</v>
      </c>
      <c r="J555" s="239">
        <v>19.363897323608398</v>
      </c>
      <c r="K555" s="239">
        <v>19.340778350830099</v>
      </c>
      <c r="L555" s="239">
        <v>19.565423965454102</v>
      </c>
      <c r="M555" s="239">
        <v>19.829431533813501</v>
      </c>
      <c r="N555" s="239">
        <v>20.184032440185501</v>
      </c>
      <c r="O555" s="239">
        <v>20.348131179809599</v>
      </c>
      <c r="P555" s="239">
        <v>20.384618759155298</v>
      </c>
      <c r="Q555" s="239">
        <v>20.4941310882568</v>
      </c>
      <c r="R555" s="239">
        <v>20.6934413909912</v>
      </c>
      <c r="S555" s="239">
        <v>20.961088180541999</v>
      </c>
      <c r="T555" s="239">
        <v>21.1064147949219</v>
      </c>
      <c r="U555" s="239">
        <v>21.2582683563232</v>
      </c>
      <c r="V555" s="239">
        <v>21.2429523468018</v>
      </c>
      <c r="W555" s="239">
        <v>21.2300205230713</v>
      </c>
      <c r="X555" s="239">
        <v>21.277418136596701</v>
      </c>
      <c r="Y555" s="239">
        <v>21.3841457366943</v>
      </c>
    </row>
    <row r="556" spans="1:26">
      <c r="A556" s="235" t="s">
        <v>439</v>
      </c>
      <c r="B556" s="239" t="s">
        <v>439</v>
      </c>
      <c r="C556" s="239" t="s">
        <v>439</v>
      </c>
      <c r="D556" s="239" t="s">
        <v>439</v>
      </c>
      <c r="E556" s="239" t="s">
        <v>439</v>
      </c>
      <c r="F556" s="239" t="s">
        <v>439</v>
      </c>
      <c r="G556" s="239" t="s">
        <v>439</v>
      </c>
      <c r="H556" s="239" t="s">
        <v>439</v>
      </c>
      <c r="I556" s="239" t="s">
        <v>439</v>
      </c>
      <c r="J556" s="239" t="s">
        <v>439</v>
      </c>
      <c r="K556" s="239" t="s">
        <v>439</v>
      </c>
      <c r="L556" s="239" t="s">
        <v>439</v>
      </c>
      <c r="M556" s="239" t="s">
        <v>439</v>
      </c>
      <c r="N556" s="239" t="s">
        <v>439</v>
      </c>
      <c r="O556" s="239" t="s">
        <v>439</v>
      </c>
      <c r="P556" s="239" t="s">
        <v>439</v>
      </c>
      <c r="Q556" s="239" t="s">
        <v>439</v>
      </c>
      <c r="R556" s="239" t="s">
        <v>439</v>
      </c>
      <c r="S556" s="239" t="s">
        <v>439</v>
      </c>
      <c r="T556" s="239" t="s">
        <v>439</v>
      </c>
      <c r="U556" s="239" t="s">
        <v>439</v>
      </c>
      <c r="V556" s="239" t="s">
        <v>439</v>
      </c>
      <c r="W556" s="239" t="s">
        <v>439</v>
      </c>
      <c r="X556" s="239" t="s">
        <v>439</v>
      </c>
      <c r="Y556" s="239" t="s">
        <v>439</v>
      </c>
    </row>
    <row r="557" spans="1:26">
      <c r="A557" s="235" t="s">
        <v>498</v>
      </c>
      <c r="B557" s="239" t="s">
        <v>439</v>
      </c>
      <c r="C557" s="239" t="s">
        <v>439</v>
      </c>
      <c r="D557" s="239" t="s">
        <v>439</v>
      </c>
      <c r="E557" s="239" t="s">
        <v>439</v>
      </c>
      <c r="F557" s="239" t="s">
        <v>439</v>
      </c>
      <c r="G557" s="239" t="s">
        <v>439</v>
      </c>
      <c r="H557" s="239" t="s">
        <v>439</v>
      </c>
      <c r="I557" s="239" t="s">
        <v>439</v>
      </c>
      <c r="J557" s="239" t="s">
        <v>439</v>
      </c>
      <c r="K557" s="239" t="s">
        <v>439</v>
      </c>
      <c r="L557" s="239" t="s">
        <v>439</v>
      </c>
      <c r="M557" s="239" t="s">
        <v>439</v>
      </c>
      <c r="N557" s="239" t="s">
        <v>439</v>
      </c>
      <c r="O557" s="239" t="s">
        <v>439</v>
      </c>
      <c r="P557" s="239" t="s">
        <v>439</v>
      </c>
      <c r="Q557" s="239" t="s">
        <v>439</v>
      </c>
      <c r="R557" s="239" t="s">
        <v>439</v>
      </c>
      <c r="S557" s="239" t="s">
        <v>439</v>
      </c>
      <c r="T557" s="239" t="s">
        <v>439</v>
      </c>
      <c r="U557" s="239" t="s">
        <v>439</v>
      </c>
      <c r="V557" s="239" t="s">
        <v>439</v>
      </c>
      <c r="W557" s="239" t="s">
        <v>439</v>
      </c>
      <c r="X557" s="239" t="s">
        <v>439</v>
      </c>
      <c r="Y557" s="239" t="s">
        <v>439</v>
      </c>
    </row>
    <row r="558" spans="1:26">
      <c r="A558" s="235" t="s">
        <v>499</v>
      </c>
      <c r="B558" s="239">
        <v>1.8996955156326301</v>
      </c>
      <c r="C558" s="239">
        <v>2.2409727573394802</v>
      </c>
      <c r="D558" s="239">
        <v>2.4238619804382302</v>
      </c>
      <c r="E558" s="239">
        <v>2.3792355060577401</v>
      </c>
      <c r="F558" s="239">
        <v>2.2243471145629901</v>
      </c>
      <c r="G558" s="239">
        <v>2.11745405197144</v>
      </c>
      <c r="H558" s="239">
        <v>2.0720956325531001</v>
      </c>
      <c r="I558" s="239">
        <v>2.06648945808411</v>
      </c>
      <c r="J558" s="239">
        <v>2.0576293468475302</v>
      </c>
      <c r="K558" s="239">
        <v>2.0898380279540998</v>
      </c>
      <c r="L558" s="239">
        <v>2.13185787200928</v>
      </c>
      <c r="M558" s="239">
        <v>2.1827101707458501</v>
      </c>
      <c r="N558" s="239">
        <v>2.2442750930786102</v>
      </c>
      <c r="O558" s="239">
        <v>2.2846662998199498</v>
      </c>
      <c r="P558" s="239">
        <v>2.2886507511138898</v>
      </c>
      <c r="Q558" s="239">
        <v>2.31255102157593</v>
      </c>
      <c r="R558" s="239">
        <v>2.3658699989318799</v>
      </c>
      <c r="S558" s="239">
        <v>2.41897773742676</v>
      </c>
      <c r="T558" s="239">
        <v>2.4451649188995401</v>
      </c>
      <c r="U558" s="239">
        <v>2.4616906642913801</v>
      </c>
      <c r="V558" s="239">
        <v>2.4596512317657502</v>
      </c>
      <c r="W558" s="239">
        <v>2.4499151706695601</v>
      </c>
      <c r="X558" s="239">
        <v>2.46315670013428</v>
      </c>
      <c r="Y558" s="239">
        <v>2.4591720104217498</v>
      </c>
    </row>
    <row r="559" spans="1:26">
      <c r="A559" s="235" t="s">
        <v>501</v>
      </c>
      <c r="B559" s="239">
        <v>4.3748912811279297</v>
      </c>
      <c r="C559" s="239">
        <v>5.2786889076232901</v>
      </c>
      <c r="D559" s="239">
        <v>5.9517397880554199</v>
      </c>
      <c r="E559" s="239">
        <v>5.8145914077758798</v>
      </c>
      <c r="F559" s="239">
        <v>5.36482858657837</v>
      </c>
      <c r="G559" s="239">
        <v>4.9555935859680202</v>
      </c>
      <c r="H559" s="239">
        <v>4.76583051681519</v>
      </c>
      <c r="I559" s="239">
        <v>4.6106519699096697</v>
      </c>
      <c r="J559" s="239">
        <v>4.5544371604919398</v>
      </c>
      <c r="K559" s="239">
        <v>4.5760931968689</v>
      </c>
      <c r="L559" s="239">
        <v>4.6005949974060103</v>
      </c>
      <c r="M559" s="239">
        <v>4.65545606613159</v>
      </c>
      <c r="N559" s="239">
        <v>4.7050404548645002</v>
      </c>
      <c r="O559" s="239">
        <v>4.76641750335693</v>
      </c>
      <c r="P559" s="239">
        <v>4.8219771385192898</v>
      </c>
      <c r="Q559" s="239">
        <v>4.8744759559631303</v>
      </c>
      <c r="R559" s="239">
        <v>4.9555630683898899</v>
      </c>
      <c r="S559" s="239">
        <v>5.0235657691955602</v>
      </c>
      <c r="T559" s="239">
        <v>5.0990805625915501</v>
      </c>
      <c r="U559" s="239">
        <v>5.1768889427185103</v>
      </c>
      <c r="V559" s="239">
        <v>5.2447147369384801</v>
      </c>
      <c r="W559" s="239">
        <v>5.3197603225707999</v>
      </c>
      <c r="X559" s="239">
        <v>5.3696103096008301</v>
      </c>
      <c r="Y559" s="239">
        <v>5.4173326492309597</v>
      </c>
    </row>
    <row r="560" spans="1:26">
      <c r="A560" s="235" t="s">
        <v>475</v>
      </c>
      <c r="B560" s="239">
        <v>5.6938004493713397</v>
      </c>
      <c r="C560" s="239">
        <v>6.4773354530334499</v>
      </c>
      <c r="D560" s="239">
        <v>7.1750502586364702</v>
      </c>
      <c r="E560" s="239">
        <v>6.8899459838867196</v>
      </c>
      <c r="F560" s="239">
        <v>6.2672758102417001</v>
      </c>
      <c r="G560" s="239">
        <v>5.8609590530395499</v>
      </c>
      <c r="H560" s="239">
        <v>5.6430783271789604</v>
      </c>
      <c r="I560" s="239">
        <v>5.4534807205200204</v>
      </c>
      <c r="J560" s="239">
        <v>5.3617582321167001</v>
      </c>
      <c r="K560" s="239">
        <v>5.3288640975952104</v>
      </c>
      <c r="L560" s="239">
        <v>5.3712139129638699</v>
      </c>
      <c r="M560" s="239">
        <v>5.41644287109375</v>
      </c>
      <c r="N560" s="239">
        <v>5.4747476577758798</v>
      </c>
      <c r="O560" s="239">
        <v>5.5268063545227104</v>
      </c>
      <c r="P560" s="239">
        <v>5.5894103050231898</v>
      </c>
      <c r="Q560" s="239">
        <v>5.6297807693481401</v>
      </c>
      <c r="R560" s="239">
        <v>5.7926478385925302</v>
      </c>
      <c r="S560" s="239">
        <v>5.9167857170104998</v>
      </c>
      <c r="T560" s="239">
        <v>6.0082931518554696</v>
      </c>
      <c r="U560" s="239">
        <v>6.11431789398193</v>
      </c>
      <c r="V560" s="239">
        <v>6.21482229232788</v>
      </c>
      <c r="W560" s="239">
        <v>6.2930455207824698</v>
      </c>
      <c r="X560" s="239">
        <v>6.3174986839294398</v>
      </c>
      <c r="Y560" s="239">
        <v>6.3298768997192401</v>
      </c>
    </row>
    <row r="561" spans="1:26">
      <c r="A561" s="235" t="s">
        <v>480</v>
      </c>
      <c r="B561" s="239">
        <v>3.9850425720214799</v>
      </c>
      <c r="C561" s="239">
        <v>4.7911210060119602</v>
      </c>
      <c r="D561" s="239">
        <v>5.5054435729980504</v>
      </c>
      <c r="E561" s="239">
        <v>5.3836607933044398</v>
      </c>
      <c r="F561" s="239">
        <v>4.9928164482116699</v>
      </c>
      <c r="G561" s="239">
        <v>4.5735058784484899</v>
      </c>
      <c r="H561" s="239">
        <v>4.37508344650269</v>
      </c>
      <c r="I561" s="239">
        <v>4.2357888221740696</v>
      </c>
      <c r="J561" s="239">
        <v>4.1871180534362802</v>
      </c>
      <c r="K561" s="239">
        <v>4.2367839813232404</v>
      </c>
      <c r="L561" s="239">
        <v>4.2823972702026403</v>
      </c>
      <c r="M561" s="239">
        <v>4.3351020812988299</v>
      </c>
      <c r="N561" s="239">
        <v>4.38077735900879</v>
      </c>
      <c r="O561" s="239">
        <v>4.4392328262329102</v>
      </c>
      <c r="P561" s="239">
        <v>4.4927945137023899</v>
      </c>
      <c r="Q561" s="239">
        <v>4.5466628074645996</v>
      </c>
      <c r="R561" s="239">
        <v>4.5988087654113796</v>
      </c>
      <c r="S561" s="239">
        <v>4.6550941467285201</v>
      </c>
      <c r="T561" s="239">
        <v>4.7130184173584002</v>
      </c>
      <c r="U561" s="239">
        <v>4.7694864273071298</v>
      </c>
      <c r="V561" s="239">
        <v>4.8261427879333496</v>
      </c>
      <c r="W561" s="239">
        <v>4.8835220336914098</v>
      </c>
      <c r="X561" s="239">
        <v>4.9410810470581099</v>
      </c>
      <c r="Y561" s="239">
        <v>5.0030183792114302</v>
      </c>
    </row>
    <row r="562" spans="1:26">
      <c r="A562" s="257" t="s">
        <v>477</v>
      </c>
      <c r="B562" s="239">
        <v>3.6857740879058798</v>
      </c>
      <c r="C562" s="239">
        <v>5.4593739509582502</v>
      </c>
      <c r="D562" s="239">
        <v>5.9836626052856401</v>
      </c>
      <c r="E562" s="239">
        <v>5.9217834472656303</v>
      </c>
      <c r="F562" s="239">
        <v>5.2677536010742196</v>
      </c>
      <c r="G562" s="239">
        <v>4.83196926116943</v>
      </c>
      <c r="H562" s="239">
        <v>4.4959845542907697</v>
      </c>
      <c r="I562" s="239">
        <v>4.3869647979736301</v>
      </c>
      <c r="J562" s="239">
        <v>4.2738447189331099</v>
      </c>
      <c r="K562" s="239">
        <v>4.3073697090148899</v>
      </c>
      <c r="L562" s="239">
        <v>4.4138617515564</v>
      </c>
      <c r="M562" s="239">
        <v>4.5377993583679199</v>
      </c>
      <c r="N562" s="239">
        <v>4.6997785568237296</v>
      </c>
      <c r="O562" s="239">
        <v>4.8059244155883798</v>
      </c>
      <c r="P562" s="239">
        <v>4.7723231315612802</v>
      </c>
      <c r="Q562" s="239">
        <v>4.7962751388549796</v>
      </c>
      <c r="R562" s="239">
        <v>4.93237209320068</v>
      </c>
      <c r="S562" s="239">
        <v>5.0951194763183603</v>
      </c>
      <c r="T562" s="239">
        <v>5.2029786109924299</v>
      </c>
      <c r="U562" s="239">
        <v>5.2939982414245597</v>
      </c>
      <c r="V562" s="239">
        <v>5.3285460472106898</v>
      </c>
      <c r="W562" s="239">
        <v>5.3187093734741202</v>
      </c>
      <c r="X562" s="239">
        <v>5.3844461441040004</v>
      </c>
      <c r="Y562" s="239">
        <v>5.4420223236084002</v>
      </c>
      <c r="Z562" s="265">
        <f>Y562+($AI$392-$Y$562)/10</f>
        <v>5.4722581683132612</v>
      </c>
    </row>
    <row r="563" spans="1:26">
      <c r="A563" s="260" t="s">
        <v>485</v>
      </c>
      <c r="B563" s="239">
        <v>1.2699717283248899</v>
      </c>
      <c r="C563" s="239">
        <v>1.27919089794159</v>
      </c>
      <c r="D563" s="239">
        <v>1.2833664417266799</v>
      </c>
      <c r="E563" s="239">
        <v>1.28942894935608</v>
      </c>
      <c r="F563" s="239">
        <v>1.29215919971466</v>
      </c>
      <c r="G563" s="239">
        <v>1.28011155128479</v>
      </c>
      <c r="H563" s="239">
        <v>1.2771430015564</v>
      </c>
      <c r="I563" s="239">
        <v>1.2664887905120801</v>
      </c>
      <c r="J563" s="239">
        <v>1.2516112327575699</v>
      </c>
      <c r="K563" s="239">
        <v>1.2440552711486801</v>
      </c>
      <c r="L563" s="239">
        <v>1.2386393547058101</v>
      </c>
      <c r="M563" s="239">
        <v>1.23525643348694</v>
      </c>
      <c r="N563" s="239">
        <v>1.23468470573425</v>
      </c>
      <c r="O563" s="239">
        <v>1.2341449260711701</v>
      </c>
      <c r="P563" s="239">
        <v>1.23174548149109</v>
      </c>
      <c r="Q563" s="239">
        <v>1.2347780466079701</v>
      </c>
      <c r="R563" s="239">
        <v>1.23870933055878</v>
      </c>
      <c r="S563" s="239">
        <v>1.2427853345871001</v>
      </c>
      <c r="T563" s="239">
        <v>1.24646520614624</v>
      </c>
      <c r="U563" s="239">
        <v>1.2552444934845</v>
      </c>
      <c r="V563" s="239">
        <v>1.26424860954285</v>
      </c>
      <c r="W563" s="239">
        <v>1.2944931983947801</v>
      </c>
      <c r="X563" s="239">
        <v>1.3030458688736</v>
      </c>
      <c r="Y563" s="239">
        <v>1.30599772930145</v>
      </c>
      <c r="Z563" s="273">
        <f>Y563+($AI$393-$Y$563)/10</f>
        <v>1.3088234854404943</v>
      </c>
    </row>
    <row r="564" spans="1:26">
      <c r="A564" s="235" t="s">
        <v>439</v>
      </c>
      <c r="B564" s="239" t="s">
        <v>439</v>
      </c>
      <c r="C564" s="239" t="s">
        <v>439</v>
      </c>
      <c r="D564" s="239" t="s">
        <v>439</v>
      </c>
      <c r="E564" s="239" t="s">
        <v>439</v>
      </c>
      <c r="F564" s="239" t="s">
        <v>439</v>
      </c>
      <c r="G564" s="239" t="s">
        <v>439</v>
      </c>
      <c r="H564" s="239" t="s">
        <v>439</v>
      </c>
      <c r="I564" s="239" t="s">
        <v>439</v>
      </c>
      <c r="J564" s="239" t="s">
        <v>439</v>
      </c>
      <c r="K564" s="239" t="s">
        <v>439</v>
      </c>
      <c r="L564" s="239" t="s">
        <v>439</v>
      </c>
      <c r="M564" s="239" t="s">
        <v>439</v>
      </c>
      <c r="N564" s="239" t="s">
        <v>439</v>
      </c>
      <c r="O564" s="239" t="s">
        <v>439</v>
      </c>
      <c r="P564" s="239" t="s">
        <v>439</v>
      </c>
      <c r="Q564" s="239" t="s">
        <v>439</v>
      </c>
      <c r="R564" s="239" t="s">
        <v>439</v>
      </c>
      <c r="S564" s="239" t="s">
        <v>439</v>
      </c>
      <c r="T564" s="239" t="s">
        <v>439</v>
      </c>
      <c r="U564" s="239" t="s">
        <v>439</v>
      </c>
      <c r="V564" s="239" t="s">
        <v>439</v>
      </c>
      <c r="W564" s="239" t="s">
        <v>439</v>
      </c>
      <c r="X564" s="239" t="s">
        <v>439</v>
      </c>
      <c r="Y564" s="239" t="s">
        <v>439</v>
      </c>
    </row>
    <row r="565" spans="1:26">
      <c r="A565" s="235" t="s">
        <v>502</v>
      </c>
      <c r="B565" s="239" t="s">
        <v>439</v>
      </c>
      <c r="C565" s="239" t="s">
        <v>439</v>
      </c>
      <c r="D565" s="239" t="s">
        <v>439</v>
      </c>
      <c r="E565" s="239" t="s">
        <v>439</v>
      </c>
      <c r="F565" s="239" t="s">
        <v>439</v>
      </c>
      <c r="G565" s="239" t="s">
        <v>439</v>
      </c>
      <c r="H565" s="239" t="s">
        <v>439</v>
      </c>
      <c r="I565" s="239" t="s">
        <v>439</v>
      </c>
      <c r="J565" s="239" t="s">
        <v>439</v>
      </c>
      <c r="K565" s="239" t="s">
        <v>439</v>
      </c>
      <c r="L565" s="239" t="s">
        <v>439</v>
      </c>
      <c r="M565" s="239" t="s">
        <v>439</v>
      </c>
      <c r="N565" s="239" t="s">
        <v>439</v>
      </c>
      <c r="O565" s="239" t="s">
        <v>439</v>
      </c>
      <c r="P565" s="239" t="s">
        <v>439</v>
      </c>
      <c r="Q565" s="239" t="s">
        <v>439</v>
      </c>
      <c r="R565" s="239" t="s">
        <v>439</v>
      </c>
      <c r="S565" s="239" t="s">
        <v>439</v>
      </c>
      <c r="T565" s="239" t="s">
        <v>439</v>
      </c>
      <c r="U565" s="239" t="s">
        <v>439</v>
      </c>
      <c r="V565" s="239" t="s">
        <v>439</v>
      </c>
      <c r="W565" s="239" t="s">
        <v>439</v>
      </c>
      <c r="X565" s="239" t="s">
        <v>439</v>
      </c>
      <c r="Y565" s="239" t="s">
        <v>439</v>
      </c>
    </row>
    <row r="566" spans="1:26">
      <c r="A566" s="235" t="s">
        <v>503</v>
      </c>
      <c r="B566" s="239">
        <v>9.0916013717651403</v>
      </c>
      <c r="C566" s="239">
        <v>10.5092258453369</v>
      </c>
      <c r="D566" s="239">
        <v>12.005053520202599</v>
      </c>
      <c r="E566" s="239">
        <v>11.630154609680201</v>
      </c>
      <c r="F566" s="239">
        <v>10.867414474487299</v>
      </c>
      <c r="G566" s="239">
        <v>10.341483116149901</v>
      </c>
      <c r="H566" s="239">
        <v>10.206826210021999</v>
      </c>
      <c r="I566" s="239">
        <v>9.9809312820434606</v>
      </c>
      <c r="J566" s="239">
        <v>9.9117403030395508</v>
      </c>
      <c r="K566" s="239">
        <v>9.9329805374145508</v>
      </c>
      <c r="L566" s="239">
        <v>9.9184780120849592</v>
      </c>
      <c r="M566" s="239">
        <v>9.9575662612915004</v>
      </c>
      <c r="N566" s="239">
        <v>9.9538516998290998</v>
      </c>
      <c r="O566" s="239">
        <v>10.000968933105501</v>
      </c>
      <c r="P566" s="239">
        <v>10.066521644592299</v>
      </c>
      <c r="Q566" s="239">
        <v>10.122728347778301</v>
      </c>
      <c r="R566" s="239">
        <v>10.166119575500501</v>
      </c>
      <c r="S566" s="239">
        <v>10.2242088317871</v>
      </c>
      <c r="T566" s="239">
        <v>10.2887620925903</v>
      </c>
      <c r="U566" s="239">
        <v>10.370365142822299</v>
      </c>
      <c r="V566" s="239">
        <v>10.451409339904799</v>
      </c>
      <c r="W566" s="239">
        <v>10.528607368469199</v>
      </c>
      <c r="X566" s="239">
        <v>10.560112953186</v>
      </c>
      <c r="Y566" s="239">
        <v>10.6600894927979</v>
      </c>
    </row>
    <row r="567" spans="1:26">
      <c r="A567" s="235" t="s">
        <v>504</v>
      </c>
      <c r="B567" s="239">
        <v>8.7129955291747994</v>
      </c>
      <c r="C567" s="239">
        <v>9.89868068695068</v>
      </c>
      <c r="D567" s="239">
        <v>10.9323616027832</v>
      </c>
      <c r="E567" s="239">
        <v>10.516496658325201</v>
      </c>
      <c r="F567" s="239">
        <v>10.0722150802612</v>
      </c>
      <c r="G567" s="239">
        <v>9.7644062042236293</v>
      </c>
      <c r="H567" s="239">
        <v>9.6708259582519496</v>
      </c>
      <c r="I567" s="239">
        <v>9.5059432983398402</v>
      </c>
      <c r="J567" s="239">
        <v>9.5328626632690394</v>
      </c>
      <c r="K567" s="239">
        <v>9.6073579788208008</v>
      </c>
      <c r="L567" s="239">
        <v>9.6717586517334002</v>
      </c>
      <c r="M567" s="239">
        <v>9.7472448348999006</v>
      </c>
      <c r="N567" s="239">
        <v>9.7227439880371094</v>
      </c>
      <c r="O567" s="239">
        <v>9.7185726165771502</v>
      </c>
      <c r="P567" s="239">
        <v>9.7264575958252006</v>
      </c>
      <c r="Q567" s="239">
        <v>9.7659683227539098</v>
      </c>
      <c r="R567" s="239">
        <v>9.7933034896850604</v>
      </c>
      <c r="S567" s="239">
        <v>9.8243274688720703</v>
      </c>
      <c r="T567" s="239">
        <v>9.7878532409668004</v>
      </c>
      <c r="U567" s="239">
        <v>9.8349857330322301</v>
      </c>
      <c r="V567" s="239">
        <v>9.8761272430419904</v>
      </c>
      <c r="W567" s="239">
        <v>9.8313732147216797</v>
      </c>
      <c r="X567" s="239">
        <v>9.8799133300781303</v>
      </c>
      <c r="Y567" s="239">
        <v>10.0311069488525</v>
      </c>
    </row>
    <row r="568" spans="1:26">
      <c r="A568" s="235" t="s">
        <v>505</v>
      </c>
      <c r="B568" s="239">
        <v>6.0538434982299796</v>
      </c>
      <c r="C568" s="239">
        <v>6.4578518867492702</v>
      </c>
      <c r="D568" s="239">
        <v>8.1168746948242205</v>
      </c>
      <c r="E568" s="239">
        <v>7.6875572204589799</v>
      </c>
      <c r="F568" s="239">
        <v>7.0150871276855504</v>
      </c>
      <c r="G568" s="239">
        <v>6.5790328979492196</v>
      </c>
      <c r="H568" s="239">
        <v>6.5712537765502903</v>
      </c>
      <c r="I568" s="239">
        <v>6.42602443695068</v>
      </c>
      <c r="J568" s="239">
        <v>6.2476048469543501</v>
      </c>
      <c r="K568" s="239">
        <v>6.2184038162231401</v>
      </c>
      <c r="L568" s="239">
        <v>6.2436552047729501</v>
      </c>
      <c r="M568" s="239">
        <v>6.2858424186706499</v>
      </c>
      <c r="N568" s="239">
        <v>6.2737250328064</v>
      </c>
      <c r="O568" s="239">
        <v>6.2926135063171396</v>
      </c>
      <c r="P568" s="239">
        <v>6.3336305618286097</v>
      </c>
      <c r="Q568" s="239">
        <v>6.3623290061950701</v>
      </c>
      <c r="R568" s="239">
        <v>6.4419050216674796</v>
      </c>
      <c r="S568" s="239">
        <v>6.5377755165100098</v>
      </c>
      <c r="T568" s="239">
        <v>6.5789065361022896</v>
      </c>
      <c r="U568" s="239">
        <v>6.7034192085266104</v>
      </c>
      <c r="V568" s="239">
        <v>6.8036813735961896</v>
      </c>
      <c r="W568" s="239">
        <v>6.8691210746765101</v>
      </c>
      <c r="X568" s="239">
        <v>6.8930430412292498</v>
      </c>
      <c r="Y568" s="239">
        <v>6.9258189201354998</v>
      </c>
    </row>
    <row r="569" spans="1:26">
      <c r="A569" s="235" t="s">
        <v>506</v>
      </c>
      <c r="B569" s="239">
        <v>9.5166797637939506</v>
      </c>
      <c r="C569" s="239">
        <v>13.0396432876587</v>
      </c>
      <c r="D569" s="239">
        <v>15.6858806610107</v>
      </c>
      <c r="E569" s="239">
        <v>14.0742273330688</v>
      </c>
      <c r="F569" s="239">
        <v>12.086350440979</v>
      </c>
      <c r="G569" s="239">
        <v>11.4653730392456</v>
      </c>
      <c r="H569" s="239">
        <v>11.285403251647899</v>
      </c>
      <c r="I569" s="239">
        <v>11.0092105865479</v>
      </c>
      <c r="J569" s="239">
        <v>10.989564895629901</v>
      </c>
      <c r="K569" s="239">
        <v>10.925596237182599</v>
      </c>
      <c r="L569" s="239">
        <v>10.987684249877899</v>
      </c>
      <c r="M569" s="239">
        <v>11.0838632583618</v>
      </c>
      <c r="N569" s="239">
        <v>11.0187425613403</v>
      </c>
      <c r="O569" s="239">
        <v>11.2084665298462</v>
      </c>
      <c r="P569" s="239">
        <v>11.3385829925537</v>
      </c>
      <c r="Q569" s="239">
        <v>11.336560249328601</v>
      </c>
      <c r="R569" s="239">
        <v>11.412732124328601</v>
      </c>
      <c r="S569" s="239">
        <v>11.5561437606812</v>
      </c>
      <c r="T569" s="239">
        <v>11.7385349273682</v>
      </c>
      <c r="U569" s="239">
        <v>11.9240121841431</v>
      </c>
      <c r="V569" s="239">
        <v>12.033415794372599</v>
      </c>
      <c r="W569" s="239">
        <v>12.184607505798301</v>
      </c>
      <c r="X569" s="239">
        <v>12.2847499847412</v>
      </c>
      <c r="Y569" s="239">
        <v>12.335958480835</v>
      </c>
    </row>
    <row r="570" spans="1:26">
      <c r="A570" s="235" t="s">
        <v>507</v>
      </c>
      <c r="B570" s="239">
        <v>11.3185987472534</v>
      </c>
      <c r="C570" s="239">
        <v>12.9258327484131</v>
      </c>
      <c r="D570" s="239">
        <v>14.650143623352101</v>
      </c>
      <c r="E570" s="239">
        <v>14.3442440032959</v>
      </c>
      <c r="F570" s="239">
        <v>13.623025894165</v>
      </c>
      <c r="G570" s="239">
        <v>12.923449516296399</v>
      </c>
      <c r="H570" s="239">
        <v>12.7128458023071</v>
      </c>
      <c r="I570" s="239">
        <v>12.432819366455099</v>
      </c>
      <c r="J570" s="239">
        <v>12.310016632080099</v>
      </c>
      <c r="K570" s="239">
        <v>12.3222455978394</v>
      </c>
      <c r="L570" s="239">
        <v>12.2171115875244</v>
      </c>
      <c r="M570" s="239">
        <v>12.2130832672119</v>
      </c>
      <c r="N570" s="239">
        <v>12.22132396698</v>
      </c>
      <c r="O570" s="239">
        <v>12.248191833496101</v>
      </c>
      <c r="P570" s="239">
        <v>12.309587478637701</v>
      </c>
      <c r="Q570" s="239">
        <v>12.376181602478001</v>
      </c>
      <c r="R570" s="239">
        <v>12.4016332626343</v>
      </c>
      <c r="S570" s="239">
        <v>12.440443038940399</v>
      </c>
      <c r="T570" s="239">
        <v>12.509931564331101</v>
      </c>
      <c r="U570" s="239">
        <v>12.547391891479499</v>
      </c>
      <c r="V570" s="239">
        <v>12.611403465271</v>
      </c>
      <c r="W570" s="239">
        <v>12.7098541259766</v>
      </c>
      <c r="X570" s="239">
        <v>12.7049369812012</v>
      </c>
      <c r="Y570" s="239">
        <v>12.8036108016968</v>
      </c>
    </row>
    <row r="571" spans="1:26">
      <c r="A571" s="235" t="s">
        <v>508</v>
      </c>
      <c r="B571" s="239">
        <v>3.9308724403381299</v>
      </c>
      <c r="C571" s="239">
        <v>4.6628575325012198</v>
      </c>
      <c r="D571" s="239">
        <v>5.07232666015625</v>
      </c>
      <c r="E571" s="239">
        <v>5.1433629989623997</v>
      </c>
      <c r="F571" s="239">
        <v>4.8060836791992196</v>
      </c>
      <c r="G571" s="239">
        <v>4.3862032890319798</v>
      </c>
      <c r="H571" s="239">
        <v>4.1832194328308097</v>
      </c>
      <c r="I571" s="239">
        <v>4.0440359115600604</v>
      </c>
      <c r="J571" s="239">
        <v>3.9943466186523402</v>
      </c>
      <c r="K571" s="239">
        <v>4.04720115661621</v>
      </c>
      <c r="L571" s="239">
        <v>4.0966601371765101</v>
      </c>
      <c r="M571" s="239">
        <v>4.1477751731872603</v>
      </c>
      <c r="N571" s="239">
        <v>4.19142723083496</v>
      </c>
      <c r="O571" s="239">
        <v>4.2503523826599103</v>
      </c>
      <c r="P571" s="239">
        <v>4.3018612861633301</v>
      </c>
      <c r="Q571" s="239">
        <v>4.3527650833129901</v>
      </c>
      <c r="R571" s="239">
        <v>4.4055538177490199</v>
      </c>
      <c r="S571" s="239">
        <v>4.4662823677062997</v>
      </c>
      <c r="T571" s="239">
        <v>4.5225110054016104</v>
      </c>
      <c r="U571" s="239">
        <v>4.5828208923339799</v>
      </c>
      <c r="V571" s="239">
        <v>4.6386957168579102</v>
      </c>
      <c r="W571" s="239">
        <v>4.6918659210205096</v>
      </c>
      <c r="X571" s="239">
        <v>4.7469024658203098</v>
      </c>
      <c r="Y571" s="239">
        <v>4.8068332672119096</v>
      </c>
    </row>
    <row r="572" spans="1:26">
      <c r="A572" s="235" t="s">
        <v>509</v>
      </c>
      <c r="B572" s="239">
        <v>5.1461992263793901</v>
      </c>
      <c r="C572" s="239">
        <v>6.8558807373046902</v>
      </c>
      <c r="D572" s="239">
        <v>7.3508329391479501</v>
      </c>
      <c r="E572" s="239">
        <v>7.3838677406311</v>
      </c>
      <c r="F572" s="239">
        <v>6.7167663574218803</v>
      </c>
      <c r="G572" s="239">
        <v>6.2544136047363299</v>
      </c>
      <c r="H572" s="239">
        <v>5.8490047454834002</v>
      </c>
      <c r="I572" s="239">
        <v>5.6922402381896999</v>
      </c>
      <c r="J572" s="239">
        <v>5.5182204246520996</v>
      </c>
      <c r="K572" s="239">
        <v>5.4887638092040998</v>
      </c>
      <c r="L572" s="239">
        <v>5.5592789649963397</v>
      </c>
      <c r="M572" s="239">
        <v>5.6574964523315403</v>
      </c>
      <c r="N572" s="239">
        <v>5.8102455139160201</v>
      </c>
      <c r="O572" s="239">
        <v>5.9230461120605504</v>
      </c>
      <c r="P572" s="239">
        <v>5.8875889778137198</v>
      </c>
      <c r="Q572" s="239">
        <v>5.8938632011413601</v>
      </c>
      <c r="R572" s="239">
        <v>6.0147280693054199</v>
      </c>
      <c r="S572" s="239">
        <v>6.1772904396057102</v>
      </c>
      <c r="T572" s="239">
        <v>6.2973737716674796</v>
      </c>
      <c r="U572" s="239">
        <v>6.40012407302856</v>
      </c>
      <c r="V572" s="239">
        <v>6.4435343742370597</v>
      </c>
      <c r="W572" s="239">
        <v>6.4505195617675799</v>
      </c>
      <c r="X572" s="239">
        <v>6.5169725418090803</v>
      </c>
      <c r="Y572" s="239">
        <v>6.5874438285827601</v>
      </c>
    </row>
    <row r="573" spans="1:26">
      <c r="A573" s="235" t="s">
        <v>510</v>
      </c>
      <c r="B573" s="239">
        <v>1.2938040494918801</v>
      </c>
      <c r="C573" s="239">
        <v>1.29924309253693</v>
      </c>
      <c r="D573" s="239">
        <v>1.30395972728729</v>
      </c>
      <c r="E573" s="239">
        <v>1.3117660284042401</v>
      </c>
      <c r="F573" s="239">
        <v>1.3130011558532699</v>
      </c>
      <c r="G573" s="239">
        <v>1.3001606464386</v>
      </c>
      <c r="H573" s="239">
        <v>1.2972036600112899</v>
      </c>
      <c r="I573" s="239">
        <v>1.28666663169861</v>
      </c>
      <c r="J573" s="239">
        <v>1.2722240686416599</v>
      </c>
      <c r="K573" s="239">
        <v>1.2649568319320701</v>
      </c>
      <c r="L573" s="239">
        <v>1.25909507274628</v>
      </c>
      <c r="M573" s="239">
        <v>1.25531446933746</v>
      </c>
      <c r="N573" s="239">
        <v>1.25464415550232</v>
      </c>
      <c r="O573" s="239">
        <v>1.25405156612396</v>
      </c>
      <c r="P573" s="239">
        <v>1.2516055107116699</v>
      </c>
      <c r="Q573" s="239">
        <v>1.25465047359467</v>
      </c>
      <c r="R573" s="239">
        <v>1.2582825422287001</v>
      </c>
      <c r="S573" s="239">
        <v>1.2619441747665401</v>
      </c>
      <c r="T573" s="239">
        <v>1.26514172554016</v>
      </c>
      <c r="U573" s="239">
        <v>1.27338314056396</v>
      </c>
      <c r="V573" s="239">
        <v>1.2817230224609399</v>
      </c>
      <c r="W573" s="239">
        <v>1.31160092353821</v>
      </c>
      <c r="X573" s="239">
        <v>1.3194112777710001</v>
      </c>
      <c r="Y573" s="239">
        <v>1.3217089176178001</v>
      </c>
    </row>
    <row r="574" spans="1:26">
      <c r="A574" s="235" t="s">
        <v>511</v>
      </c>
      <c r="B574" s="239">
        <v>14.6543264389038</v>
      </c>
      <c r="C574" s="239">
        <v>16.232709884643601</v>
      </c>
      <c r="D574" s="239">
        <v>19.6646022796631</v>
      </c>
      <c r="E574" s="239">
        <v>19.5902194976807</v>
      </c>
      <c r="F574" s="239">
        <v>19.473403930664102</v>
      </c>
      <c r="G574" s="239">
        <v>18.312351226806602</v>
      </c>
      <c r="H574" s="239">
        <v>18.154972076416001</v>
      </c>
      <c r="I574" s="239">
        <v>17.744245529174801</v>
      </c>
      <c r="J574" s="239">
        <v>17.108533859252901</v>
      </c>
      <c r="K574" s="239">
        <v>16.985416412353501</v>
      </c>
      <c r="L574" s="239">
        <v>16.891477584838899</v>
      </c>
      <c r="M574" s="239">
        <v>17.106473922729499</v>
      </c>
      <c r="N574" s="239">
        <v>17.298709869384801</v>
      </c>
      <c r="O574" s="239">
        <v>17.370653152465799</v>
      </c>
      <c r="P574" s="239">
        <v>17.404756546020501</v>
      </c>
      <c r="Q574" s="239">
        <v>17.4316711425781</v>
      </c>
      <c r="R574" s="239">
        <v>17.495216369628899</v>
      </c>
      <c r="S574" s="239">
        <v>17.111986160278299</v>
      </c>
      <c r="T574" s="239">
        <v>17.221326828002901</v>
      </c>
      <c r="U574" s="239">
        <v>17.6731853485107</v>
      </c>
      <c r="V574" s="239">
        <v>17.676996231079102</v>
      </c>
      <c r="W574" s="239">
        <v>17.866504669189499</v>
      </c>
      <c r="X574" s="239">
        <v>17.993064880371101</v>
      </c>
      <c r="Y574" s="239">
        <v>18.128524780273398</v>
      </c>
    </row>
    <row r="575" spans="1:26">
      <c r="A575" s="235" t="s">
        <v>478</v>
      </c>
      <c r="B575" s="239">
        <v>21.599882125854499</v>
      </c>
      <c r="C575" s="239">
        <v>21.735733032226602</v>
      </c>
      <c r="D575" s="239">
        <v>21.728578567504901</v>
      </c>
      <c r="E575" s="239">
        <v>21.659519195556602</v>
      </c>
      <c r="F575" s="239">
        <v>20.859115600585898</v>
      </c>
      <c r="G575" s="239">
        <v>19.947565078735401</v>
      </c>
      <c r="H575" s="239">
        <v>19.5044040679932</v>
      </c>
      <c r="I575" s="239">
        <v>19.468164443969702</v>
      </c>
      <c r="J575" s="239">
        <v>19.363897323608398</v>
      </c>
      <c r="K575" s="239">
        <v>19.340778350830099</v>
      </c>
      <c r="L575" s="239">
        <v>19.565423965454102</v>
      </c>
      <c r="M575" s="239">
        <v>19.829431533813501</v>
      </c>
      <c r="N575" s="239">
        <v>20.184032440185501</v>
      </c>
      <c r="O575" s="239">
        <v>20.348131179809599</v>
      </c>
      <c r="P575" s="239">
        <v>20.384618759155298</v>
      </c>
      <c r="Q575" s="239">
        <v>20.4941310882568</v>
      </c>
      <c r="R575" s="239">
        <v>20.6934413909912</v>
      </c>
      <c r="S575" s="239">
        <v>20.961088180541999</v>
      </c>
      <c r="T575" s="239">
        <v>21.1064147949219</v>
      </c>
      <c r="U575" s="239">
        <v>21.2582683563232</v>
      </c>
      <c r="V575" s="239">
        <v>21.2429523468018</v>
      </c>
      <c r="W575" s="239">
        <v>21.2300205230713</v>
      </c>
      <c r="X575" s="239">
        <v>21.277418136596701</v>
      </c>
      <c r="Y575" s="239">
        <v>21.3841457366943</v>
      </c>
    </row>
    <row r="576" spans="1:26">
      <c r="A576" s="235" t="s">
        <v>439</v>
      </c>
      <c r="B576" s="239" t="s">
        <v>439</v>
      </c>
      <c r="C576" s="239" t="s">
        <v>439</v>
      </c>
      <c r="D576" s="239" t="s">
        <v>439</v>
      </c>
      <c r="E576" s="239" t="s">
        <v>439</v>
      </c>
      <c r="F576" s="239" t="s">
        <v>439</v>
      </c>
      <c r="G576" s="239" t="s">
        <v>439</v>
      </c>
      <c r="H576" s="239" t="s">
        <v>439</v>
      </c>
      <c r="I576" s="239" t="s">
        <v>439</v>
      </c>
      <c r="J576" s="239" t="s">
        <v>439</v>
      </c>
      <c r="K576" s="239" t="s">
        <v>439</v>
      </c>
      <c r="L576" s="239" t="s">
        <v>439</v>
      </c>
      <c r="M576" s="239" t="s">
        <v>439</v>
      </c>
      <c r="N576" s="239" t="s">
        <v>439</v>
      </c>
      <c r="O576" s="239" t="s">
        <v>439</v>
      </c>
      <c r="P576" s="239" t="s">
        <v>439</v>
      </c>
      <c r="Q576" s="239" t="s">
        <v>439</v>
      </c>
      <c r="R576" s="239" t="s">
        <v>439</v>
      </c>
      <c r="S576" s="239" t="s">
        <v>439</v>
      </c>
      <c r="T576" s="239" t="s">
        <v>439</v>
      </c>
      <c r="U576" s="239" t="s">
        <v>439</v>
      </c>
      <c r="V576" s="239" t="s">
        <v>439</v>
      </c>
      <c r="W576" s="239" t="s">
        <v>439</v>
      </c>
      <c r="X576" s="239" t="s">
        <v>439</v>
      </c>
      <c r="Y576" s="239" t="s">
        <v>439</v>
      </c>
    </row>
    <row r="577" spans="1:25">
      <c r="A577" s="235" t="s">
        <v>512</v>
      </c>
      <c r="B577" s="239" t="s">
        <v>439</v>
      </c>
      <c r="C577" s="239" t="s">
        <v>439</v>
      </c>
      <c r="D577" s="239" t="s">
        <v>439</v>
      </c>
      <c r="E577" s="239" t="s">
        <v>439</v>
      </c>
      <c r="F577" s="239" t="s">
        <v>439</v>
      </c>
      <c r="G577" s="239" t="s">
        <v>439</v>
      </c>
      <c r="H577" s="239" t="s">
        <v>439</v>
      </c>
      <c r="I577" s="239" t="s">
        <v>439</v>
      </c>
      <c r="J577" s="239" t="s">
        <v>439</v>
      </c>
      <c r="K577" s="239" t="s">
        <v>439</v>
      </c>
      <c r="L577" s="239" t="s">
        <v>439</v>
      </c>
      <c r="M577" s="239" t="s">
        <v>439</v>
      </c>
      <c r="N577" s="239" t="s">
        <v>439</v>
      </c>
      <c r="O577" s="239" t="s">
        <v>439</v>
      </c>
      <c r="P577" s="239" t="s">
        <v>439</v>
      </c>
      <c r="Q577" s="239" t="s">
        <v>439</v>
      </c>
      <c r="R577" s="239" t="s">
        <v>439</v>
      </c>
      <c r="S577" s="239" t="s">
        <v>439</v>
      </c>
      <c r="T577" s="239" t="s">
        <v>439</v>
      </c>
      <c r="U577" s="239" t="s">
        <v>439</v>
      </c>
      <c r="V577" s="239" t="s">
        <v>439</v>
      </c>
      <c r="W577" s="239" t="s">
        <v>439</v>
      </c>
      <c r="X577" s="239" t="s">
        <v>439</v>
      </c>
      <c r="Y577" s="239" t="s">
        <v>439</v>
      </c>
    </row>
    <row r="578" spans="1:25">
      <c r="A578" s="235" t="s">
        <v>513</v>
      </c>
      <c r="B578" s="239" t="s">
        <v>439</v>
      </c>
      <c r="C578" s="239" t="s">
        <v>439</v>
      </c>
      <c r="D578" s="239" t="s">
        <v>439</v>
      </c>
      <c r="E578" s="239" t="s">
        <v>439</v>
      </c>
      <c r="F578" s="239" t="s">
        <v>439</v>
      </c>
      <c r="G578" s="239" t="s">
        <v>439</v>
      </c>
      <c r="H578" s="239" t="s">
        <v>439</v>
      </c>
      <c r="I578" s="239" t="s">
        <v>439</v>
      </c>
      <c r="J578" s="239" t="s">
        <v>439</v>
      </c>
      <c r="K578" s="239" t="s">
        <v>439</v>
      </c>
      <c r="L578" s="239" t="s">
        <v>439</v>
      </c>
      <c r="M578" s="239" t="s">
        <v>439</v>
      </c>
      <c r="N578" s="239" t="s">
        <v>439</v>
      </c>
      <c r="O578" s="239" t="s">
        <v>439</v>
      </c>
      <c r="P578" s="239" t="s">
        <v>439</v>
      </c>
      <c r="Q578" s="239" t="s">
        <v>439</v>
      </c>
      <c r="R578" s="239" t="s">
        <v>439</v>
      </c>
      <c r="S578" s="239" t="s">
        <v>439</v>
      </c>
      <c r="T578" s="239" t="s">
        <v>439</v>
      </c>
      <c r="U578" s="239" t="s">
        <v>439</v>
      </c>
      <c r="V578" s="239" t="s">
        <v>439</v>
      </c>
      <c r="W578" s="239" t="s">
        <v>439</v>
      </c>
      <c r="X578" s="239" t="s">
        <v>439</v>
      </c>
      <c r="Y578" s="239" t="s">
        <v>439</v>
      </c>
    </row>
    <row r="579" spans="1:25">
      <c r="A579" s="235" t="s">
        <v>472</v>
      </c>
      <c r="B579" s="239">
        <v>163.90481567382801</v>
      </c>
      <c r="C579" s="239">
        <v>177.16523742675801</v>
      </c>
      <c r="D579" s="239">
        <v>181.72630310058599</v>
      </c>
      <c r="E579" s="239">
        <v>185.23806762695301</v>
      </c>
      <c r="F579" s="239">
        <v>178.77069091796901</v>
      </c>
      <c r="G579" s="239">
        <v>174.57431030273401</v>
      </c>
      <c r="H579" s="239">
        <v>173.49729919433599</v>
      </c>
      <c r="I579" s="239">
        <v>174.68045043945301</v>
      </c>
      <c r="J579" s="239">
        <v>175.87545776367199</v>
      </c>
      <c r="K579" s="239">
        <v>177.93170166015599</v>
      </c>
      <c r="L579" s="239">
        <v>181.97520446777301</v>
      </c>
      <c r="M579" s="239">
        <v>185.45910644531301</v>
      </c>
      <c r="N579" s="239">
        <v>189.89924621582</v>
      </c>
      <c r="O579" s="239">
        <v>193.20950317382801</v>
      </c>
      <c r="P579" s="239">
        <v>195.50482177734401</v>
      </c>
      <c r="Q579" s="239">
        <v>197.60719299316401</v>
      </c>
      <c r="R579" s="239">
        <v>201.40017700195301</v>
      </c>
      <c r="S579" s="239">
        <v>205.80612182617199</v>
      </c>
      <c r="T579" s="239">
        <v>209.76078796386699</v>
      </c>
      <c r="U579" s="239">
        <v>212.75457763671901</v>
      </c>
      <c r="V579" s="239">
        <v>215.110427856445</v>
      </c>
      <c r="W579" s="239">
        <v>217.42091369628901</v>
      </c>
      <c r="X579" s="239">
        <v>220.97119140625</v>
      </c>
      <c r="Y579" s="239">
        <v>223.85739135742199</v>
      </c>
    </row>
    <row r="580" spans="1:25">
      <c r="A580" s="235" t="s">
        <v>479</v>
      </c>
      <c r="B580" s="239">
        <v>122.690147399902</v>
      </c>
      <c r="C580" s="239">
        <v>128.153732299805</v>
      </c>
      <c r="D580" s="239">
        <v>130.48348999023401</v>
      </c>
      <c r="E580" s="239">
        <v>132.28971862793</v>
      </c>
      <c r="F580" s="239">
        <v>128.48481750488301</v>
      </c>
      <c r="G580" s="239">
        <v>125.5166015625</v>
      </c>
      <c r="H580" s="239">
        <v>125.36106109619099</v>
      </c>
      <c r="I580" s="239">
        <v>127.820442199707</v>
      </c>
      <c r="J580" s="239">
        <v>129.92327880859401</v>
      </c>
      <c r="K580" s="239">
        <v>133.10743713378901</v>
      </c>
      <c r="L580" s="239">
        <v>137.92835998535199</v>
      </c>
      <c r="M580" s="239">
        <v>142.925369262695</v>
      </c>
      <c r="N580" s="239">
        <v>148.816970825195</v>
      </c>
      <c r="O580" s="239">
        <v>153.52194213867199</v>
      </c>
      <c r="P580" s="239">
        <v>157.03869628906301</v>
      </c>
      <c r="Q580" s="239">
        <v>161.345138549805</v>
      </c>
      <c r="R580" s="239">
        <v>166.52362060546901</v>
      </c>
      <c r="S580" s="239">
        <v>172.33033752441401</v>
      </c>
      <c r="T580" s="239">
        <v>177.27947998046901</v>
      </c>
      <c r="U580" s="239">
        <v>182.50421142578099</v>
      </c>
      <c r="V580" s="239">
        <v>186.391357421875</v>
      </c>
      <c r="W580" s="239">
        <v>190.50810241699199</v>
      </c>
      <c r="X580" s="239">
        <v>195.38455200195301</v>
      </c>
      <c r="Y580" s="239">
        <v>200.92575073242199</v>
      </c>
    </row>
    <row r="581" spans="1:25">
      <c r="A581" s="235" t="s">
        <v>514</v>
      </c>
      <c r="B581" s="239">
        <v>124.39901733398401</v>
      </c>
      <c r="C581" s="239">
        <v>147.11244201660199</v>
      </c>
      <c r="D581" s="239">
        <v>168.10716247558599</v>
      </c>
      <c r="E581" s="239">
        <v>167.31402587890599</v>
      </c>
      <c r="F581" s="239">
        <v>151.68084716796901</v>
      </c>
      <c r="G581" s="239">
        <v>143.54243469238301</v>
      </c>
      <c r="H581" s="239">
        <v>141.56742858886699</v>
      </c>
      <c r="I581" s="239">
        <v>140.77819824218801</v>
      </c>
      <c r="J581" s="239">
        <v>139.57333374023401</v>
      </c>
      <c r="K581" s="239">
        <v>140.39901733398401</v>
      </c>
      <c r="L581" s="239">
        <v>142.75350952148401</v>
      </c>
      <c r="M581" s="239">
        <v>145.42568969726599</v>
      </c>
      <c r="N581" s="239">
        <v>149.20526123046901</v>
      </c>
      <c r="O581" s="239">
        <v>152.35485839843801</v>
      </c>
      <c r="P581" s="239">
        <v>153.50325012207</v>
      </c>
      <c r="Q581" s="239">
        <v>156.35830688476599</v>
      </c>
      <c r="R581" s="239">
        <v>160.767654418945</v>
      </c>
      <c r="S581" s="239">
        <v>165.76315307617199</v>
      </c>
      <c r="T581" s="239">
        <v>169.931716918945</v>
      </c>
      <c r="U581" s="239">
        <v>173.961990356445</v>
      </c>
      <c r="V581" s="239">
        <v>176.65931701660199</v>
      </c>
      <c r="W581" s="239">
        <v>179.21453857421901</v>
      </c>
      <c r="X581" s="239">
        <v>182.00726318359401</v>
      </c>
      <c r="Y581" s="239">
        <v>184.95687866210901</v>
      </c>
    </row>
    <row r="582" spans="1:25">
      <c r="A582" s="235" t="s">
        <v>486</v>
      </c>
      <c r="B582" s="239">
        <v>263.72879028320301</v>
      </c>
      <c r="C582" s="239">
        <v>302.59255981445301</v>
      </c>
      <c r="D582" s="239">
        <v>352.23770141601602</v>
      </c>
      <c r="E582" s="239">
        <v>351.05020141601602</v>
      </c>
      <c r="F582" s="239">
        <v>340.83407592773398</v>
      </c>
      <c r="G582" s="239">
        <v>332.5693359375</v>
      </c>
      <c r="H582" s="239">
        <v>335.96701049804699</v>
      </c>
      <c r="I582" s="239">
        <v>336.85531616210898</v>
      </c>
      <c r="J582" s="239">
        <v>341.13198852539102</v>
      </c>
      <c r="K582" s="239">
        <v>348.16427612304699</v>
      </c>
      <c r="L582" s="239">
        <v>352.90618896484398</v>
      </c>
      <c r="M582" s="239">
        <v>359.69818115234398</v>
      </c>
      <c r="N582" s="239">
        <v>365.95080566406301</v>
      </c>
      <c r="O582" s="239">
        <v>372.46246337890602</v>
      </c>
      <c r="P582" s="239">
        <v>379.283447265625</v>
      </c>
      <c r="Q582" s="239">
        <v>387.02755737304699</v>
      </c>
      <c r="R582" s="239">
        <v>393.88119506835898</v>
      </c>
      <c r="S582" s="239">
        <v>401.07183837890602</v>
      </c>
      <c r="T582" s="239">
        <v>407.83190917968801</v>
      </c>
      <c r="U582" s="239">
        <v>415.10699462890602</v>
      </c>
      <c r="V582" s="239">
        <v>423.06927490234398</v>
      </c>
      <c r="W582" s="239">
        <v>431.36416625976602</v>
      </c>
      <c r="X582" s="239">
        <v>438.52017211914102</v>
      </c>
      <c r="Y582" s="239">
        <v>449.30920410156301</v>
      </c>
    </row>
    <row r="583" spans="1:25">
      <c r="A583" s="235" t="s">
        <v>515</v>
      </c>
      <c r="B583" s="239">
        <v>674.72277832031295</v>
      </c>
      <c r="C583" s="239">
        <v>755.02398681640602</v>
      </c>
      <c r="D583" s="239">
        <v>832.5546875</v>
      </c>
      <c r="E583" s="239">
        <v>835.89202880859398</v>
      </c>
      <c r="F583" s="239">
        <v>799.77044677734398</v>
      </c>
      <c r="G583" s="239">
        <v>776.20269775390602</v>
      </c>
      <c r="H583" s="239">
        <v>776.392822265625</v>
      </c>
      <c r="I583" s="239">
        <v>780.13439941406295</v>
      </c>
      <c r="J583" s="239">
        <v>786.50402832031295</v>
      </c>
      <c r="K583" s="239">
        <v>799.60241699218795</v>
      </c>
      <c r="L583" s="239">
        <v>815.563232421875</v>
      </c>
      <c r="M583" s="239">
        <v>833.50836181640602</v>
      </c>
      <c r="N583" s="239">
        <v>853.872314453125</v>
      </c>
      <c r="O583" s="239">
        <v>871.54876708984398</v>
      </c>
      <c r="P583" s="239">
        <v>885.33020019531295</v>
      </c>
      <c r="Q583" s="239">
        <v>902.33819580078102</v>
      </c>
      <c r="R583" s="239">
        <v>922.57263183593795</v>
      </c>
      <c r="S583" s="239">
        <v>944.971435546875</v>
      </c>
      <c r="T583" s="239">
        <v>964.80389404296898</v>
      </c>
      <c r="U583" s="239">
        <v>984.32775878906295</v>
      </c>
      <c r="V583" s="239">
        <v>1001.23034667969</v>
      </c>
      <c r="W583" s="239">
        <v>1018.50769042969</v>
      </c>
      <c r="X583" s="239">
        <v>1036.88317871094</v>
      </c>
      <c r="Y583" s="239">
        <v>1059.04919433594</v>
      </c>
    </row>
    <row r="584" spans="1:25">
      <c r="A584" s="235" t="s">
        <v>516</v>
      </c>
      <c r="B584" s="239">
        <v>1.1704622767865699E-2</v>
      </c>
      <c r="C584" s="239">
        <v>1.72001253813505E-2</v>
      </c>
      <c r="D584" s="239">
        <v>2.0739471539855E-2</v>
      </c>
      <c r="E584" s="239">
        <v>2.2893460467457799E-2</v>
      </c>
      <c r="F584" s="239">
        <v>2.3359816521406201E-2</v>
      </c>
      <c r="G584" s="239">
        <v>2.56899110972881E-2</v>
      </c>
      <c r="H584" s="239">
        <v>2.8361881151795401E-2</v>
      </c>
      <c r="I584" s="239">
        <v>3.0972529202699699E-2</v>
      </c>
      <c r="J584" s="239">
        <v>3.4895084798336001E-2</v>
      </c>
      <c r="K584" s="239">
        <v>3.86636592447758E-2</v>
      </c>
      <c r="L584" s="239">
        <v>4.1480015963315998E-2</v>
      </c>
      <c r="M584" s="239">
        <v>4.3943785130977603E-2</v>
      </c>
      <c r="N584" s="239">
        <v>4.6801801770925501E-2</v>
      </c>
      <c r="O584" s="239">
        <v>4.9450792372226701E-2</v>
      </c>
      <c r="P584" s="239">
        <v>5.3890265524387401E-2</v>
      </c>
      <c r="Q584" s="239">
        <v>5.8303136378526701E-2</v>
      </c>
      <c r="R584" s="239">
        <v>6.2215700745582601E-2</v>
      </c>
      <c r="S584" s="239">
        <v>6.0202639549970599E-2</v>
      </c>
      <c r="T584" s="239">
        <v>6.6687978804111495E-2</v>
      </c>
      <c r="U584" s="239">
        <v>6.8060472607612596E-2</v>
      </c>
      <c r="V584" s="239">
        <v>7.0131160318851499E-2</v>
      </c>
      <c r="W584" s="239">
        <v>7.4032962322235094E-2</v>
      </c>
      <c r="X584" s="239">
        <v>7.6179362833499895E-2</v>
      </c>
      <c r="Y584" s="239">
        <v>7.9960107803344699E-2</v>
      </c>
    </row>
    <row r="585" spans="1:25">
      <c r="A585" s="235" t="s">
        <v>517</v>
      </c>
      <c r="B585" s="239">
        <v>674.73449707031295</v>
      </c>
      <c r="C585" s="239">
        <v>755.04119873046898</v>
      </c>
      <c r="D585" s="239">
        <v>832.575439453125</v>
      </c>
      <c r="E585" s="239">
        <v>835.91491699218795</v>
      </c>
      <c r="F585" s="239">
        <v>799.79382324218795</v>
      </c>
      <c r="G585" s="239">
        <v>776.22839355468795</v>
      </c>
      <c r="H585" s="239">
        <v>776.42120361328102</v>
      </c>
      <c r="I585" s="239">
        <v>780.16534423828102</v>
      </c>
      <c r="J585" s="239">
        <v>786.53894042968795</v>
      </c>
      <c r="K585" s="239">
        <v>799.64105224609398</v>
      </c>
      <c r="L585" s="239">
        <v>815.604736328125</v>
      </c>
      <c r="M585" s="239">
        <v>833.55230712890602</v>
      </c>
      <c r="N585" s="239">
        <v>853.91912841796898</v>
      </c>
      <c r="O585" s="239">
        <v>871.59820556640602</v>
      </c>
      <c r="P585" s="239">
        <v>885.38409423828102</v>
      </c>
      <c r="Q585" s="239">
        <v>902.396484375</v>
      </c>
      <c r="R585" s="239">
        <v>922.63482666015602</v>
      </c>
      <c r="S585" s="239">
        <v>945.03161621093795</v>
      </c>
      <c r="T585" s="239">
        <v>964.87060546875</v>
      </c>
      <c r="U585" s="239">
        <v>984.39581298828102</v>
      </c>
      <c r="V585" s="239">
        <v>1001.30047607422</v>
      </c>
      <c r="W585" s="239">
        <v>1018.58172607422</v>
      </c>
      <c r="X585" s="239">
        <v>1036.95935058594</v>
      </c>
      <c r="Y585" s="239">
        <v>1059.12915039063</v>
      </c>
    </row>
    <row r="586" spans="1:25">
      <c r="A586" s="275" t="s">
        <v>1077</v>
      </c>
      <c r="B586" s="239" t="s">
        <v>592</v>
      </c>
      <c r="C586" s="239"/>
      <c r="D586" s="239"/>
      <c r="E586" s="239"/>
      <c r="F586" s="239"/>
      <c r="G586" s="239"/>
      <c r="H586" s="239"/>
      <c r="I586" s="239"/>
      <c r="J586" s="239"/>
      <c r="K586" s="239"/>
      <c r="L586" s="239"/>
      <c r="M586" s="239"/>
      <c r="N586" s="239"/>
      <c r="O586" s="239"/>
      <c r="P586" s="239"/>
      <c r="Q586" s="239"/>
      <c r="R586" s="239"/>
      <c r="S586" s="239"/>
      <c r="T586" s="239"/>
      <c r="U586" s="239"/>
      <c r="V586" s="239"/>
      <c r="W586" s="239"/>
      <c r="X586" s="239"/>
      <c r="Y586" s="239"/>
    </row>
    <row r="587" spans="1:25">
      <c r="A587" s="264" t="s">
        <v>310</v>
      </c>
      <c r="B587" s="239" t="s">
        <v>592</v>
      </c>
      <c r="C587" s="239"/>
      <c r="D587" s="239"/>
      <c r="E587" s="239"/>
      <c r="F587" s="239"/>
      <c r="G587" s="239"/>
      <c r="H587" s="239"/>
      <c r="I587" s="239"/>
      <c r="J587" s="239"/>
      <c r="K587" s="239"/>
      <c r="L587" s="239"/>
      <c r="M587" s="239"/>
      <c r="N587" s="239"/>
      <c r="O587" s="239"/>
      <c r="P587" s="239"/>
      <c r="Q587" s="239"/>
      <c r="R587" s="239"/>
      <c r="S587" s="239"/>
      <c r="T587" s="239"/>
      <c r="U587" s="239"/>
      <c r="V587" s="239"/>
      <c r="W587" s="239"/>
      <c r="X587" s="239"/>
      <c r="Y587" s="239"/>
    </row>
    <row r="588" spans="1:25">
      <c r="A588" s="235" t="s">
        <v>439</v>
      </c>
      <c r="B588" s="239" t="s">
        <v>439</v>
      </c>
      <c r="C588" s="239" t="s">
        <v>439</v>
      </c>
      <c r="D588" s="239" t="s">
        <v>439</v>
      </c>
      <c r="E588" s="239" t="s">
        <v>439</v>
      </c>
      <c r="F588" s="239" t="s">
        <v>439</v>
      </c>
      <c r="G588" s="239" t="s">
        <v>439</v>
      </c>
      <c r="H588" s="239" t="s">
        <v>439</v>
      </c>
      <c r="I588" s="239" t="s">
        <v>439</v>
      </c>
      <c r="J588" s="239" t="s">
        <v>439</v>
      </c>
      <c r="K588" s="239" t="s">
        <v>439</v>
      </c>
      <c r="L588" s="239" t="s">
        <v>439</v>
      </c>
      <c r="M588" s="239" t="s">
        <v>439</v>
      </c>
      <c r="N588" s="239" t="s">
        <v>439</v>
      </c>
      <c r="O588" s="239" t="s">
        <v>439</v>
      </c>
      <c r="P588" s="239" t="s">
        <v>439</v>
      </c>
      <c r="Q588" s="239" t="s">
        <v>439</v>
      </c>
      <c r="R588" s="239" t="s">
        <v>439</v>
      </c>
      <c r="S588" s="239" t="s">
        <v>439</v>
      </c>
      <c r="T588" s="239" t="s">
        <v>439</v>
      </c>
      <c r="U588" s="239" t="s">
        <v>439</v>
      </c>
      <c r="V588" s="239" t="s">
        <v>439</v>
      </c>
      <c r="W588" s="239" t="s">
        <v>439</v>
      </c>
      <c r="X588" s="239" t="s">
        <v>439</v>
      </c>
      <c r="Y588" s="239" t="s">
        <v>439</v>
      </c>
    </row>
    <row r="589" spans="1:25">
      <c r="A589" s="235" t="s">
        <v>518</v>
      </c>
      <c r="B589" s="239"/>
      <c r="C589" s="239"/>
      <c r="D589" s="239"/>
      <c r="E589" s="239"/>
      <c r="F589" s="239"/>
      <c r="G589" s="239"/>
      <c r="H589" s="239"/>
      <c r="I589" s="239"/>
      <c r="J589" s="239"/>
      <c r="K589" s="239"/>
      <c r="L589" s="239"/>
      <c r="M589" s="239"/>
      <c r="N589" s="239"/>
      <c r="O589" s="239"/>
      <c r="P589" s="239"/>
      <c r="Q589" s="239"/>
      <c r="R589" s="239"/>
      <c r="S589" s="239"/>
      <c r="T589" s="239"/>
      <c r="U589" s="239"/>
      <c r="V589" s="239"/>
      <c r="W589" s="239"/>
      <c r="X589" s="239"/>
      <c r="Y589" s="239"/>
    </row>
    <row r="590" spans="1:25">
      <c r="A590" s="235" t="s">
        <v>519</v>
      </c>
      <c r="B590" s="239"/>
      <c r="C590" s="239"/>
      <c r="D590" s="239"/>
      <c r="E590" s="239"/>
      <c r="F590" s="239"/>
      <c r="G590" s="239"/>
      <c r="H590" s="239"/>
      <c r="I590" s="239"/>
      <c r="J590" s="239"/>
      <c r="K590" s="239"/>
      <c r="L590" s="239"/>
      <c r="M590" s="239"/>
      <c r="N590" s="239"/>
      <c r="O590" s="239"/>
      <c r="P590" s="239"/>
      <c r="Q590" s="239"/>
      <c r="R590" s="239"/>
      <c r="S590" s="239"/>
      <c r="T590" s="239"/>
      <c r="U590" s="239"/>
      <c r="V590" s="239"/>
      <c r="W590" s="239"/>
      <c r="X590" s="239"/>
      <c r="Y590" s="239"/>
    </row>
    <row r="591" spans="1:25">
      <c r="A591" s="235" t="s">
        <v>520</v>
      </c>
      <c r="B591" s="239"/>
      <c r="C591" s="239"/>
      <c r="D591" s="239"/>
      <c r="E591" s="239"/>
      <c r="F591" s="239"/>
      <c r="G591" s="239"/>
      <c r="H591" s="239"/>
      <c r="I591" s="239"/>
      <c r="J591" s="239"/>
      <c r="K591" s="239"/>
      <c r="L591" s="239"/>
      <c r="M591" s="239"/>
      <c r="N591" s="239"/>
      <c r="O591" s="239"/>
      <c r="P591" s="239"/>
      <c r="Q591" s="239"/>
      <c r="R591" s="239"/>
      <c r="S591" s="239"/>
      <c r="T591" s="239"/>
      <c r="U591" s="239"/>
      <c r="V591" s="239"/>
      <c r="W591" s="239"/>
      <c r="X591" s="239"/>
      <c r="Y591" s="239"/>
    </row>
    <row r="592" spans="1:25">
      <c r="A592" s="235" t="s">
        <v>521</v>
      </c>
      <c r="B592" s="239"/>
      <c r="C592" s="239"/>
      <c r="D592" s="239"/>
      <c r="E592" s="239"/>
      <c r="F592" s="239"/>
      <c r="G592" s="239"/>
      <c r="H592" s="239"/>
      <c r="I592" s="239"/>
      <c r="J592" s="239"/>
      <c r="K592" s="239"/>
      <c r="L592" s="239"/>
      <c r="M592" s="239"/>
      <c r="N592" s="239"/>
      <c r="O592" s="239"/>
      <c r="P592" s="239"/>
      <c r="Q592" s="239"/>
      <c r="R592" s="239"/>
      <c r="S592" s="239"/>
      <c r="T592" s="239"/>
      <c r="U592" s="239"/>
      <c r="V592" s="239"/>
      <c r="W592" s="239"/>
      <c r="X592" s="239"/>
      <c r="Y592" s="239"/>
    </row>
    <row r="593" spans="1:25">
      <c r="A593" s="235" t="s">
        <v>522</v>
      </c>
      <c r="B593" s="239"/>
      <c r="C593" s="239"/>
      <c r="D593" s="239"/>
      <c r="E593" s="239"/>
      <c r="F593" s="239"/>
      <c r="G593" s="239"/>
      <c r="H593" s="239"/>
      <c r="I593" s="239"/>
      <c r="J593" s="239"/>
      <c r="K593" s="239"/>
      <c r="L593" s="239"/>
      <c r="M593" s="239"/>
      <c r="N593" s="239"/>
      <c r="O593" s="239"/>
      <c r="P593" s="239"/>
      <c r="Q593" s="239"/>
      <c r="R593" s="239"/>
      <c r="S593" s="239"/>
      <c r="T593" s="239"/>
      <c r="U593" s="239"/>
      <c r="V593" s="239"/>
      <c r="W593" s="239"/>
      <c r="X593" s="239"/>
      <c r="Y593" s="239"/>
    </row>
    <row r="594" spans="1:25">
      <c r="A594" s="235" t="s">
        <v>523</v>
      </c>
      <c r="B594" s="239"/>
      <c r="C594" s="239"/>
      <c r="D594" s="239"/>
      <c r="E594" s="239"/>
      <c r="F594" s="239"/>
      <c r="G594" s="239"/>
      <c r="H594" s="239"/>
      <c r="I594" s="239"/>
      <c r="J594" s="239"/>
      <c r="K594" s="239"/>
      <c r="L594" s="239"/>
      <c r="M594" s="239"/>
      <c r="N594" s="239"/>
      <c r="O594" s="239"/>
      <c r="P594" s="239"/>
      <c r="Q594" s="239"/>
      <c r="R594" s="239"/>
      <c r="S594" s="239"/>
      <c r="T594" s="239"/>
      <c r="U594" s="239"/>
      <c r="V594" s="239"/>
      <c r="W594" s="239"/>
      <c r="X594" s="239"/>
      <c r="Y594" s="239"/>
    </row>
    <row r="595" spans="1:25">
      <c r="A595" s="235" t="s">
        <v>524</v>
      </c>
      <c r="B595" s="239"/>
      <c r="C595" s="239"/>
      <c r="D595" s="239"/>
      <c r="E595" s="239"/>
      <c r="F595" s="239"/>
      <c r="G595" s="239"/>
      <c r="H595" s="239"/>
      <c r="I595" s="239"/>
      <c r="J595" s="239"/>
      <c r="K595" s="239"/>
      <c r="L595" s="239"/>
      <c r="M595" s="239"/>
      <c r="N595" s="239"/>
      <c r="O595" s="239"/>
      <c r="P595" s="239"/>
      <c r="Q595" s="239"/>
      <c r="R595" s="239"/>
      <c r="S595" s="239"/>
      <c r="T595" s="239"/>
      <c r="U595" s="239"/>
      <c r="V595" s="239"/>
      <c r="W595" s="239"/>
      <c r="X595" s="239"/>
      <c r="Y595" s="239"/>
    </row>
    <row r="596" spans="1:25">
      <c r="A596" s="235" t="s">
        <v>525</v>
      </c>
      <c r="B596" s="239"/>
      <c r="C596" s="239"/>
      <c r="D596" s="239"/>
      <c r="E596" s="239"/>
      <c r="F596" s="239"/>
      <c r="G596" s="239"/>
      <c r="H596" s="239"/>
      <c r="I596" s="239"/>
      <c r="J596" s="239"/>
      <c r="K596" s="239"/>
      <c r="L596" s="239"/>
      <c r="M596" s="239"/>
      <c r="N596" s="239"/>
      <c r="O596" s="239"/>
      <c r="P596" s="239"/>
      <c r="Q596" s="239"/>
      <c r="R596" s="239"/>
      <c r="S596" s="239"/>
      <c r="T596" s="239"/>
      <c r="U596" s="239"/>
      <c r="V596" s="239"/>
      <c r="W596" s="239"/>
      <c r="X596" s="239"/>
      <c r="Y596" s="239"/>
    </row>
    <row r="597" spans="1:25">
      <c r="A597" s="235" t="s">
        <v>526</v>
      </c>
      <c r="B597" s="239"/>
      <c r="C597" s="239"/>
      <c r="D597" s="239"/>
      <c r="E597" s="239"/>
      <c r="F597" s="239"/>
      <c r="G597" s="239"/>
      <c r="H597" s="239"/>
      <c r="I597" s="239"/>
      <c r="J597" s="239"/>
      <c r="K597" s="239"/>
      <c r="L597" s="239"/>
      <c r="M597" s="239"/>
      <c r="N597" s="239"/>
      <c r="O597" s="239"/>
      <c r="P597" s="239"/>
      <c r="Q597" s="239"/>
      <c r="R597" s="239"/>
      <c r="S597" s="239"/>
      <c r="T597" s="239"/>
      <c r="U597" s="239"/>
      <c r="V597" s="239"/>
      <c r="W597" s="239"/>
      <c r="X597" s="239"/>
      <c r="Y597" s="239"/>
    </row>
    <row r="598" spans="1:25">
      <c r="A598" s="235" t="s">
        <v>531</v>
      </c>
      <c r="B598" s="239"/>
      <c r="C598" s="239"/>
      <c r="D598" s="239"/>
      <c r="E598" s="239"/>
      <c r="F598" s="239"/>
      <c r="G598" s="239"/>
      <c r="H598" s="239"/>
      <c r="I598" s="239"/>
      <c r="J598" s="239"/>
      <c r="K598" s="239"/>
      <c r="L598" s="239"/>
      <c r="M598" s="239"/>
      <c r="N598" s="239"/>
      <c r="O598" s="239"/>
      <c r="P598" s="239"/>
      <c r="Q598" s="239"/>
      <c r="R598" s="239"/>
      <c r="S598" s="239"/>
      <c r="T598" s="239"/>
      <c r="U598" s="239"/>
      <c r="V598" s="239"/>
      <c r="W598" s="239"/>
      <c r="X598" s="239"/>
      <c r="Y598" s="239"/>
    </row>
    <row r="599" spans="1:25">
      <c r="A599" s="235" t="s">
        <v>541</v>
      </c>
      <c r="B599" s="239"/>
      <c r="C599" s="239"/>
      <c r="D599" s="239"/>
      <c r="E599" s="239"/>
      <c r="F599" s="239"/>
      <c r="G599" s="239"/>
      <c r="H599" s="239"/>
      <c r="I599" s="239"/>
      <c r="J599" s="239"/>
      <c r="K599" s="239"/>
      <c r="L599" s="239"/>
      <c r="M599" s="239"/>
      <c r="N599" s="239"/>
      <c r="O599" s="239"/>
      <c r="P599" s="239"/>
      <c r="Q599" s="239"/>
      <c r="R599" s="239"/>
      <c r="S599" s="239"/>
      <c r="T599" s="239"/>
      <c r="U599" s="239"/>
      <c r="V599" s="239"/>
      <c r="W599" s="239"/>
      <c r="X599" s="239"/>
      <c r="Y599" s="239"/>
    </row>
    <row r="600" spans="1:25">
      <c r="A600" s="235" t="s">
        <v>542</v>
      </c>
      <c r="B600" s="239"/>
      <c r="C600" s="239"/>
      <c r="D600" s="239"/>
      <c r="E600" s="239"/>
      <c r="F600" s="239"/>
      <c r="G600" s="239"/>
      <c r="H600" s="239"/>
      <c r="I600" s="239"/>
      <c r="J600" s="239"/>
      <c r="K600" s="239"/>
      <c r="L600" s="239"/>
      <c r="M600" s="239"/>
      <c r="N600" s="239"/>
      <c r="O600" s="239"/>
      <c r="P600" s="239"/>
      <c r="Q600" s="239"/>
      <c r="R600" s="239"/>
      <c r="S600" s="239"/>
      <c r="T600" s="239"/>
      <c r="U600" s="239"/>
      <c r="V600" s="239"/>
      <c r="W600" s="239"/>
      <c r="X600" s="239"/>
      <c r="Y600" s="239"/>
    </row>
    <row r="601" spans="1:25">
      <c r="A601" s="235" t="s">
        <v>543</v>
      </c>
      <c r="B601" s="239"/>
      <c r="C601" s="239"/>
      <c r="D601" s="239"/>
      <c r="E601" s="239"/>
      <c r="F601" s="239"/>
      <c r="G601" s="239"/>
      <c r="H601" s="239"/>
      <c r="I601" s="239"/>
      <c r="J601" s="239"/>
      <c r="K601" s="239"/>
      <c r="L601" s="239"/>
      <c r="M601" s="239"/>
      <c r="N601" s="239"/>
      <c r="O601" s="239"/>
      <c r="P601" s="239"/>
      <c r="Q601" s="239"/>
      <c r="R601" s="239"/>
      <c r="S601" s="239"/>
      <c r="T601" s="239"/>
      <c r="U601" s="239"/>
      <c r="V601" s="239"/>
      <c r="W601" s="239"/>
      <c r="X601" s="239"/>
      <c r="Y601" s="239"/>
    </row>
    <row r="602" spans="1:25">
      <c r="A602" s="235" t="s">
        <v>544</v>
      </c>
      <c r="B602" s="239"/>
      <c r="C602" s="239"/>
      <c r="D602" s="239"/>
      <c r="E602" s="239"/>
      <c r="F602" s="239"/>
      <c r="G602" s="239"/>
      <c r="H602" s="239"/>
      <c r="I602" s="239"/>
      <c r="J602" s="239"/>
      <c r="K602" s="239"/>
      <c r="L602" s="239"/>
      <c r="M602" s="239"/>
      <c r="N602" s="239"/>
      <c r="O602" s="239"/>
      <c r="P602" s="239"/>
      <c r="Q602" s="239"/>
      <c r="R602" s="239"/>
      <c r="S602" s="239"/>
      <c r="T602" s="239"/>
      <c r="U602" s="239"/>
      <c r="V602" s="239"/>
      <c r="W602" s="239"/>
      <c r="X602" s="239"/>
      <c r="Y602" s="239"/>
    </row>
    <row r="603" spans="1:25">
      <c r="A603" s="235" t="s">
        <v>545</v>
      </c>
      <c r="B603" s="239"/>
      <c r="C603" s="239"/>
      <c r="D603" s="239"/>
      <c r="E603" s="239"/>
      <c r="F603" s="239"/>
      <c r="G603" s="239"/>
      <c r="H603" s="239"/>
      <c r="I603" s="239"/>
      <c r="J603" s="239"/>
      <c r="K603" s="239"/>
      <c r="L603" s="239"/>
      <c r="M603" s="239"/>
      <c r="N603" s="239"/>
      <c r="O603" s="239"/>
      <c r="P603" s="239"/>
      <c r="Q603" s="239"/>
      <c r="R603" s="239"/>
      <c r="S603" s="239"/>
      <c r="T603" s="239"/>
      <c r="U603" s="239"/>
      <c r="V603" s="239"/>
      <c r="W603" s="239"/>
      <c r="X603" s="239"/>
      <c r="Y603" s="239"/>
    </row>
    <row r="604" spans="1:25">
      <c r="A604" s="235" t="s">
        <v>546</v>
      </c>
      <c r="B604" s="239"/>
      <c r="C604" s="239"/>
      <c r="D604" s="239"/>
      <c r="E604" s="239"/>
      <c r="F604" s="239"/>
      <c r="G604" s="239"/>
      <c r="H604" s="239"/>
      <c r="I604" s="239"/>
      <c r="J604" s="239"/>
      <c r="K604" s="239"/>
      <c r="L604" s="239"/>
      <c r="M604" s="239"/>
      <c r="N604" s="239"/>
      <c r="O604" s="239"/>
      <c r="P604" s="239"/>
      <c r="Q604" s="239"/>
      <c r="R604" s="239"/>
      <c r="S604" s="239"/>
      <c r="T604" s="239"/>
      <c r="U604" s="239"/>
      <c r="V604" s="239"/>
      <c r="W604" s="239"/>
      <c r="X604" s="239"/>
      <c r="Y604" s="239"/>
    </row>
    <row r="605" spans="1:25">
      <c r="A605" s="235" t="s">
        <v>547</v>
      </c>
      <c r="B605" s="239"/>
      <c r="C605" s="239"/>
      <c r="D605" s="239"/>
      <c r="E605" s="239"/>
      <c r="F605" s="239"/>
      <c r="G605" s="239"/>
      <c r="H605" s="239"/>
      <c r="I605" s="239"/>
      <c r="J605" s="239"/>
      <c r="K605" s="239"/>
      <c r="L605" s="239"/>
      <c r="M605" s="239"/>
      <c r="N605" s="239"/>
      <c r="O605" s="239"/>
      <c r="P605" s="239"/>
      <c r="Q605" s="239"/>
      <c r="R605" s="239"/>
      <c r="S605" s="239"/>
      <c r="T605" s="239"/>
      <c r="U605" s="239"/>
      <c r="V605" s="239"/>
      <c r="W605" s="239"/>
      <c r="X605" s="239"/>
      <c r="Y605" s="239"/>
    </row>
    <row r="606" spans="1:25">
      <c r="A606" s="235" t="s">
        <v>551</v>
      </c>
      <c r="B606" s="239"/>
      <c r="C606" s="239"/>
      <c r="D606" s="239"/>
      <c r="E606" s="239"/>
      <c r="F606" s="239"/>
      <c r="G606" s="239"/>
      <c r="H606" s="239"/>
      <c r="I606" s="239"/>
      <c r="J606" s="239"/>
      <c r="K606" s="239"/>
      <c r="L606" s="239"/>
      <c r="M606" s="239"/>
      <c r="N606" s="239"/>
      <c r="O606" s="239"/>
      <c r="P606" s="239"/>
      <c r="Q606" s="239"/>
      <c r="R606" s="239"/>
      <c r="S606" s="239"/>
      <c r="T606" s="239"/>
      <c r="U606" s="239"/>
      <c r="V606" s="239"/>
      <c r="W606" s="239"/>
      <c r="X606" s="239"/>
      <c r="Y606" s="239"/>
    </row>
    <row r="607" spans="1:25">
      <c r="A607" s="235" t="s">
        <v>552</v>
      </c>
      <c r="B607" s="239"/>
      <c r="C607" s="239"/>
      <c r="D607" s="239"/>
      <c r="E607" s="239"/>
      <c r="F607" s="239"/>
      <c r="G607" s="239"/>
      <c r="H607" s="239"/>
      <c r="I607" s="239"/>
      <c r="J607" s="239"/>
      <c r="K607" s="239"/>
      <c r="L607" s="239"/>
      <c r="M607" s="239"/>
      <c r="N607" s="239"/>
      <c r="O607" s="239"/>
      <c r="P607" s="239"/>
      <c r="Q607" s="239"/>
      <c r="R607" s="239"/>
      <c r="S607" s="239"/>
      <c r="T607" s="239"/>
      <c r="U607" s="239"/>
      <c r="V607" s="239"/>
      <c r="W607" s="239"/>
      <c r="X607" s="239"/>
      <c r="Y607" s="239"/>
    </row>
    <row r="608" spans="1:25">
      <c r="A608" s="235" t="s">
        <v>553</v>
      </c>
      <c r="B608" s="239"/>
      <c r="C608" s="239"/>
      <c r="D608" s="239"/>
      <c r="E608" s="239"/>
      <c r="F608" s="239"/>
      <c r="G608" s="239"/>
      <c r="H608" s="239"/>
      <c r="I608" s="239"/>
      <c r="J608" s="239"/>
      <c r="K608" s="239"/>
      <c r="L608" s="239"/>
      <c r="M608" s="239"/>
      <c r="N608" s="239"/>
      <c r="O608" s="239"/>
      <c r="P608" s="239"/>
      <c r="Q608" s="239"/>
      <c r="R608" s="239"/>
      <c r="S608" s="239"/>
      <c r="T608" s="239"/>
      <c r="U608" s="239"/>
      <c r="V608" s="239"/>
      <c r="W608" s="239"/>
      <c r="X608" s="239"/>
      <c r="Y608" s="239"/>
    </row>
    <row r="609" spans="1:25">
      <c r="A609" s="235" t="s">
        <v>554</v>
      </c>
      <c r="B609" s="239"/>
      <c r="C609" s="239"/>
      <c r="D609" s="239"/>
      <c r="E609" s="239"/>
      <c r="F609" s="239"/>
      <c r="G609" s="239"/>
      <c r="H609" s="239"/>
      <c r="I609" s="239"/>
      <c r="J609" s="239"/>
      <c r="K609" s="239"/>
      <c r="L609" s="239"/>
      <c r="M609" s="239"/>
      <c r="N609" s="239"/>
      <c r="O609" s="239"/>
      <c r="P609" s="239"/>
      <c r="Q609" s="239"/>
      <c r="R609" s="239"/>
      <c r="S609" s="239"/>
      <c r="T609" s="239"/>
      <c r="U609" s="239"/>
      <c r="V609" s="239"/>
      <c r="W609" s="239"/>
      <c r="X609" s="239"/>
      <c r="Y609" s="239"/>
    </row>
    <row r="610" spans="1:25">
      <c r="A610" s="235" t="s">
        <v>555</v>
      </c>
      <c r="B610" s="239"/>
      <c r="C610" s="239"/>
      <c r="D610" s="239"/>
      <c r="E610" s="239"/>
      <c r="F610" s="239"/>
      <c r="G610" s="239"/>
      <c r="H610" s="239"/>
      <c r="I610" s="239"/>
      <c r="J610" s="239"/>
      <c r="K610" s="239"/>
      <c r="L610" s="239"/>
      <c r="M610" s="239"/>
      <c r="N610" s="239"/>
      <c r="O610" s="239"/>
      <c r="P610" s="239"/>
      <c r="Q610" s="239"/>
      <c r="R610" s="239"/>
      <c r="S610" s="239"/>
      <c r="T610" s="239"/>
      <c r="U610" s="239"/>
      <c r="V610" s="239"/>
      <c r="W610" s="239"/>
      <c r="X610" s="239"/>
      <c r="Y610" s="239"/>
    </row>
    <row r="611" spans="1:25">
      <c r="A611" s="235" t="s">
        <v>556</v>
      </c>
      <c r="B611" s="239"/>
      <c r="C611" s="239"/>
      <c r="D611" s="239"/>
      <c r="E611" s="239"/>
      <c r="F611" s="239"/>
      <c r="G611" s="239"/>
      <c r="H611" s="239"/>
      <c r="I611" s="239"/>
      <c r="J611" s="239"/>
      <c r="K611" s="239"/>
      <c r="L611" s="239"/>
      <c r="M611" s="239"/>
      <c r="N611" s="239"/>
      <c r="O611" s="239"/>
      <c r="P611" s="239"/>
      <c r="Q611" s="239"/>
      <c r="R611" s="239"/>
      <c r="S611" s="239"/>
      <c r="T611" s="239"/>
      <c r="U611" s="239"/>
      <c r="V611" s="239"/>
      <c r="W611" s="239"/>
      <c r="X611" s="239"/>
      <c r="Y611" s="239"/>
    </row>
    <row r="612" spans="1:25">
      <c r="A612" s="235" t="s">
        <v>557</v>
      </c>
      <c r="B612" s="239"/>
      <c r="C612" s="239"/>
      <c r="D612" s="239"/>
      <c r="E612" s="239"/>
      <c r="F612" s="239"/>
      <c r="G612" s="239"/>
      <c r="H612" s="239"/>
      <c r="I612" s="239"/>
      <c r="J612" s="239"/>
      <c r="K612" s="239"/>
      <c r="L612" s="239"/>
      <c r="M612" s="239"/>
      <c r="N612" s="239"/>
      <c r="O612" s="239"/>
      <c r="P612" s="239"/>
      <c r="Q612" s="239"/>
      <c r="R612" s="239"/>
      <c r="S612" s="239"/>
      <c r="T612" s="239"/>
      <c r="U612" s="239"/>
      <c r="V612" s="239"/>
      <c r="W612" s="239"/>
      <c r="X612" s="239"/>
      <c r="Y612" s="239"/>
    </row>
    <row r="613" spans="1:25">
      <c r="A613" s="235" t="s">
        <v>558</v>
      </c>
      <c r="B613" s="239"/>
      <c r="C613" s="239"/>
      <c r="D613" s="239"/>
      <c r="E613" s="239"/>
      <c r="F613" s="239"/>
      <c r="G613" s="239"/>
      <c r="H613" s="239"/>
      <c r="I613" s="239"/>
      <c r="J613" s="239"/>
      <c r="K613" s="239"/>
      <c r="L613" s="239"/>
      <c r="M613" s="239"/>
      <c r="N613" s="239"/>
      <c r="O613" s="239"/>
      <c r="P613" s="239"/>
      <c r="Q613" s="239"/>
      <c r="R613" s="239"/>
      <c r="S613" s="239"/>
      <c r="T613" s="239"/>
      <c r="U613" s="239"/>
      <c r="V613" s="239"/>
      <c r="W613" s="239"/>
      <c r="X613" s="239"/>
      <c r="Y613" s="239"/>
    </row>
    <row r="614" spans="1:25" ht="13.5" thickBot="1">
      <c r="A614" s="240" t="s">
        <v>559</v>
      </c>
      <c r="B614" s="241"/>
      <c r="C614" s="241"/>
      <c r="D614" s="241"/>
      <c r="E614" s="241"/>
      <c r="F614" s="241"/>
      <c r="G614" s="241"/>
      <c r="H614" s="241"/>
      <c r="I614" s="241"/>
      <c r="J614" s="241"/>
      <c r="K614" s="241"/>
      <c r="L614" s="241"/>
      <c r="M614" s="241"/>
      <c r="N614" s="241"/>
      <c r="O614" s="241"/>
      <c r="P614" s="241"/>
      <c r="Q614" s="241"/>
      <c r="R614" s="241"/>
      <c r="S614" s="241"/>
      <c r="T614" s="241"/>
      <c r="U614" s="241"/>
      <c r="V614" s="241"/>
      <c r="W614" s="241"/>
      <c r="X614" s="241"/>
      <c r="Y614" s="241"/>
    </row>
    <row r="617" spans="1:25" ht="13.5" thickBot="1"/>
    <row r="618" spans="1:25">
      <c r="A618" s="232" t="s">
        <v>560</v>
      </c>
      <c r="B618" s="233"/>
      <c r="C618" s="233" t="s">
        <v>857</v>
      </c>
      <c r="D618" s="233"/>
      <c r="E618" s="233"/>
      <c r="F618" s="233"/>
      <c r="G618" s="233"/>
      <c r="H618" s="233"/>
      <c r="I618" s="233"/>
      <c r="J618" s="233"/>
      <c r="K618" s="233"/>
      <c r="L618" s="233"/>
      <c r="M618" s="233"/>
      <c r="N618" s="233"/>
      <c r="O618" s="233"/>
      <c r="P618" s="233"/>
      <c r="Q618" s="233"/>
      <c r="R618" s="233"/>
      <c r="S618" s="233"/>
      <c r="T618" s="233"/>
      <c r="U618" s="233"/>
      <c r="V618" s="233"/>
      <c r="W618" s="233"/>
      <c r="X618" s="233"/>
      <c r="Y618" s="233"/>
    </row>
    <row r="619" spans="1:25">
      <c r="A619" s="242" t="s">
        <v>561</v>
      </c>
      <c r="B619" s="236"/>
      <c r="C619" s="1558" t="s">
        <v>862</v>
      </c>
      <c r="D619" s="1558"/>
      <c r="E619" s="1558"/>
      <c r="F619" s="1558"/>
      <c r="G619" s="1558"/>
      <c r="H619" s="1558"/>
      <c r="I619" s="1558"/>
      <c r="J619" s="1558"/>
      <c r="K619" s="1558"/>
      <c r="L619" s="1558"/>
      <c r="M619" s="1558"/>
      <c r="N619" s="1558"/>
      <c r="O619" s="1558"/>
      <c r="P619" s="1558"/>
      <c r="Q619" s="1558"/>
      <c r="R619" s="1558"/>
      <c r="S619" s="1558"/>
      <c r="T619" s="1558"/>
      <c r="U619" s="1558"/>
      <c r="V619" s="1558"/>
      <c r="W619" s="1558"/>
      <c r="X619" s="1558"/>
      <c r="Y619" s="1558"/>
    </row>
    <row r="620" spans="1:25">
      <c r="A620" s="235" t="s">
        <v>562</v>
      </c>
      <c r="B620" s="236"/>
      <c r="C620" s="1558" t="s">
        <v>863</v>
      </c>
      <c r="D620" s="1558"/>
      <c r="E620" s="1558"/>
      <c r="F620" s="1558"/>
      <c r="G620" s="1558"/>
      <c r="H620" s="1558"/>
      <c r="I620" s="1558"/>
      <c r="J620" s="1558"/>
      <c r="K620" s="1558"/>
      <c r="L620" s="1558"/>
      <c r="M620" s="1558"/>
      <c r="N620" s="1558"/>
      <c r="O620" s="1558"/>
      <c r="P620" s="1558"/>
      <c r="Q620" s="1558"/>
      <c r="R620" s="1558"/>
      <c r="S620" s="1558"/>
      <c r="T620" s="1558"/>
      <c r="U620" s="1558"/>
      <c r="V620" s="1558"/>
      <c r="W620" s="1558"/>
      <c r="X620" s="1558"/>
      <c r="Y620" s="1558"/>
    </row>
    <row r="621" spans="1:25">
      <c r="A621" s="237" t="s">
        <v>445</v>
      </c>
      <c r="B621" s="236"/>
      <c r="C621" s="236"/>
      <c r="D621" s="236"/>
      <c r="E621" s="236"/>
      <c r="F621" s="236"/>
      <c r="G621" s="236"/>
      <c r="H621" s="236"/>
      <c r="I621" s="236"/>
      <c r="J621" s="236"/>
      <c r="K621" s="236"/>
      <c r="L621" s="236"/>
      <c r="M621" s="236"/>
      <c r="N621" s="236"/>
      <c r="O621" s="236"/>
      <c r="P621" s="236"/>
      <c r="Q621" s="236"/>
      <c r="R621" s="236"/>
      <c r="S621" s="236"/>
      <c r="T621" s="236"/>
      <c r="U621" s="236"/>
      <c r="V621" s="236"/>
      <c r="W621" s="236"/>
      <c r="X621" s="236"/>
      <c r="Y621" s="236"/>
    </row>
    <row r="622" spans="1:25">
      <c r="A622" s="235"/>
      <c r="B622" s="236"/>
      <c r="C622" s="236"/>
      <c r="D622" s="236"/>
      <c r="E622" s="236"/>
      <c r="F622" s="236"/>
      <c r="G622" s="236"/>
      <c r="H622" s="236"/>
      <c r="I622" s="236"/>
      <c r="J622" s="236"/>
      <c r="K622" s="236"/>
      <c r="L622" s="236"/>
      <c r="M622" s="236"/>
      <c r="N622" s="236"/>
      <c r="O622" s="236"/>
      <c r="P622" s="236"/>
      <c r="Q622" s="236"/>
      <c r="R622" s="236"/>
      <c r="S622" s="236"/>
      <c r="T622" s="236"/>
      <c r="U622" s="236"/>
      <c r="V622" s="236"/>
      <c r="W622" s="236"/>
      <c r="X622" s="236"/>
      <c r="Y622" s="236"/>
    </row>
    <row r="623" spans="1:25">
      <c r="A623" s="235" t="s">
        <v>446</v>
      </c>
      <c r="B623" s="236"/>
      <c r="C623" s="236"/>
      <c r="D623" s="236"/>
      <c r="E623" s="236"/>
      <c r="F623" s="236"/>
      <c r="G623" s="236"/>
      <c r="H623" s="236"/>
      <c r="I623" s="236"/>
      <c r="J623" s="236"/>
      <c r="K623" s="236"/>
      <c r="L623" s="236"/>
      <c r="M623" s="236"/>
      <c r="N623" s="236"/>
      <c r="O623" s="236"/>
      <c r="P623" s="236"/>
      <c r="Q623" s="236"/>
      <c r="R623" s="236"/>
      <c r="S623" s="236"/>
      <c r="T623" s="236"/>
      <c r="U623" s="236"/>
      <c r="V623" s="236"/>
      <c r="W623" s="236"/>
      <c r="X623" s="236"/>
      <c r="Y623" s="236"/>
    </row>
    <row r="624" spans="1:25">
      <c r="A624" s="235" t="s">
        <v>447</v>
      </c>
      <c r="B624" s="236"/>
      <c r="C624" s="236"/>
      <c r="D624" s="236"/>
      <c r="E624" s="236"/>
      <c r="F624" s="236"/>
      <c r="G624" s="236"/>
      <c r="H624" s="236"/>
      <c r="I624" s="236"/>
      <c r="J624" s="236"/>
      <c r="K624" s="236"/>
      <c r="L624" s="236"/>
      <c r="M624" s="236"/>
      <c r="N624" s="236"/>
      <c r="O624" s="236"/>
      <c r="P624" s="236"/>
      <c r="Q624" s="236"/>
      <c r="R624" s="236"/>
      <c r="S624" s="236"/>
      <c r="T624" s="236"/>
      <c r="U624" s="236"/>
      <c r="V624" s="236"/>
      <c r="W624" s="236"/>
      <c r="X624" s="236"/>
      <c r="Y624" s="236"/>
    </row>
    <row r="625" spans="1:26">
      <c r="A625" s="235"/>
      <c r="B625" s="236"/>
      <c r="C625" s="236"/>
      <c r="D625" s="236"/>
      <c r="E625" s="236"/>
      <c r="F625" s="236"/>
      <c r="G625" s="236"/>
      <c r="H625" s="236"/>
      <c r="I625" s="236"/>
      <c r="J625" s="236"/>
      <c r="K625" s="236"/>
      <c r="L625" s="236"/>
      <c r="M625" s="236"/>
      <c r="N625" s="236"/>
      <c r="O625" s="236"/>
      <c r="P625" s="236"/>
      <c r="Q625" s="236"/>
      <c r="R625" s="236"/>
      <c r="S625" s="236"/>
      <c r="T625" s="236"/>
      <c r="U625" s="236"/>
      <c r="V625" s="236"/>
      <c r="W625" s="236"/>
      <c r="X625" s="236"/>
      <c r="Y625" s="236"/>
      <c r="Z625" t="s">
        <v>590</v>
      </c>
    </row>
    <row r="626" spans="1:26">
      <c r="A626" s="235" t="s">
        <v>439</v>
      </c>
      <c r="B626" s="236" t="s">
        <v>448</v>
      </c>
      <c r="C626" s="236" t="s">
        <v>449</v>
      </c>
      <c r="D626" s="236" t="s">
        <v>450</v>
      </c>
      <c r="E626" s="236" t="s">
        <v>451</v>
      </c>
      <c r="F626" s="236" t="s">
        <v>452</v>
      </c>
      <c r="G626" s="236" t="s">
        <v>453</v>
      </c>
      <c r="H626" s="236" t="s">
        <v>454</v>
      </c>
      <c r="I626" s="236" t="s">
        <v>455</v>
      </c>
      <c r="J626" s="236" t="s">
        <v>456</v>
      </c>
      <c r="K626" s="236" t="s">
        <v>457</v>
      </c>
      <c r="L626" s="236" t="s">
        <v>458</v>
      </c>
      <c r="M626" s="236" t="s">
        <v>459</v>
      </c>
      <c r="N626" s="236" t="s">
        <v>460</v>
      </c>
      <c r="O626" s="236" t="s">
        <v>461</v>
      </c>
      <c r="P626" s="236" t="s">
        <v>462</v>
      </c>
      <c r="Q626" s="236" t="s">
        <v>463</v>
      </c>
      <c r="R626" s="236" t="s">
        <v>464</v>
      </c>
      <c r="S626" s="236" t="s">
        <v>465</v>
      </c>
      <c r="T626" s="236" t="s">
        <v>466</v>
      </c>
      <c r="U626" s="236" t="s">
        <v>467</v>
      </c>
      <c r="V626" s="236" t="s">
        <v>468</v>
      </c>
      <c r="W626" s="236" t="s">
        <v>469</v>
      </c>
      <c r="X626" s="236" t="s">
        <v>470</v>
      </c>
      <c r="Y626" s="236" t="s">
        <v>471</v>
      </c>
      <c r="Z626">
        <v>2026</v>
      </c>
    </row>
    <row r="627" spans="1:26">
      <c r="A627" s="235" t="s">
        <v>439</v>
      </c>
      <c r="B627" s="236" t="s">
        <v>439</v>
      </c>
      <c r="C627" s="236" t="s">
        <v>439</v>
      </c>
      <c r="D627" s="236" t="s">
        <v>439</v>
      </c>
      <c r="E627" s="236" t="s">
        <v>439</v>
      </c>
      <c r="F627" s="236" t="s">
        <v>439</v>
      </c>
      <c r="G627" s="236" t="s">
        <v>439</v>
      </c>
      <c r="H627" s="236" t="s">
        <v>439</v>
      </c>
      <c r="I627" s="236" t="s">
        <v>439</v>
      </c>
      <c r="J627" s="236" t="s">
        <v>439</v>
      </c>
      <c r="K627" s="236" t="s">
        <v>439</v>
      </c>
      <c r="L627" s="236" t="s">
        <v>439</v>
      </c>
      <c r="M627" s="236" t="s">
        <v>439</v>
      </c>
      <c r="N627" s="236" t="s">
        <v>439</v>
      </c>
      <c r="O627" s="236" t="s">
        <v>439</v>
      </c>
      <c r="P627" s="236" t="s">
        <v>439</v>
      </c>
      <c r="Q627" s="236" t="s">
        <v>439</v>
      </c>
      <c r="R627" s="236" t="s">
        <v>439</v>
      </c>
      <c r="S627" s="236" t="s">
        <v>439</v>
      </c>
      <c r="T627" s="236" t="s">
        <v>439</v>
      </c>
      <c r="U627" s="236" t="s">
        <v>439</v>
      </c>
      <c r="V627" s="236" t="s">
        <v>439</v>
      </c>
      <c r="W627" s="236" t="s">
        <v>439</v>
      </c>
      <c r="X627" s="236" t="s">
        <v>439</v>
      </c>
      <c r="Y627" s="236" t="s">
        <v>439</v>
      </c>
    </row>
    <row r="628" spans="1:26">
      <c r="A628" s="235" t="s">
        <v>472</v>
      </c>
      <c r="B628" s="239">
        <v>15.0220499038696</v>
      </c>
      <c r="C628" s="239">
        <v>15.811363220214799</v>
      </c>
      <c r="D628" s="239">
        <v>16.426000595092798</v>
      </c>
      <c r="E628" s="239">
        <v>16.4650573730469</v>
      </c>
      <c r="F628" s="239">
        <v>15.8399600982666</v>
      </c>
      <c r="G628" s="239">
        <v>15.268068313598601</v>
      </c>
      <c r="H628" s="239">
        <v>14.8466091156006</v>
      </c>
      <c r="I628" s="239">
        <v>14.7514638900757</v>
      </c>
      <c r="J628" s="239">
        <v>14.6550188064575</v>
      </c>
      <c r="K628" s="239">
        <v>14.6146650314331</v>
      </c>
      <c r="L628" s="239">
        <v>14.723385810852101</v>
      </c>
      <c r="M628" s="239">
        <v>14.890528678894</v>
      </c>
      <c r="N628" s="239">
        <v>15.1057291030884</v>
      </c>
      <c r="O628" s="239">
        <v>15.213768959045399</v>
      </c>
      <c r="P628" s="239">
        <v>15.3079509735107</v>
      </c>
      <c r="Q628" s="239">
        <v>15.3113193511963</v>
      </c>
      <c r="R628" s="239">
        <v>15.4291744232178</v>
      </c>
      <c r="S628" s="239">
        <v>15.6326360702515</v>
      </c>
      <c r="T628" s="239">
        <v>15.9024982452393</v>
      </c>
      <c r="U628" s="239">
        <v>16.1096382141113</v>
      </c>
      <c r="V628" s="239">
        <v>16.157627105712901</v>
      </c>
      <c r="W628" s="239">
        <v>16.2051906585693</v>
      </c>
      <c r="X628" s="239">
        <v>16.309419631958001</v>
      </c>
      <c r="Y628" s="239">
        <v>16.471462249755898</v>
      </c>
    </row>
    <row r="629" spans="1:26">
      <c r="A629" s="235" t="s">
        <v>473</v>
      </c>
      <c r="B629" s="239">
        <v>8.3285751342773402</v>
      </c>
      <c r="C629" s="239">
        <v>9.67810153961182</v>
      </c>
      <c r="D629" s="239">
        <v>10.65163230896</v>
      </c>
      <c r="E629" s="239">
        <v>10.5740642547607</v>
      </c>
      <c r="F629" s="239">
        <v>9.9307842254638707</v>
      </c>
      <c r="G629" s="239">
        <v>9.5159215927124006</v>
      </c>
      <c r="H629" s="239">
        <v>9.1046285629272496</v>
      </c>
      <c r="I629" s="239">
        <v>8.8910932540893608</v>
      </c>
      <c r="J629" s="239">
        <v>8.7197055816650408</v>
      </c>
      <c r="K629" s="239">
        <v>8.6297874450683594</v>
      </c>
      <c r="L629" s="239">
        <v>8.6824674606323207</v>
      </c>
      <c r="M629" s="239">
        <v>8.7884712219238299</v>
      </c>
      <c r="N629" s="239">
        <v>8.9080095291137695</v>
      </c>
      <c r="O629" s="239">
        <v>9.0072793960571307</v>
      </c>
      <c r="P629" s="239">
        <v>9.0682640075683594</v>
      </c>
      <c r="Q629" s="239">
        <v>9.0415534973144496</v>
      </c>
      <c r="R629" s="239">
        <v>9.1060371398925799</v>
      </c>
      <c r="S629" s="239">
        <v>9.2553215026855504</v>
      </c>
      <c r="T629" s="239">
        <v>9.4607038497924805</v>
      </c>
      <c r="U629" s="239">
        <v>9.6327857971191406</v>
      </c>
      <c r="V629" s="239">
        <v>9.6968526840209996</v>
      </c>
      <c r="W629" s="239">
        <v>9.7728433609008807</v>
      </c>
      <c r="X629" s="239">
        <v>9.8535881042480504</v>
      </c>
      <c r="Y629" s="239">
        <v>9.9786624908447301</v>
      </c>
    </row>
    <row r="630" spans="1:26">
      <c r="A630" s="235" t="s">
        <v>474</v>
      </c>
      <c r="B630" s="239">
        <v>10.0436496734619</v>
      </c>
      <c r="C630" s="239">
        <v>11.266843795776399</v>
      </c>
      <c r="D630" s="239">
        <v>13.0600233078003</v>
      </c>
      <c r="E630" s="239">
        <v>12.5262851715088</v>
      </c>
      <c r="F630" s="239">
        <v>12.207064628601101</v>
      </c>
      <c r="G630" s="239">
        <v>12.234001159668001</v>
      </c>
      <c r="H630" s="239">
        <v>12.201937675476101</v>
      </c>
      <c r="I630" s="239">
        <v>12.2015285491943</v>
      </c>
      <c r="J630" s="239">
        <v>12.262092590331999</v>
      </c>
      <c r="K630" s="239">
        <v>12.1512393951416</v>
      </c>
      <c r="L630" s="239">
        <v>12.1732091903687</v>
      </c>
      <c r="M630" s="239">
        <v>12.1968584060669</v>
      </c>
      <c r="N630" s="239">
        <v>12.177050590515099</v>
      </c>
      <c r="O630" s="239">
        <v>12.2115392684937</v>
      </c>
      <c r="P630" s="239">
        <v>12.3804988861084</v>
      </c>
      <c r="Q630" s="239">
        <v>12.519121170043899</v>
      </c>
      <c r="R630" s="239">
        <v>12.6585578918457</v>
      </c>
      <c r="S630" s="239">
        <v>12.798875808715801</v>
      </c>
      <c r="T630" s="239">
        <v>12.8676557540894</v>
      </c>
      <c r="U630" s="239">
        <v>13.13560962677</v>
      </c>
      <c r="V630" s="239">
        <v>13.328717231750501</v>
      </c>
      <c r="W630" s="239">
        <v>13.556846618652299</v>
      </c>
      <c r="X630" s="239">
        <v>13.722979545593301</v>
      </c>
      <c r="Y630" s="239">
        <v>13.940701484680201</v>
      </c>
    </row>
    <row r="631" spans="1:26">
      <c r="A631" s="235" t="s">
        <v>475</v>
      </c>
      <c r="B631" s="239">
        <v>8.3698368072509801</v>
      </c>
      <c r="C631" s="239">
        <v>9.5702075958252006</v>
      </c>
      <c r="D631" s="239">
        <v>10.537187576293899</v>
      </c>
      <c r="E631" s="239">
        <v>10.120927810668899</v>
      </c>
      <c r="F631" s="239">
        <v>9.8627185821533203</v>
      </c>
      <c r="G631" s="239">
        <v>9.8399791717529297</v>
      </c>
      <c r="H631" s="239">
        <v>9.8302927017211896</v>
      </c>
      <c r="I631" s="239">
        <v>9.8297405242919904</v>
      </c>
      <c r="J631" s="239">
        <v>9.8252134323120099</v>
      </c>
      <c r="K631" s="239">
        <v>9.7093524932861293</v>
      </c>
      <c r="L631" s="239">
        <v>9.7021694183349592</v>
      </c>
      <c r="M631" s="239">
        <v>9.7383060455322301</v>
      </c>
      <c r="N631" s="239">
        <v>9.80072116851807</v>
      </c>
      <c r="O631" s="239">
        <v>9.7244081497192401</v>
      </c>
      <c r="P631" s="239">
        <v>9.8378829956054705</v>
      </c>
      <c r="Q631" s="239">
        <v>9.8340024948120099</v>
      </c>
      <c r="R631" s="239">
        <v>9.9226865768432599</v>
      </c>
      <c r="S631" s="239">
        <v>10.0213985443115</v>
      </c>
      <c r="T631" s="239">
        <v>10.078977584838899</v>
      </c>
      <c r="U631" s="239">
        <v>10.280327796936</v>
      </c>
      <c r="V631" s="239">
        <v>10.3802833557129</v>
      </c>
      <c r="W631" s="239">
        <v>10.4678192138672</v>
      </c>
      <c r="X631" s="239">
        <v>10.5482635498047</v>
      </c>
      <c r="Y631" s="239">
        <v>10.6469841003418</v>
      </c>
    </row>
    <row r="632" spans="1:26">
      <c r="A632" s="235" t="s">
        <v>476</v>
      </c>
      <c r="B632" s="239">
        <v>12.976583480835</v>
      </c>
      <c r="C632" s="239">
        <v>14.582922935485801</v>
      </c>
      <c r="D632" s="239">
        <v>17.570188522338899</v>
      </c>
      <c r="E632" s="239">
        <v>17.073205947876001</v>
      </c>
      <c r="F632" s="239">
        <v>16.564285278320298</v>
      </c>
      <c r="G632" s="239">
        <v>16.581449508666999</v>
      </c>
      <c r="H632" s="239">
        <v>16.4250888824463</v>
      </c>
      <c r="I632" s="239">
        <v>16.346086502075199</v>
      </c>
      <c r="J632" s="239">
        <v>16.4532871246338</v>
      </c>
      <c r="K632" s="239">
        <v>16.288703918456999</v>
      </c>
      <c r="L632" s="239">
        <v>16.298521041870099</v>
      </c>
      <c r="M632" s="239">
        <v>16.236286163330099</v>
      </c>
      <c r="N632" s="239">
        <v>15.99489402771</v>
      </c>
      <c r="O632" s="239">
        <v>16.1197624206543</v>
      </c>
      <c r="P632" s="239">
        <v>16.286623001098601</v>
      </c>
      <c r="Q632" s="239">
        <v>16.56103515625</v>
      </c>
      <c r="R632" s="239">
        <v>16.690963745117202</v>
      </c>
      <c r="S632" s="239">
        <v>16.804660797119102</v>
      </c>
      <c r="T632" s="239">
        <v>16.7820129394531</v>
      </c>
      <c r="U632" s="239">
        <v>17.028240203857401</v>
      </c>
      <c r="V632" s="239">
        <v>17.2251377105713</v>
      </c>
      <c r="W632" s="239">
        <v>17.515983581543001</v>
      </c>
      <c r="X632" s="239">
        <v>17.670423507690401</v>
      </c>
      <c r="Y632" s="239">
        <v>17.9113578796387</v>
      </c>
    </row>
    <row r="633" spans="1:26">
      <c r="A633" s="235" t="s">
        <v>477</v>
      </c>
      <c r="B633" s="239">
        <v>7.8179483413696298</v>
      </c>
      <c r="C633" s="239">
        <v>9.2187824249267596</v>
      </c>
      <c r="D633" s="239">
        <v>9.9373655319213903</v>
      </c>
      <c r="E633" s="239">
        <v>10.036292076110801</v>
      </c>
      <c r="F633" s="239">
        <v>9.3139858245849592</v>
      </c>
      <c r="G633" s="239">
        <v>8.7959203720092791</v>
      </c>
      <c r="H633" s="239">
        <v>8.3035001754760707</v>
      </c>
      <c r="I633" s="239">
        <v>8.0470056533813494</v>
      </c>
      <c r="J633" s="239">
        <v>7.8287873268127397</v>
      </c>
      <c r="K633" s="239">
        <v>7.7531881332397496</v>
      </c>
      <c r="L633" s="239">
        <v>7.8190288543701199</v>
      </c>
      <c r="M633" s="239">
        <v>7.9488449096679696</v>
      </c>
      <c r="N633" s="239">
        <v>8.1063919067382795</v>
      </c>
      <c r="O633" s="239">
        <v>8.2242641448974592</v>
      </c>
      <c r="P633" s="239">
        <v>8.2648267745971697</v>
      </c>
      <c r="Q633" s="239">
        <v>8.2073183059692401</v>
      </c>
      <c r="R633" s="239">
        <v>8.2647809982299805</v>
      </c>
      <c r="S633" s="239">
        <v>8.4262142181396502</v>
      </c>
      <c r="T633" s="239">
        <v>8.6721630096435494</v>
      </c>
      <c r="U633" s="239">
        <v>8.83197021484375</v>
      </c>
      <c r="V633" s="239">
        <v>8.8790025711059606</v>
      </c>
      <c r="W633" s="239">
        <v>8.93493747711182</v>
      </c>
      <c r="X633" s="239">
        <v>9.0109558105468803</v>
      </c>
      <c r="Y633" s="239">
        <v>9.1305398941040004</v>
      </c>
    </row>
    <row r="634" spans="1:26">
      <c r="A634" s="235" t="s">
        <v>478</v>
      </c>
      <c r="B634" s="239">
        <v>25.222642898559599</v>
      </c>
      <c r="C634" s="239">
        <v>25.415189743041999</v>
      </c>
      <c r="D634" s="239">
        <v>25.1915378570557</v>
      </c>
      <c r="E634" s="239">
        <v>25.148117065429702</v>
      </c>
      <c r="F634" s="239">
        <v>24.4542636871338</v>
      </c>
      <c r="G634" s="239">
        <v>23.578901290893601</v>
      </c>
      <c r="H634" s="239">
        <v>23.091381072998001</v>
      </c>
      <c r="I634" s="239">
        <v>23.1348171234131</v>
      </c>
      <c r="J634" s="239">
        <v>23.120912551879901</v>
      </c>
      <c r="K634" s="239">
        <v>23.118898391723601</v>
      </c>
      <c r="L634" s="239">
        <v>23.2529602050781</v>
      </c>
      <c r="M634" s="239">
        <v>23.4250183105469</v>
      </c>
      <c r="N634" s="239">
        <v>23.684103012085</v>
      </c>
      <c r="O634" s="239">
        <v>23.7079162597656</v>
      </c>
      <c r="P634" s="239">
        <v>23.7613220214844</v>
      </c>
      <c r="Q634" s="239">
        <v>23.722099304199201</v>
      </c>
      <c r="R634" s="239">
        <v>23.8309440612793</v>
      </c>
      <c r="S634" s="239">
        <v>24.013486862182599</v>
      </c>
      <c r="T634" s="239">
        <v>24.267650604248001</v>
      </c>
      <c r="U634" s="239">
        <v>24.4126377105713</v>
      </c>
      <c r="V634" s="239">
        <v>24.3365364074707</v>
      </c>
      <c r="W634" s="239">
        <v>24.2477512359619</v>
      </c>
      <c r="X634" s="239">
        <v>24.2885627746582</v>
      </c>
      <c r="Y634" s="239">
        <v>24.396659851074201</v>
      </c>
    </row>
    <row r="635" spans="1:26">
      <c r="A635" s="235" t="s">
        <v>439</v>
      </c>
      <c r="B635" s="239" t="s">
        <v>439</v>
      </c>
      <c r="C635" s="239" t="s">
        <v>439</v>
      </c>
      <c r="D635" s="239" t="s">
        <v>439</v>
      </c>
      <c r="E635" s="239" t="s">
        <v>439</v>
      </c>
      <c r="F635" s="239" t="s">
        <v>439</v>
      </c>
      <c r="G635" s="239" t="s">
        <v>439</v>
      </c>
      <c r="H635" s="239" t="s">
        <v>439</v>
      </c>
      <c r="I635" s="239" t="s">
        <v>439</v>
      </c>
      <c r="J635" s="239" t="s">
        <v>439</v>
      </c>
      <c r="K635" s="239" t="s">
        <v>439</v>
      </c>
      <c r="L635" s="239" t="s">
        <v>439</v>
      </c>
      <c r="M635" s="239" t="s">
        <v>439</v>
      </c>
      <c r="N635" s="239" t="s">
        <v>439</v>
      </c>
      <c r="O635" s="239" t="s">
        <v>439</v>
      </c>
      <c r="P635" s="239" t="s">
        <v>439</v>
      </c>
      <c r="Q635" s="239" t="s">
        <v>439</v>
      </c>
      <c r="R635" s="239" t="s">
        <v>439</v>
      </c>
      <c r="S635" s="239" t="s">
        <v>439</v>
      </c>
      <c r="T635" s="239" t="s">
        <v>439</v>
      </c>
      <c r="U635" s="239" t="s">
        <v>439</v>
      </c>
      <c r="V635" s="239" t="s">
        <v>439</v>
      </c>
      <c r="W635" s="239" t="s">
        <v>439</v>
      </c>
      <c r="X635" s="239" t="s">
        <v>439</v>
      </c>
      <c r="Y635" s="239" t="s">
        <v>439</v>
      </c>
    </row>
    <row r="636" spans="1:26">
      <c r="A636" s="235" t="s">
        <v>479</v>
      </c>
      <c r="B636" s="239">
        <v>15.064169883728001</v>
      </c>
      <c r="C636" s="239">
        <v>15.629265785217299</v>
      </c>
      <c r="D636" s="239">
        <v>15.835695266723601</v>
      </c>
      <c r="E636" s="239">
        <v>15.918652534484901</v>
      </c>
      <c r="F636" s="239">
        <v>15.2065124511719</v>
      </c>
      <c r="G636" s="239">
        <v>14.526217460632299</v>
      </c>
      <c r="H636" s="239">
        <v>14.119109153747599</v>
      </c>
      <c r="I636" s="239">
        <v>14.0872592926025</v>
      </c>
      <c r="J636" s="239">
        <v>14.0534925460815</v>
      </c>
      <c r="K636" s="239">
        <v>14.108097076416</v>
      </c>
      <c r="L636" s="239">
        <v>14.338217735290501</v>
      </c>
      <c r="M636" s="239">
        <v>14.584888458251999</v>
      </c>
      <c r="N636" s="239">
        <v>14.9309749603271</v>
      </c>
      <c r="O636" s="239">
        <v>15.096228599548301</v>
      </c>
      <c r="P636" s="239">
        <v>15.2413949966431</v>
      </c>
      <c r="Q636" s="239">
        <v>15.255002975463899</v>
      </c>
      <c r="R636" s="239">
        <v>15.399823188781699</v>
      </c>
      <c r="S636" s="239">
        <v>15.6329202651978</v>
      </c>
      <c r="T636" s="239">
        <v>15.9477081298828</v>
      </c>
      <c r="U636" s="239">
        <v>16.179660797119102</v>
      </c>
      <c r="V636" s="239">
        <v>16.227045059204102</v>
      </c>
      <c r="W636" s="239">
        <v>16.249193191528299</v>
      </c>
      <c r="X636" s="239">
        <v>16.367641448974599</v>
      </c>
      <c r="Y636" s="239">
        <v>16.5326118469238</v>
      </c>
    </row>
    <row r="637" spans="1:26">
      <c r="A637" s="235" t="s">
        <v>473</v>
      </c>
      <c r="B637" s="239">
        <v>6.5697088241577104</v>
      </c>
      <c r="C637" s="239">
        <v>7.9157042503356898</v>
      </c>
      <c r="D637" s="239">
        <v>8.3734045028686506</v>
      </c>
      <c r="E637" s="239">
        <v>8.3685989379882795</v>
      </c>
      <c r="F637" s="239">
        <v>7.9054894447326696</v>
      </c>
      <c r="G637" s="239">
        <v>7.6067800521850604</v>
      </c>
      <c r="H637" s="239">
        <v>7.3189792633056596</v>
      </c>
      <c r="I637" s="239">
        <v>7.2159371376037598</v>
      </c>
      <c r="J637" s="239">
        <v>7.1498117446899396</v>
      </c>
      <c r="K637" s="239">
        <v>7.1872353553771999</v>
      </c>
      <c r="L637" s="239">
        <v>7.2290387153625497</v>
      </c>
      <c r="M637" s="239">
        <v>7.30631303787231</v>
      </c>
      <c r="N637" s="239">
        <v>7.4108529090881303</v>
      </c>
      <c r="O637" s="239">
        <v>7.4683656692504901</v>
      </c>
      <c r="P637" s="239">
        <v>7.4930505752563503</v>
      </c>
      <c r="Q637" s="239">
        <v>7.43192434310913</v>
      </c>
      <c r="R637" s="239">
        <v>7.4779849052429199</v>
      </c>
      <c r="S637" s="239">
        <v>7.60019826889038</v>
      </c>
      <c r="T637" s="239">
        <v>7.7867598533630398</v>
      </c>
      <c r="U637" s="239">
        <v>7.91162109375</v>
      </c>
      <c r="V637" s="239">
        <v>7.9430484771728498</v>
      </c>
      <c r="W637" s="239">
        <v>7.9890594482421902</v>
      </c>
      <c r="X637" s="239">
        <v>8.0587644577026403</v>
      </c>
      <c r="Y637" s="239">
        <v>8.1779403686523402</v>
      </c>
    </row>
    <row r="638" spans="1:26">
      <c r="A638" s="235" t="s">
        <v>474</v>
      </c>
      <c r="B638" s="239">
        <v>6.9482707977294904</v>
      </c>
      <c r="C638" s="239">
        <v>8.0266513824462908</v>
      </c>
      <c r="D638" s="239">
        <v>8.9197740554809606</v>
      </c>
      <c r="E638" s="239">
        <v>8.6532411575317401</v>
      </c>
      <c r="F638" s="239">
        <v>8.7558631896972692</v>
      </c>
      <c r="G638" s="239">
        <v>8.8328323364257795</v>
      </c>
      <c r="H638" s="239">
        <v>8.8167963027954102</v>
      </c>
      <c r="I638" s="239">
        <v>8.8182945251464808</v>
      </c>
      <c r="J638" s="239">
        <v>8.8873138427734393</v>
      </c>
      <c r="K638" s="239">
        <v>8.9125509262084996</v>
      </c>
      <c r="L638" s="239">
        <v>8.9192247390747106</v>
      </c>
      <c r="M638" s="239">
        <v>8.8803482055664098</v>
      </c>
      <c r="N638" s="239">
        <v>8.8586578369140607</v>
      </c>
      <c r="O638" s="239">
        <v>8.7692289352416992</v>
      </c>
      <c r="P638" s="239">
        <v>8.7682600021362305</v>
      </c>
      <c r="Q638" s="239">
        <v>8.7373514175415004</v>
      </c>
      <c r="R638" s="239">
        <v>8.7862501144409197</v>
      </c>
      <c r="S638" s="239">
        <v>8.8491783142089808</v>
      </c>
      <c r="T638" s="239">
        <v>8.8908815383911097</v>
      </c>
      <c r="U638" s="239">
        <v>9.0514831542968803</v>
      </c>
      <c r="V638" s="239">
        <v>9.1475715637206996</v>
      </c>
      <c r="W638" s="239">
        <v>9.2663307189941406</v>
      </c>
      <c r="X638" s="239">
        <v>9.3906812667846697</v>
      </c>
      <c r="Y638" s="239">
        <v>9.6513500213622994</v>
      </c>
    </row>
    <row r="639" spans="1:26">
      <c r="A639" s="235" t="s">
        <v>475</v>
      </c>
      <c r="B639" s="239">
        <v>6.1493649482727104</v>
      </c>
      <c r="C639" s="239">
        <v>7.03082323074341</v>
      </c>
      <c r="D639" s="239">
        <v>7.7272830009460396</v>
      </c>
      <c r="E639" s="239">
        <v>7.4210705757141104</v>
      </c>
      <c r="F639" s="239">
        <v>7.6805524826049796</v>
      </c>
      <c r="G639" s="239">
        <v>7.8215904235839799</v>
      </c>
      <c r="H639" s="239">
        <v>7.8266153335571298</v>
      </c>
      <c r="I639" s="239">
        <v>7.8668313026428196</v>
      </c>
      <c r="J639" s="239">
        <v>7.9658513069152797</v>
      </c>
      <c r="K639" s="239">
        <v>8.0328092575073207</v>
      </c>
      <c r="L639" s="239">
        <v>8.0569534301757795</v>
      </c>
      <c r="M639" s="239">
        <v>8.0234899520874006</v>
      </c>
      <c r="N639" s="239">
        <v>8.0314903259277308</v>
      </c>
      <c r="O639" s="239">
        <v>7.91062688827515</v>
      </c>
      <c r="P639" s="239">
        <v>7.8695487976074201</v>
      </c>
      <c r="Q639" s="239">
        <v>7.7933855056762704</v>
      </c>
      <c r="R639" s="239">
        <v>7.8344025611877397</v>
      </c>
      <c r="S639" s="239">
        <v>7.89571285247803</v>
      </c>
      <c r="T639" s="239">
        <v>7.9562859535217303</v>
      </c>
      <c r="U639" s="239">
        <v>8.1191616058349592</v>
      </c>
      <c r="V639" s="239">
        <v>8.2043952941894496</v>
      </c>
      <c r="W639" s="239">
        <v>8.3111848831176793</v>
      </c>
      <c r="X639" s="239">
        <v>8.4434480667114293</v>
      </c>
      <c r="Y639" s="239">
        <v>8.7515277862548793</v>
      </c>
    </row>
    <row r="640" spans="1:26">
      <c r="A640" s="235" t="s">
        <v>480</v>
      </c>
      <c r="B640" s="239">
        <v>4.2683343887329102</v>
      </c>
      <c r="C640" s="239">
        <v>4.9646224975585902</v>
      </c>
      <c r="D640" s="239">
        <v>5.0606441497802699</v>
      </c>
      <c r="E640" s="239">
        <v>5.3499693870544398</v>
      </c>
      <c r="F640" s="239">
        <v>5.6657009124755904</v>
      </c>
      <c r="G640" s="239">
        <v>5.6566004753112802</v>
      </c>
      <c r="H640" s="239">
        <v>5.6533966064453098</v>
      </c>
      <c r="I640" s="239">
        <v>5.65053033828735</v>
      </c>
      <c r="J640" s="239">
        <v>5.6487455368042001</v>
      </c>
      <c r="K640" s="239">
        <v>5.6555466651916504</v>
      </c>
      <c r="L640" s="239">
        <v>5.6602473258972203</v>
      </c>
      <c r="M640" s="239">
        <v>5.6679368019104004</v>
      </c>
      <c r="N640" s="239">
        <v>5.6729874610900897</v>
      </c>
      <c r="O640" s="239">
        <v>5.6782984733581499</v>
      </c>
      <c r="P640" s="239">
        <v>5.7556295394897496</v>
      </c>
      <c r="Q640" s="239">
        <v>5.8296666145324698</v>
      </c>
      <c r="R640" s="239">
        <v>5.9058866500854501</v>
      </c>
      <c r="S640" s="239">
        <v>5.9829258918762198</v>
      </c>
      <c r="T640" s="239">
        <v>6.0580596923828098</v>
      </c>
      <c r="U640" s="239">
        <v>6.1354246139526403</v>
      </c>
      <c r="V640" s="239">
        <v>6.2122497558593803</v>
      </c>
      <c r="W640" s="239">
        <v>6.2891340255737296</v>
      </c>
      <c r="X640" s="239">
        <v>6.3645572662353498</v>
      </c>
      <c r="Y640" s="239">
        <v>6.4413762092590297</v>
      </c>
    </row>
    <row r="641" spans="1:26">
      <c r="A641" s="257" t="s">
        <v>477</v>
      </c>
      <c r="B641" s="239">
        <v>6.6170339584350604</v>
      </c>
      <c r="C641" s="239">
        <v>8.0769119262695295</v>
      </c>
      <c r="D641" s="239">
        <v>8.4473829269409197</v>
      </c>
      <c r="E641" s="239">
        <v>8.5046024322509801</v>
      </c>
      <c r="F641" s="239">
        <v>7.8886041641235396</v>
      </c>
      <c r="G641" s="239">
        <v>7.4893965721130398</v>
      </c>
      <c r="H641" s="239">
        <v>7.1298856735229501</v>
      </c>
      <c r="I641" s="239">
        <v>7.0003471374511701</v>
      </c>
      <c r="J641" s="239">
        <v>6.9035739898681596</v>
      </c>
      <c r="K641" s="239">
        <v>6.94567918777466</v>
      </c>
      <c r="L641" s="239">
        <v>6.9973711967468297</v>
      </c>
      <c r="M641" s="239">
        <v>7.1022868156433097</v>
      </c>
      <c r="N641" s="239">
        <v>7.2368607521057102</v>
      </c>
      <c r="O641" s="239">
        <v>7.3275256156921396</v>
      </c>
      <c r="P641" s="239">
        <v>7.3574790954589799</v>
      </c>
      <c r="Q641" s="239">
        <v>7.2871475219726598</v>
      </c>
      <c r="R641" s="239">
        <v>7.3330197334289604</v>
      </c>
      <c r="S641" s="239">
        <v>7.4703903198242196</v>
      </c>
      <c r="T641" s="239">
        <v>7.6915035247802699</v>
      </c>
      <c r="U641" s="239">
        <v>7.8109488487243697</v>
      </c>
      <c r="V641" s="239">
        <v>7.8279361724853498</v>
      </c>
      <c r="W641" s="239">
        <v>7.8590941429138201</v>
      </c>
      <c r="X641" s="239">
        <v>7.9183402061462402</v>
      </c>
      <c r="Y641" s="239">
        <v>8.0110416412353498</v>
      </c>
      <c r="Z641" s="265">
        <f>Y641+($AI$471-$Y$641)/10</f>
        <v>8.0591226890564176</v>
      </c>
    </row>
    <row r="642" spans="1:26">
      <c r="A642" s="258" t="s">
        <v>478</v>
      </c>
      <c r="B642" s="239">
        <v>23.353584289550799</v>
      </c>
      <c r="C642" s="239">
        <v>23.2374382019043</v>
      </c>
      <c r="D642" s="239">
        <v>23.0424194335938</v>
      </c>
      <c r="E642" s="239">
        <v>22.939121246337901</v>
      </c>
      <c r="F642" s="239">
        <v>21.907506942748999</v>
      </c>
      <c r="G642" s="239">
        <v>20.807579040527301</v>
      </c>
      <c r="H642" s="239">
        <v>20.2319431304932</v>
      </c>
      <c r="I642" s="239">
        <v>20.2009677886963</v>
      </c>
      <c r="J642" s="239">
        <v>20.132976531982401</v>
      </c>
      <c r="K642" s="239">
        <v>20.128959655761701</v>
      </c>
      <c r="L642" s="239">
        <v>20.445728302001999</v>
      </c>
      <c r="M642" s="239">
        <v>20.757715225219702</v>
      </c>
      <c r="N642" s="239">
        <v>21.231256484985401</v>
      </c>
      <c r="O642" s="239">
        <v>21.404373168945298</v>
      </c>
      <c r="P642" s="239">
        <v>21.571121215820298</v>
      </c>
      <c r="Q642" s="239">
        <v>21.578863143920898</v>
      </c>
      <c r="R642" s="239">
        <v>21.739751815795898</v>
      </c>
      <c r="S642" s="239">
        <v>21.989313125610401</v>
      </c>
      <c r="T642" s="239">
        <v>22.322486877441399</v>
      </c>
      <c r="U642" s="239">
        <v>22.5522785186768</v>
      </c>
      <c r="V642" s="239">
        <v>22.5369548797607</v>
      </c>
      <c r="W642" s="239">
        <v>22.469936370849599</v>
      </c>
      <c r="X642" s="239">
        <v>22.555665969848601</v>
      </c>
      <c r="Y642" s="239">
        <v>22.682601928710898</v>
      </c>
      <c r="Z642" s="267">
        <f>Y642+($AI$472-$Y$642)/10</f>
        <v>22.586698480675594</v>
      </c>
    </row>
    <row r="643" spans="1:26">
      <c r="A643" s="235" t="s">
        <v>439</v>
      </c>
      <c r="B643" s="239" t="s">
        <v>439</v>
      </c>
      <c r="C643" s="239" t="s">
        <v>439</v>
      </c>
      <c r="D643" s="239" t="s">
        <v>439</v>
      </c>
      <c r="E643" s="239" t="s">
        <v>439</v>
      </c>
      <c r="F643" s="239" t="s">
        <v>439</v>
      </c>
      <c r="G643" s="239" t="s">
        <v>439</v>
      </c>
      <c r="H643" s="239" t="s">
        <v>439</v>
      </c>
      <c r="I643" s="239" t="s">
        <v>439</v>
      </c>
      <c r="J643" s="239" t="s">
        <v>439</v>
      </c>
      <c r="K643" s="239" t="s">
        <v>439</v>
      </c>
      <c r="L643" s="239" t="s">
        <v>439</v>
      </c>
      <c r="M643" s="239" t="s">
        <v>439</v>
      </c>
      <c r="N643" s="239" t="s">
        <v>439</v>
      </c>
      <c r="O643" s="239" t="s">
        <v>439</v>
      </c>
      <c r="P643" s="239" t="s">
        <v>439</v>
      </c>
      <c r="Q643" s="239" t="s">
        <v>439</v>
      </c>
      <c r="R643" s="239" t="s">
        <v>439</v>
      </c>
      <c r="S643" s="239" t="s">
        <v>439</v>
      </c>
      <c r="T643" s="239" t="s">
        <v>439</v>
      </c>
      <c r="U643" s="239" t="s">
        <v>439</v>
      </c>
      <c r="V643" s="239" t="s">
        <v>439</v>
      </c>
      <c r="W643" s="239" t="s">
        <v>439</v>
      </c>
      <c r="X643" s="239" t="s">
        <v>439</v>
      </c>
      <c r="Y643" s="239" t="s">
        <v>439</v>
      </c>
    </row>
    <row r="644" spans="1:26">
      <c r="A644" s="235" t="s">
        <v>481</v>
      </c>
      <c r="B644" s="239">
        <v>6.3922061920165998</v>
      </c>
      <c r="C644" s="239">
        <v>7.7839651107788104</v>
      </c>
      <c r="D644" s="239">
        <v>8.7313165664672905</v>
      </c>
      <c r="E644" s="239">
        <v>8.5384979248046893</v>
      </c>
      <c r="F644" s="239">
        <v>8.1135501861572301</v>
      </c>
      <c r="G644" s="239">
        <v>7.8849329948425302</v>
      </c>
      <c r="H644" s="239">
        <v>7.7104330062866202</v>
      </c>
      <c r="I644" s="239">
        <v>7.6478543281555202</v>
      </c>
      <c r="J644" s="239">
        <v>7.5814275741577104</v>
      </c>
      <c r="K644" s="239">
        <v>7.5381202697753897</v>
      </c>
      <c r="L644" s="239">
        <v>7.5780467987060502</v>
      </c>
      <c r="M644" s="239">
        <v>7.6416735649108896</v>
      </c>
      <c r="N644" s="239">
        <v>7.7132387161254901</v>
      </c>
      <c r="O644" s="239">
        <v>7.8013410568237296</v>
      </c>
      <c r="P644" s="239">
        <v>7.8755207061767596</v>
      </c>
      <c r="Q644" s="239">
        <v>7.9062352180481001</v>
      </c>
      <c r="R644" s="239">
        <v>7.9948873519897496</v>
      </c>
      <c r="S644" s="239">
        <v>8.1163215637206996</v>
      </c>
      <c r="T644" s="239">
        <v>8.2487821578979492</v>
      </c>
      <c r="U644" s="239">
        <v>8.4059162139892596</v>
      </c>
      <c r="V644" s="239">
        <v>8.4608268737793004</v>
      </c>
      <c r="W644" s="239">
        <v>8.5343141555786097</v>
      </c>
      <c r="X644" s="239">
        <v>8.6114902496337908</v>
      </c>
      <c r="Y644" s="239">
        <v>8.7719221115112305</v>
      </c>
    </row>
    <row r="645" spans="1:26">
      <c r="A645" s="235" t="s">
        <v>482</v>
      </c>
      <c r="B645" s="239">
        <v>4.9298634529113796</v>
      </c>
      <c r="C645" s="239">
        <v>6.4939708709716797</v>
      </c>
      <c r="D645" s="239">
        <v>7.4592781066894496</v>
      </c>
      <c r="E645" s="239">
        <v>7.2447438240051296</v>
      </c>
      <c r="F645" s="239">
        <v>6.84521436691284</v>
      </c>
      <c r="G645" s="239">
        <v>6.6732459068298304</v>
      </c>
      <c r="H645" s="239">
        <v>6.51676225662231</v>
      </c>
      <c r="I645" s="239">
        <v>6.4484291076660201</v>
      </c>
      <c r="J645" s="239">
        <v>6.3966798782348597</v>
      </c>
      <c r="K645" s="239">
        <v>6.3644347190856898</v>
      </c>
      <c r="L645" s="239">
        <v>6.3782010078430202</v>
      </c>
      <c r="M645" s="239">
        <v>6.3993859291076696</v>
      </c>
      <c r="N645" s="239">
        <v>6.4120607376098597</v>
      </c>
      <c r="O645" s="239">
        <v>6.4825568199157697</v>
      </c>
      <c r="P645" s="239">
        <v>6.5450062751770002</v>
      </c>
      <c r="Q645" s="239">
        <v>6.5706739425659197</v>
      </c>
      <c r="R645" s="239">
        <v>6.6389350891113299</v>
      </c>
      <c r="S645" s="239">
        <v>6.7355680465698198</v>
      </c>
      <c r="T645" s="239">
        <v>6.8303794860839799</v>
      </c>
      <c r="U645" s="239">
        <v>6.9826822280883798</v>
      </c>
      <c r="V645" s="239">
        <v>7.0502834320068404</v>
      </c>
      <c r="W645" s="239">
        <v>7.1402068138122603</v>
      </c>
      <c r="X645" s="239">
        <v>7.2155933380126998</v>
      </c>
      <c r="Y645" s="239">
        <v>7.3827753067016602</v>
      </c>
    </row>
    <row r="646" spans="1:26">
      <c r="A646" s="235" t="s">
        <v>474</v>
      </c>
      <c r="B646" s="239">
        <v>6.5291514396667498</v>
      </c>
      <c r="C646" s="239">
        <v>8.2850980758666992</v>
      </c>
      <c r="D646" s="239">
        <v>9.8001213073730504</v>
      </c>
      <c r="E646" s="239">
        <v>9.3321943283081108</v>
      </c>
      <c r="F646" s="239">
        <v>9.0226831436157209</v>
      </c>
      <c r="G646" s="239">
        <v>9.0089912414550799</v>
      </c>
      <c r="H646" s="239">
        <v>8.9738616943359393</v>
      </c>
      <c r="I646" s="239">
        <v>8.8902368545532209</v>
      </c>
      <c r="J646" s="239">
        <v>8.9552536010742205</v>
      </c>
      <c r="K646" s="239">
        <v>8.9079008102416992</v>
      </c>
      <c r="L646" s="239">
        <v>8.89520359039307</v>
      </c>
      <c r="M646" s="239">
        <v>8.8468990325927699</v>
      </c>
      <c r="N646" s="239">
        <v>8.7482786178588903</v>
      </c>
      <c r="O646" s="239">
        <v>8.7885036468505895</v>
      </c>
      <c r="P646" s="239">
        <v>8.8624305725097692</v>
      </c>
      <c r="Q646" s="239">
        <v>8.9473028182983398</v>
      </c>
      <c r="R646" s="239">
        <v>9.0262336730956996</v>
      </c>
      <c r="S646" s="239">
        <v>9.1055555343627894</v>
      </c>
      <c r="T646" s="239">
        <v>9.0882310867309606</v>
      </c>
      <c r="U646" s="239">
        <v>9.3312444686889595</v>
      </c>
      <c r="V646" s="239">
        <v>9.4788913726806605</v>
      </c>
      <c r="W646" s="239">
        <v>9.6528720855712908</v>
      </c>
      <c r="X646" s="239">
        <v>9.7811794281005895</v>
      </c>
      <c r="Y646" s="239">
        <v>10.0579071044922</v>
      </c>
    </row>
    <row r="647" spans="1:26">
      <c r="A647" s="235" t="s">
        <v>475</v>
      </c>
      <c r="B647" s="239">
        <v>6.3323707580566397</v>
      </c>
      <c r="C647" s="239">
        <v>7.2384452819824201</v>
      </c>
      <c r="D647" s="239">
        <v>7.96527099609375</v>
      </c>
      <c r="E647" s="239">
        <v>7.6527161598205602</v>
      </c>
      <c r="F647" s="239">
        <v>7.9603652954101598</v>
      </c>
      <c r="G647" s="239">
        <v>8.0741472244262695</v>
      </c>
      <c r="H647" s="239">
        <v>8.2605934143066406</v>
      </c>
      <c r="I647" s="239">
        <v>8.3100318908691406</v>
      </c>
      <c r="J647" s="239">
        <v>8.4493141174316406</v>
      </c>
      <c r="K647" s="239">
        <v>8.8189620971679705</v>
      </c>
      <c r="L647" s="239">
        <v>8.8862495422363299</v>
      </c>
      <c r="M647" s="239">
        <v>8.8418188095092791</v>
      </c>
      <c r="N647" s="239">
        <v>8.8337812423706108</v>
      </c>
      <c r="O647" s="239">
        <v>8.6748180389404297</v>
      </c>
      <c r="P647" s="239">
        <v>8.5509977340698207</v>
      </c>
      <c r="Q647" s="239">
        <v>8.4207677841186506</v>
      </c>
      <c r="R647" s="239">
        <v>8.4376201629638707</v>
      </c>
      <c r="S647" s="239">
        <v>8.4841489791870099</v>
      </c>
      <c r="T647" s="239">
        <v>8.5509052276611293</v>
      </c>
      <c r="U647" s="239">
        <v>8.6700105667114293</v>
      </c>
      <c r="V647" s="239">
        <v>8.74859523773193</v>
      </c>
      <c r="W647" s="239">
        <v>8.8432664871215803</v>
      </c>
      <c r="X647" s="239">
        <v>9.0058250427246094</v>
      </c>
      <c r="Y647" s="239">
        <v>9.3929624557495099</v>
      </c>
    </row>
    <row r="648" spans="1:26">
      <c r="A648" s="235" t="s">
        <v>476</v>
      </c>
      <c r="B648" s="239">
        <v>8.4833917617797905</v>
      </c>
      <c r="C648" s="239">
        <v>12.566796302795399</v>
      </c>
      <c r="D648" s="239">
        <v>15.1471004486084</v>
      </c>
      <c r="E648" s="239">
        <v>13.237501144409199</v>
      </c>
      <c r="F648" s="239">
        <v>12.375891685485801</v>
      </c>
      <c r="G648" s="239">
        <v>12.379506111145</v>
      </c>
      <c r="H648" s="239">
        <v>12.2225999832153</v>
      </c>
      <c r="I648" s="239">
        <v>12.080751419067401</v>
      </c>
      <c r="J648" s="239">
        <v>12.212836265564</v>
      </c>
      <c r="K648" s="239">
        <v>12.0270395278931</v>
      </c>
      <c r="L648" s="239">
        <v>11.9549217224121</v>
      </c>
      <c r="M648" s="239">
        <v>11.879666328430201</v>
      </c>
      <c r="N648" s="239">
        <v>11.6303720474243</v>
      </c>
      <c r="O648" s="239">
        <v>11.7905416488647</v>
      </c>
      <c r="P648" s="239">
        <v>11.941043853759799</v>
      </c>
      <c r="Q648" s="239">
        <v>12.1426992416382</v>
      </c>
      <c r="R648" s="239">
        <v>12.289721488952599</v>
      </c>
      <c r="S648" s="239">
        <v>12.378883361816399</v>
      </c>
      <c r="T648" s="239">
        <v>12.2595558166504</v>
      </c>
      <c r="U648" s="239">
        <v>12.590350151061999</v>
      </c>
      <c r="V648" s="239">
        <v>12.7815389633179</v>
      </c>
      <c r="W648" s="239">
        <v>12.973883628845201</v>
      </c>
      <c r="X648" s="239">
        <v>13.0949363708496</v>
      </c>
      <c r="Y648" s="239">
        <v>13.367587089538601</v>
      </c>
    </row>
    <row r="649" spans="1:26">
      <c r="A649" s="235" t="s">
        <v>480</v>
      </c>
      <c r="B649" s="239">
        <v>3.9384419918060298</v>
      </c>
      <c r="C649" s="239">
        <v>4.5867881774902299</v>
      </c>
      <c r="D649" s="239">
        <v>4.6800308227539098</v>
      </c>
      <c r="E649" s="239">
        <v>4.9388952255248997</v>
      </c>
      <c r="F649" s="239">
        <v>5.2859730720520002</v>
      </c>
      <c r="G649" s="239">
        <v>5.2723593711853001</v>
      </c>
      <c r="H649" s="239">
        <v>5.2104086875915501</v>
      </c>
      <c r="I649" s="239">
        <v>5.1732821464538601</v>
      </c>
      <c r="J649" s="239">
        <v>5.1717634201049796</v>
      </c>
      <c r="K649" s="239">
        <v>5.17871141433716</v>
      </c>
      <c r="L649" s="239">
        <v>5.1878075599670401</v>
      </c>
      <c r="M649" s="239">
        <v>5.1966009140014604</v>
      </c>
      <c r="N649" s="239">
        <v>5.2060360908508301</v>
      </c>
      <c r="O649" s="239">
        <v>5.2088470458984402</v>
      </c>
      <c r="P649" s="239">
        <v>5.2896075248718297</v>
      </c>
      <c r="Q649" s="239">
        <v>5.3583388328552202</v>
      </c>
      <c r="R649" s="239">
        <v>5.44156694412231</v>
      </c>
      <c r="S649" s="239">
        <v>5.5192761421203604</v>
      </c>
      <c r="T649" s="239">
        <v>5.5953726768493697</v>
      </c>
      <c r="U649" s="239">
        <v>5.6724872589111301</v>
      </c>
      <c r="V649" s="239">
        <v>5.7441039085388201</v>
      </c>
      <c r="W649" s="239">
        <v>5.8200716972351101</v>
      </c>
      <c r="X649" s="239">
        <v>5.9009070396423304</v>
      </c>
      <c r="Y649" s="239">
        <v>5.9898118972778303</v>
      </c>
    </row>
    <row r="650" spans="1:26">
      <c r="A650" s="257" t="s">
        <v>483</v>
      </c>
      <c r="B650" s="239">
        <v>3.88655662536621</v>
      </c>
      <c r="C650" s="239">
        <v>5.55936574935913</v>
      </c>
      <c r="D650" s="239">
        <v>6.0491261482238796</v>
      </c>
      <c r="E650" s="239">
        <v>6.0771641731262198</v>
      </c>
      <c r="F650" s="239">
        <v>5.4298515319824201</v>
      </c>
      <c r="G650" s="239">
        <v>5.0030980110168501</v>
      </c>
      <c r="H650" s="239">
        <v>4.6280007362365696</v>
      </c>
      <c r="I650" s="239">
        <v>4.5291852951049796</v>
      </c>
      <c r="J650" s="239">
        <v>4.41147708892822</v>
      </c>
      <c r="K650" s="239">
        <v>4.4342226982116699</v>
      </c>
      <c r="L650" s="239">
        <v>4.4864263534545898</v>
      </c>
      <c r="M650" s="239">
        <v>4.5912823677062997</v>
      </c>
      <c r="N650" s="239">
        <v>4.7218933105468803</v>
      </c>
      <c r="O650" s="239">
        <v>4.8130536079406703</v>
      </c>
      <c r="P650" s="239">
        <v>4.8621869087219203</v>
      </c>
      <c r="Q650" s="239">
        <v>4.81842041015625</v>
      </c>
      <c r="R650" s="239">
        <v>4.8841061592102104</v>
      </c>
      <c r="S650" s="239">
        <v>5.0232949256896999</v>
      </c>
      <c r="T650" s="239">
        <v>5.2583932876586896</v>
      </c>
      <c r="U650" s="239">
        <v>5.3567323684692401</v>
      </c>
      <c r="V650" s="239">
        <v>5.3575921058654803</v>
      </c>
      <c r="W650" s="239">
        <v>5.37701320648193</v>
      </c>
      <c r="X650" s="239">
        <v>5.4306664466857901</v>
      </c>
      <c r="Y650" s="239">
        <v>5.5327925682067898</v>
      </c>
      <c r="Z650" s="265">
        <f>Y650+($AI$480-$Y$650)/10</f>
        <v>5.5600694801614594</v>
      </c>
    </row>
    <row r="651" spans="1:26">
      <c r="A651" s="235" t="s">
        <v>484</v>
      </c>
      <c r="B651" s="239">
        <v>1.88388228416443</v>
      </c>
      <c r="C651" s="239">
        <v>1.8499996662139899</v>
      </c>
      <c r="D651" s="239">
        <v>1.9633457660675</v>
      </c>
      <c r="E651" s="239">
        <v>1.8999761343002299</v>
      </c>
      <c r="F651" s="239">
        <v>1.88347840309143</v>
      </c>
      <c r="G651" s="239">
        <v>1.8588999509811399</v>
      </c>
      <c r="H651" s="239">
        <v>1.8578026294708301</v>
      </c>
      <c r="I651" s="239">
        <v>1.85227739810944</v>
      </c>
      <c r="J651" s="239">
        <v>1.8239538669586199</v>
      </c>
      <c r="K651" s="239">
        <v>1.79700314998627</v>
      </c>
      <c r="L651" s="239">
        <v>1.78184306621552</v>
      </c>
      <c r="M651" s="239">
        <v>1.7756989002227801</v>
      </c>
      <c r="N651" s="239">
        <v>1.77074086666107</v>
      </c>
      <c r="O651" s="239">
        <v>1.7668309211730999</v>
      </c>
      <c r="P651" s="239">
        <v>1.7627635002136199</v>
      </c>
      <c r="Q651" s="239">
        <v>1.7565006017684901</v>
      </c>
      <c r="R651" s="239">
        <v>1.75614774227142</v>
      </c>
      <c r="S651" s="239">
        <v>1.7571268081664999</v>
      </c>
      <c r="T651" s="239">
        <v>1.75483202934265</v>
      </c>
      <c r="U651" s="239">
        <v>1.7449706792831401</v>
      </c>
      <c r="V651" s="239">
        <v>1.72660219669342</v>
      </c>
      <c r="W651" s="239">
        <v>1.70969367027283</v>
      </c>
      <c r="X651" s="239">
        <v>1.70006084442139</v>
      </c>
      <c r="Y651" s="239">
        <v>1.6866580247878999</v>
      </c>
    </row>
    <row r="652" spans="1:26">
      <c r="A652" s="235" t="s">
        <v>485</v>
      </c>
      <c r="B652" s="239">
        <v>1.5976041555404701</v>
      </c>
      <c r="C652" s="239">
        <v>1.5543407201767001</v>
      </c>
      <c r="D652" s="239">
        <v>1.5670678615570099</v>
      </c>
      <c r="E652" s="239">
        <v>1.6038056612014799</v>
      </c>
      <c r="F652" s="239">
        <v>1.6009258031845099</v>
      </c>
      <c r="G652" s="239">
        <v>1.58739173412323</v>
      </c>
      <c r="H652" s="239">
        <v>1.58863317966461</v>
      </c>
      <c r="I652" s="239">
        <v>1.5846539735794101</v>
      </c>
      <c r="J652" s="239">
        <v>1.5799860954284699</v>
      </c>
      <c r="K652" s="239">
        <v>1.5764416456222501</v>
      </c>
      <c r="L652" s="239">
        <v>1.5679914951324501</v>
      </c>
      <c r="M652" s="239">
        <v>1.5610833168029801</v>
      </c>
      <c r="N652" s="239">
        <v>1.5600349903106701</v>
      </c>
      <c r="O652" s="239">
        <v>1.56054711341858</v>
      </c>
      <c r="P652" s="239">
        <v>1.56748187541962</v>
      </c>
      <c r="Q652" s="239">
        <v>1.5675091743469201</v>
      </c>
      <c r="R652" s="239">
        <v>1.5641727447509799</v>
      </c>
      <c r="S652" s="239">
        <v>1.5615659952163701</v>
      </c>
      <c r="T652" s="239">
        <v>1.58828938007355</v>
      </c>
      <c r="U652" s="239">
        <v>1.58737933635712</v>
      </c>
      <c r="V652" s="239">
        <v>1.59387278556824</v>
      </c>
      <c r="W652" s="239">
        <v>1.5848928689956701</v>
      </c>
      <c r="X652" s="239">
        <v>1.5860744714736901</v>
      </c>
      <c r="Y652" s="239">
        <v>1.5880702733993499</v>
      </c>
    </row>
    <row r="653" spans="1:26">
      <c r="A653" s="258" t="s">
        <v>478</v>
      </c>
      <c r="B653" s="239">
        <v>14.734835624694799</v>
      </c>
      <c r="C653" s="239">
        <v>15.0261535644531</v>
      </c>
      <c r="D653" s="239">
        <v>15.722662925720201</v>
      </c>
      <c r="E653" s="239">
        <v>15.5983018875122</v>
      </c>
      <c r="F653" s="239">
        <v>15.078427314758301</v>
      </c>
      <c r="G653" s="239">
        <v>14.4692840576172</v>
      </c>
      <c r="H653" s="239">
        <v>14.1632738113403</v>
      </c>
      <c r="I653" s="239">
        <v>14.081834793090801</v>
      </c>
      <c r="J653" s="239">
        <v>13.919806480407701</v>
      </c>
      <c r="K653" s="239">
        <v>13.785112380981399</v>
      </c>
      <c r="L653" s="239">
        <v>13.931169509887701</v>
      </c>
      <c r="M653" s="239">
        <v>14.1889085769653</v>
      </c>
      <c r="N653" s="239">
        <v>14.5255270004272</v>
      </c>
      <c r="O653" s="239">
        <v>14.681715965271</v>
      </c>
      <c r="P653" s="239">
        <v>14.814373970031699</v>
      </c>
      <c r="Q653" s="239">
        <v>14.8553409576416</v>
      </c>
      <c r="R653" s="239">
        <v>15.0255784988403</v>
      </c>
      <c r="S653" s="239">
        <v>15.2628774642944</v>
      </c>
      <c r="T653" s="239">
        <v>15.5799751281738</v>
      </c>
      <c r="U653" s="239">
        <v>15.7510900497437</v>
      </c>
      <c r="V653" s="239">
        <v>15.7371273040771</v>
      </c>
      <c r="W653" s="239">
        <v>15.705772399902299</v>
      </c>
      <c r="X653" s="239">
        <v>15.779216766357401</v>
      </c>
      <c r="Y653" s="239">
        <v>15.8933115005493</v>
      </c>
      <c r="Z653" s="267">
        <f>Y653+($AI$483-$Y$653)/10</f>
        <v>15.820176294068443</v>
      </c>
    </row>
    <row r="654" spans="1:26">
      <c r="A654" s="235" t="s">
        <v>439</v>
      </c>
      <c r="B654" s="239" t="s">
        <v>439</v>
      </c>
      <c r="C654" s="239" t="s">
        <v>439</v>
      </c>
      <c r="D654" s="239" t="s">
        <v>439</v>
      </c>
      <c r="E654" s="239" t="s">
        <v>439</v>
      </c>
      <c r="F654" s="239" t="s">
        <v>439</v>
      </c>
      <c r="G654" s="239" t="s">
        <v>439</v>
      </c>
      <c r="H654" s="239" t="s">
        <v>439</v>
      </c>
      <c r="I654" s="239" t="s">
        <v>439</v>
      </c>
      <c r="J654" s="239" t="s">
        <v>439</v>
      </c>
      <c r="K654" s="239" t="s">
        <v>439</v>
      </c>
      <c r="L654" s="239" t="s">
        <v>439</v>
      </c>
      <c r="M654" s="239" t="s">
        <v>439</v>
      </c>
      <c r="N654" s="239" t="s">
        <v>439</v>
      </c>
      <c r="O654" s="239" t="s">
        <v>439</v>
      </c>
      <c r="P654" s="239" t="s">
        <v>439</v>
      </c>
      <c r="Q654" s="239" t="s">
        <v>439</v>
      </c>
      <c r="R654" s="239" t="s">
        <v>439</v>
      </c>
      <c r="S654" s="239" t="s">
        <v>439</v>
      </c>
      <c r="T654" s="239" t="s">
        <v>439</v>
      </c>
      <c r="U654" s="239" t="s">
        <v>439</v>
      </c>
      <c r="V654" s="239" t="s">
        <v>439</v>
      </c>
      <c r="W654" s="239" t="s">
        <v>439</v>
      </c>
      <c r="X654" s="239" t="s">
        <v>439</v>
      </c>
      <c r="Y654" s="239" t="s">
        <v>439</v>
      </c>
    </row>
    <row r="655" spans="1:26">
      <c r="A655" s="235" t="s">
        <v>486</v>
      </c>
      <c r="B655" s="239">
        <v>10.068477630615201</v>
      </c>
      <c r="C655" s="239">
        <v>11.4567165374756</v>
      </c>
      <c r="D655" s="239">
        <v>12.984992980956999</v>
      </c>
      <c r="E655" s="239">
        <v>12.648449897766101</v>
      </c>
      <c r="F655" s="239">
        <v>12.9899549484253</v>
      </c>
      <c r="G655" s="239">
        <v>12.831539154052701</v>
      </c>
      <c r="H655" s="239">
        <v>12.772025108337401</v>
      </c>
      <c r="I655" s="239">
        <v>12.778377532959</v>
      </c>
      <c r="J655" s="239">
        <v>12.6527404785156</v>
      </c>
      <c r="K655" s="239">
        <v>12.633409500122101</v>
      </c>
      <c r="L655" s="239">
        <v>12.627567291259799</v>
      </c>
      <c r="M655" s="239">
        <v>12.5634212493896</v>
      </c>
      <c r="N655" s="239">
        <v>12.5677394866943</v>
      </c>
      <c r="O655" s="239">
        <v>12.4416351318359</v>
      </c>
      <c r="P655" s="239">
        <v>12.463407516479499</v>
      </c>
      <c r="Q655" s="239">
        <v>12.3592376708984</v>
      </c>
      <c r="R655" s="239">
        <v>12.3700494766235</v>
      </c>
      <c r="S655" s="239">
        <v>12.4214639663696</v>
      </c>
      <c r="T655" s="239">
        <v>12.406385421752899</v>
      </c>
      <c r="U655" s="239">
        <v>12.599157333374</v>
      </c>
      <c r="V655" s="239">
        <v>12.7199811935425</v>
      </c>
      <c r="W655" s="239">
        <v>12.8404388427734</v>
      </c>
      <c r="X655" s="239">
        <v>12.9761352539063</v>
      </c>
      <c r="Y655" s="239">
        <v>13.180356025695801</v>
      </c>
    </row>
    <row r="656" spans="1:26">
      <c r="A656" s="235" t="s">
        <v>482</v>
      </c>
      <c r="B656" s="239">
        <v>10.0396184921265</v>
      </c>
      <c r="C656" s="239">
        <v>11.4297380447388</v>
      </c>
      <c r="D656" s="239">
        <v>12.961000442504901</v>
      </c>
      <c r="E656" s="239">
        <v>12.6243276596069</v>
      </c>
      <c r="F656" s="239">
        <v>12.9694175720215</v>
      </c>
      <c r="G656" s="239">
        <v>12.812975883483899</v>
      </c>
      <c r="H656" s="239">
        <v>12.7542219161987</v>
      </c>
      <c r="I656" s="239">
        <v>12.7604532241821</v>
      </c>
      <c r="J656" s="239">
        <v>12.634376525878899</v>
      </c>
      <c r="K656" s="239">
        <v>12.614933013916</v>
      </c>
      <c r="L656" s="239">
        <v>12.6084880828857</v>
      </c>
      <c r="M656" s="239">
        <v>12.543541908264199</v>
      </c>
      <c r="N656" s="239">
        <v>12.546923637390099</v>
      </c>
      <c r="O656" s="239">
        <v>12.4202537536621</v>
      </c>
      <c r="P656" s="239">
        <v>12.441800117492701</v>
      </c>
      <c r="Q656" s="239">
        <v>12.3374538421631</v>
      </c>
      <c r="R656" s="239">
        <v>12.3479681015015</v>
      </c>
      <c r="S656" s="239">
        <v>12.3989114761353</v>
      </c>
      <c r="T656" s="239">
        <v>12.3829250335693</v>
      </c>
      <c r="U656" s="239">
        <v>12.575768470764199</v>
      </c>
      <c r="V656" s="239">
        <v>12.6970834732056</v>
      </c>
      <c r="W656" s="239">
        <v>12.8181715011597</v>
      </c>
      <c r="X656" s="239">
        <v>12.9540061950684</v>
      </c>
      <c r="Y656" s="239">
        <v>13.1585645675659</v>
      </c>
    </row>
    <row r="657" spans="1:26">
      <c r="A657" s="235" t="s">
        <v>474</v>
      </c>
      <c r="B657" s="239">
        <v>10.0409812927246</v>
      </c>
      <c r="C657" s="239">
        <v>11.431476593017599</v>
      </c>
      <c r="D657" s="239">
        <v>12.9638833999634</v>
      </c>
      <c r="E657" s="239">
        <v>12.6272735595703</v>
      </c>
      <c r="F657" s="239">
        <v>12.9738121032715</v>
      </c>
      <c r="G657" s="239">
        <v>12.8180704116821</v>
      </c>
      <c r="H657" s="239">
        <v>12.7602338790894</v>
      </c>
      <c r="I657" s="239">
        <v>12.7672443389893</v>
      </c>
      <c r="J657" s="239">
        <v>12.6416578292847</v>
      </c>
      <c r="K657" s="239">
        <v>12.622591972351101</v>
      </c>
      <c r="L657" s="239">
        <v>12.616462707519499</v>
      </c>
      <c r="M657" s="239">
        <v>12.551496505737299</v>
      </c>
      <c r="N657" s="239">
        <v>12.554883956909199</v>
      </c>
      <c r="O657" s="239">
        <v>12.4279336929321</v>
      </c>
      <c r="P657" s="239">
        <v>12.4496717453003</v>
      </c>
      <c r="Q657" s="239">
        <v>12.3454332351685</v>
      </c>
      <c r="R657" s="239">
        <v>12.356036186218301</v>
      </c>
      <c r="S657" s="239">
        <v>12.4068956375122</v>
      </c>
      <c r="T657" s="239">
        <v>12.3903903961182</v>
      </c>
      <c r="U657" s="239">
        <v>12.5835561752319</v>
      </c>
      <c r="V657" s="239">
        <v>12.7052898406982</v>
      </c>
      <c r="W657" s="239">
        <v>12.826750755310099</v>
      </c>
      <c r="X657" s="239">
        <v>12.9629173278809</v>
      </c>
      <c r="Y657" s="239">
        <v>13.167941093444799</v>
      </c>
    </row>
    <row r="658" spans="1:26">
      <c r="A658" s="262" t="s">
        <v>487</v>
      </c>
      <c r="B658" s="239">
        <v>9.5535230636596697</v>
      </c>
      <c r="C658" s="239">
        <v>10.9202365875244</v>
      </c>
      <c r="D658" s="239">
        <v>12.0208587646484</v>
      </c>
      <c r="E658" s="239">
        <v>11.5461339950562</v>
      </c>
      <c r="F658" s="239">
        <v>12.0997161865234</v>
      </c>
      <c r="G658" s="239">
        <v>12.488727569580099</v>
      </c>
      <c r="H658" s="239">
        <v>12.3829002380371</v>
      </c>
      <c r="I658" s="239">
        <v>12.4196271896362</v>
      </c>
      <c r="J658" s="239">
        <v>12.508094787597701</v>
      </c>
      <c r="K658" s="239">
        <v>12.555921554565399</v>
      </c>
      <c r="L658" s="239">
        <v>12.5986595153809</v>
      </c>
      <c r="M658" s="239">
        <v>12.507498741149901</v>
      </c>
      <c r="N658" s="239">
        <v>12.460197448730501</v>
      </c>
      <c r="O658" s="239">
        <v>12.2335548400879</v>
      </c>
      <c r="P658" s="239">
        <v>12.028847694396999</v>
      </c>
      <c r="Q658" s="239">
        <v>11.832740783691399</v>
      </c>
      <c r="R658" s="239">
        <v>11.7916069030762</v>
      </c>
      <c r="S658" s="239">
        <v>11.803469657897899</v>
      </c>
      <c r="T658" s="239">
        <v>11.8377895355225</v>
      </c>
      <c r="U658" s="239">
        <v>11.9129686355591</v>
      </c>
      <c r="V658" s="239">
        <v>11.9319505691528</v>
      </c>
      <c r="W658" s="239">
        <v>11.983411788940399</v>
      </c>
      <c r="X658" s="239">
        <v>12.11021900177</v>
      </c>
      <c r="Y658" s="239">
        <v>12.4955101013184</v>
      </c>
      <c r="Z658" s="269">
        <f>Y658+($AI$488-$Y$658)/10</f>
        <v>12.860153747735882</v>
      </c>
    </row>
    <row r="659" spans="1:26">
      <c r="A659" s="235" t="s">
        <v>488</v>
      </c>
      <c r="B659" s="239">
        <v>6.0538434982299796</v>
      </c>
      <c r="C659" s="239">
        <v>6.4578518867492702</v>
      </c>
      <c r="D659" s="239">
        <v>8.1168746948242205</v>
      </c>
      <c r="E659" s="239">
        <v>7.6875567436218297</v>
      </c>
      <c r="F659" s="239">
        <v>7.8739576339721697</v>
      </c>
      <c r="G659" s="239">
        <v>7.8265089988708496</v>
      </c>
      <c r="H659" s="239">
        <v>7.9840884208679199</v>
      </c>
      <c r="I659" s="239">
        <v>8.0166091918945295</v>
      </c>
      <c r="J659" s="239">
        <v>7.8608303070068404</v>
      </c>
      <c r="K659" s="239">
        <v>7.81276655197144</v>
      </c>
      <c r="L659" s="239">
        <v>7.8045797348022496</v>
      </c>
      <c r="M659" s="239">
        <v>7.7928524017334002</v>
      </c>
      <c r="N659" s="239">
        <v>7.7725591659545898</v>
      </c>
      <c r="O659" s="239">
        <v>7.7157216072082502</v>
      </c>
      <c r="P659" s="239">
        <v>7.7164225578308097</v>
      </c>
      <c r="Q659" s="239">
        <v>7.6991229057312003</v>
      </c>
      <c r="R659" s="239">
        <v>7.7546834945678702</v>
      </c>
      <c r="S659" s="239">
        <v>7.8412432670593297</v>
      </c>
      <c r="T659" s="239">
        <v>7.8916783332824698</v>
      </c>
      <c r="U659" s="239">
        <v>8.0530261993408203</v>
      </c>
      <c r="V659" s="239">
        <v>8.1459932327270508</v>
      </c>
      <c r="W659" s="239">
        <v>8.2922735214233398</v>
      </c>
      <c r="X659" s="239">
        <v>8.4199304580688494</v>
      </c>
      <c r="Y659" s="239">
        <v>8.7479171752929705</v>
      </c>
    </row>
    <row r="660" spans="1:26">
      <c r="A660" s="262" t="s">
        <v>489</v>
      </c>
      <c r="B660" s="239">
        <v>11.3207235336304</v>
      </c>
      <c r="C660" s="239">
        <v>12.9284992218018</v>
      </c>
      <c r="D660" s="239">
        <v>14.6530704498291</v>
      </c>
      <c r="E660" s="239">
        <v>14.346966743469199</v>
      </c>
      <c r="F660" s="239">
        <v>14.7094535827637</v>
      </c>
      <c r="G660" s="239">
        <v>14.3600215911865</v>
      </c>
      <c r="H660" s="239">
        <v>14.2510118484497</v>
      </c>
      <c r="I660" s="239">
        <v>14.250683784484901</v>
      </c>
      <c r="J660" s="239">
        <v>14.0786781311035</v>
      </c>
      <c r="K660" s="239">
        <v>14.0637760162354</v>
      </c>
      <c r="L660" s="239">
        <v>14.0259552001953</v>
      </c>
      <c r="M660" s="239">
        <v>13.906542778015099</v>
      </c>
      <c r="N660" s="239">
        <v>13.9343166351318</v>
      </c>
      <c r="O660" s="239">
        <v>13.819755554199199</v>
      </c>
      <c r="P660" s="239">
        <v>13.920813560485801</v>
      </c>
      <c r="Q660" s="239">
        <v>13.821713447570801</v>
      </c>
      <c r="R660" s="239">
        <v>13.8340721130371</v>
      </c>
      <c r="S660" s="239">
        <v>13.8936500549316</v>
      </c>
      <c r="T660" s="239">
        <v>13.8356838226318</v>
      </c>
      <c r="U660" s="239">
        <v>14.0806474685669</v>
      </c>
      <c r="V660" s="239">
        <v>14.2383365631104</v>
      </c>
      <c r="W660" s="239">
        <v>14.3749399185181</v>
      </c>
      <c r="X660" s="239">
        <v>14.5092010498047</v>
      </c>
      <c r="Y660" s="239">
        <v>14.605681419372599</v>
      </c>
      <c r="Z660" s="269">
        <f>Y660+($AI$490-$Y$660)/10</f>
        <v>15.03173973157025</v>
      </c>
    </row>
    <row r="661" spans="1:26">
      <c r="A661" s="235" t="s">
        <v>480</v>
      </c>
      <c r="B661" s="239">
        <v>3.83150410652161</v>
      </c>
      <c r="C661" s="239">
        <v>4.4939312934875497</v>
      </c>
      <c r="D661" s="239">
        <v>4.5839381217956499</v>
      </c>
      <c r="E661" s="239">
        <v>4.8374896049499503</v>
      </c>
      <c r="F661" s="239">
        <v>5.1729192733764604</v>
      </c>
      <c r="G661" s="239">
        <v>5.1682701110839799</v>
      </c>
      <c r="H661" s="239">
        <v>5.1688323020935103</v>
      </c>
      <c r="I661" s="239">
        <v>5.1695828437805202</v>
      </c>
      <c r="J661" s="239">
        <v>5.16760349273682</v>
      </c>
      <c r="K661" s="239">
        <v>5.1733479499816903</v>
      </c>
      <c r="L661" s="239">
        <v>5.1798586845397896</v>
      </c>
      <c r="M661" s="239">
        <v>5.1877336502075204</v>
      </c>
      <c r="N661" s="239">
        <v>5.1953010559081996</v>
      </c>
      <c r="O661" s="239">
        <v>5.2001247406005904</v>
      </c>
      <c r="P661" s="239">
        <v>5.2810626029968297</v>
      </c>
      <c r="Q661" s="239">
        <v>5.3552770614623997</v>
      </c>
      <c r="R661" s="239">
        <v>5.4362750053405797</v>
      </c>
      <c r="S661" s="239">
        <v>5.5152239799499503</v>
      </c>
      <c r="T661" s="239">
        <v>5.5921721458435103</v>
      </c>
      <c r="U661" s="239">
        <v>5.6705627441406303</v>
      </c>
      <c r="V661" s="239">
        <v>5.7475032806396502</v>
      </c>
      <c r="W661" s="239">
        <v>5.8269476890564</v>
      </c>
      <c r="X661" s="239">
        <v>5.9046044349670401</v>
      </c>
      <c r="Y661" s="239">
        <v>5.9824995994567898</v>
      </c>
    </row>
    <row r="662" spans="1:26">
      <c r="A662" s="235" t="s">
        <v>490</v>
      </c>
      <c r="B662" s="239">
        <v>15.146578788757299</v>
      </c>
      <c r="C662" s="239">
        <v>16.654964447021499</v>
      </c>
      <c r="D662" s="239">
        <v>20.603065490722699</v>
      </c>
      <c r="E662" s="239">
        <v>20.419296264648398</v>
      </c>
      <c r="F662" s="239">
        <v>17.4092102050781</v>
      </c>
      <c r="G662" s="239">
        <v>17.409763336181602</v>
      </c>
      <c r="H662" s="239">
        <v>17.1964435577393</v>
      </c>
      <c r="I662" s="239">
        <v>17.156021118164102</v>
      </c>
      <c r="J662" s="239">
        <v>17.248268127441399</v>
      </c>
      <c r="K662" s="239">
        <v>17.105394363403299</v>
      </c>
      <c r="L662" s="239">
        <v>17.085474014282202</v>
      </c>
      <c r="M662" s="239">
        <v>16.997465133666999</v>
      </c>
      <c r="N662" s="239">
        <v>16.7497043609619</v>
      </c>
      <c r="O662" s="239">
        <v>16.830522537231399</v>
      </c>
      <c r="P662" s="239">
        <v>16.954969406127901</v>
      </c>
      <c r="Q662" s="239">
        <v>17.1650085449219</v>
      </c>
      <c r="R662" s="239">
        <v>17.2562961578369</v>
      </c>
      <c r="S662" s="239">
        <v>17.321376800537099</v>
      </c>
      <c r="T662" s="239">
        <v>17.262313842773398</v>
      </c>
      <c r="U662" s="239">
        <v>17.454835891723601</v>
      </c>
      <c r="V662" s="239">
        <v>17.584600448608398</v>
      </c>
      <c r="W662" s="239">
        <v>17.847267150878899</v>
      </c>
      <c r="X662" s="239">
        <v>17.9585571289063</v>
      </c>
      <c r="Y662" s="239">
        <v>18.1527404785156</v>
      </c>
    </row>
    <row r="663" spans="1:26">
      <c r="A663" s="235" t="s">
        <v>491</v>
      </c>
      <c r="B663" s="239">
        <v>7.2317700386047399</v>
      </c>
      <c r="C663" s="239">
        <v>9.0444478988647496</v>
      </c>
      <c r="D663" s="239">
        <v>9.7142210006713903</v>
      </c>
      <c r="E663" s="239">
        <v>9.7955017089843803</v>
      </c>
      <c r="F663" s="239">
        <v>9.2987012863159197</v>
      </c>
      <c r="G663" s="239">
        <v>9.0087041854858398</v>
      </c>
      <c r="H663" s="239">
        <v>8.73461818695068</v>
      </c>
      <c r="I663" s="239">
        <v>8.6602125167846697</v>
      </c>
      <c r="J663" s="239">
        <v>8.6087532043456996</v>
      </c>
      <c r="K663" s="239">
        <v>8.6854057312011701</v>
      </c>
      <c r="L663" s="239">
        <v>8.7734069824218803</v>
      </c>
      <c r="M663" s="239">
        <v>8.9131555557250994</v>
      </c>
      <c r="N663" s="239">
        <v>9.0697097778320295</v>
      </c>
      <c r="O663" s="239">
        <v>9.1761322021484393</v>
      </c>
      <c r="P663" s="239">
        <v>9.2086582183837908</v>
      </c>
      <c r="Q663" s="239">
        <v>9.1414461135864293</v>
      </c>
      <c r="R663" s="239">
        <v>9.1881532669067401</v>
      </c>
      <c r="S663" s="239">
        <v>9.3183298110961896</v>
      </c>
      <c r="T663" s="239">
        <v>9.5262966156005895</v>
      </c>
      <c r="U663" s="239">
        <v>9.6340904235839808</v>
      </c>
      <c r="V663" s="239">
        <v>9.6386470794677699</v>
      </c>
      <c r="W663" s="239">
        <v>9.6553201675415004</v>
      </c>
      <c r="X663" s="239">
        <v>9.7052288055419904</v>
      </c>
      <c r="Y663" s="239">
        <v>9.7829256057739293</v>
      </c>
    </row>
    <row r="664" spans="1:26">
      <c r="A664" s="264" t="s">
        <v>496</v>
      </c>
      <c r="B664" s="239">
        <v>14.6543264389038</v>
      </c>
      <c r="C664" s="239">
        <v>16.232709884643601</v>
      </c>
      <c r="D664" s="239">
        <v>19.6646022796631</v>
      </c>
      <c r="E664" s="239">
        <v>19.716905593872099</v>
      </c>
      <c r="F664" s="239">
        <v>20.910398483276399</v>
      </c>
      <c r="G664" s="239">
        <v>20.088336944580099</v>
      </c>
      <c r="H664" s="239">
        <v>20.034643173217798</v>
      </c>
      <c r="I664" s="239">
        <v>19.876234054565401</v>
      </c>
      <c r="J664" s="239">
        <v>19.0899848937988</v>
      </c>
      <c r="K664" s="239">
        <v>19.0770473480225</v>
      </c>
      <c r="L664" s="239">
        <v>18.9334907531738</v>
      </c>
      <c r="M664" s="239">
        <v>18.8203315734863</v>
      </c>
      <c r="N664" s="239">
        <v>18.8769016265869</v>
      </c>
      <c r="O664" s="239">
        <v>18.733657836914102</v>
      </c>
      <c r="P664" s="239">
        <v>18.836368560791001</v>
      </c>
      <c r="Q664" s="239">
        <v>18.717578887939499</v>
      </c>
      <c r="R664" s="239">
        <v>18.677961349487301</v>
      </c>
      <c r="S664" s="239">
        <v>18.768825531005898</v>
      </c>
      <c r="T664" s="239">
        <v>18.702945709228501</v>
      </c>
      <c r="U664" s="239">
        <v>19.039726257324201</v>
      </c>
      <c r="V664" s="239">
        <v>19.213029861450199</v>
      </c>
      <c r="W664" s="239">
        <v>19.429216384887699</v>
      </c>
      <c r="X664" s="239">
        <v>19.537574768066399</v>
      </c>
      <c r="Y664" s="239">
        <v>19.6945476531982</v>
      </c>
      <c r="Z664" s="271">
        <f>Y664+($AI$494-$Y$664)/10</f>
        <v>19.593947309306923</v>
      </c>
    </row>
    <row r="665" spans="1:26">
      <c r="A665" s="235" t="s">
        <v>478</v>
      </c>
      <c r="B665" s="239">
        <v>20.034517288208001</v>
      </c>
      <c r="C665" s="239">
        <v>20.636144638061499</v>
      </c>
      <c r="D665" s="239">
        <v>21.2071418762207</v>
      </c>
      <c r="E665" s="239">
        <v>20.9249382019043</v>
      </c>
      <c r="F665" s="239">
        <v>20.016746520996101</v>
      </c>
      <c r="G665" s="239">
        <v>19.1842136383057</v>
      </c>
      <c r="H665" s="239">
        <v>18.876358032226602</v>
      </c>
      <c r="I665" s="239">
        <v>18.930015563964801</v>
      </c>
      <c r="J665" s="239">
        <v>18.9569396972656</v>
      </c>
      <c r="K665" s="239">
        <v>18.971715927123999</v>
      </c>
      <c r="L665" s="239">
        <v>19.161241531372099</v>
      </c>
      <c r="M665" s="239">
        <v>19.352525711059599</v>
      </c>
      <c r="N665" s="239">
        <v>19.6624240875244</v>
      </c>
      <c r="O665" s="239">
        <v>19.699916839599599</v>
      </c>
      <c r="P665" s="239">
        <v>19.754545211791999</v>
      </c>
      <c r="Q665" s="239">
        <v>19.6803493499756</v>
      </c>
      <c r="R665" s="239">
        <v>19.749149322509801</v>
      </c>
      <c r="S665" s="239">
        <v>19.913064956665</v>
      </c>
      <c r="T665" s="239">
        <v>20.148523330688501</v>
      </c>
      <c r="U665" s="239">
        <v>20.261070251464801</v>
      </c>
      <c r="V665" s="239">
        <v>20.168498992919901</v>
      </c>
      <c r="W665" s="239">
        <v>20.043989181518601</v>
      </c>
      <c r="X665" s="239">
        <v>20.096965789794901</v>
      </c>
      <c r="Y665" s="239">
        <v>20.154518127441399</v>
      </c>
    </row>
    <row r="666" spans="1:26">
      <c r="A666" s="235" t="s">
        <v>439</v>
      </c>
      <c r="B666" s="239" t="s">
        <v>439</v>
      </c>
      <c r="C666" s="239" t="s">
        <v>439</v>
      </c>
      <c r="D666" s="239" t="s">
        <v>439</v>
      </c>
      <c r="E666" s="239" t="s">
        <v>439</v>
      </c>
      <c r="F666" s="239" t="s">
        <v>439</v>
      </c>
      <c r="G666" s="239" t="s">
        <v>439</v>
      </c>
      <c r="H666" s="239" t="s">
        <v>439</v>
      </c>
      <c r="I666" s="239" t="s">
        <v>439</v>
      </c>
      <c r="J666" s="239" t="s">
        <v>439</v>
      </c>
      <c r="K666" s="239" t="s">
        <v>439</v>
      </c>
      <c r="L666" s="239" t="s">
        <v>439</v>
      </c>
      <c r="M666" s="239" t="s">
        <v>439</v>
      </c>
      <c r="N666" s="239" t="s">
        <v>439</v>
      </c>
      <c r="O666" s="239" t="s">
        <v>439</v>
      </c>
      <c r="P666" s="239" t="s">
        <v>439</v>
      </c>
      <c r="Q666" s="239" t="s">
        <v>439</v>
      </c>
      <c r="R666" s="239" t="s">
        <v>439</v>
      </c>
      <c r="S666" s="239" t="s">
        <v>439</v>
      </c>
      <c r="T666" s="239" t="s">
        <v>439</v>
      </c>
      <c r="U666" s="239" t="s">
        <v>439</v>
      </c>
      <c r="V666" s="239" t="s">
        <v>439</v>
      </c>
      <c r="W666" s="239" t="s">
        <v>439</v>
      </c>
      <c r="X666" s="239" t="s">
        <v>439</v>
      </c>
      <c r="Y666" s="239" t="s">
        <v>439</v>
      </c>
    </row>
    <row r="667" spans="1:26">
      <c r="A667" s="235" t="s">
        <v>497</v>
      </c>
      <c r="B667" s="239">
        <v>10.2607097625732</v>
      </c>
      <c r="C667" s="239">
        <v>11.4965677261353</v>
      </c>
      <c r="D667" s="239">
        <v>12.4990587234497</v>
      </c>
      <c r="E667" s="239">
        <v>12.3170623779297</v>
      </c>
      <c r="F667" s="239">
        <v>12.135007858276399</v>
      </c>
      <c r="G667" s="239">
        <v>11.845267295837401</v>
      </c>
      <c r="H667" s="239">
        <v>11.6573295593262</v>
      </c>
      <c r="I667" s="239">
        <v>11.6295518875122</v>
      </c>
      <c r="J667" s="239">
        <v>11.5503234863281</v>
      </c>
      <c r="K667" s="239">
        <v>11.540096282959</v>
      </c>
      <c r="L667" s="239">
        <v>11.6076335906982</v>
      </c>
      <c r="M667" s="239">
        <v>11.667243003845201</v>
      </c>
      <c r="N667" s="239">
        <v>11.774538040161101</v>
      </c>
      <c r="O667" s="239">
        <v>11.796236991882299</v>
      </c>
      <c r="P667" s="239">
        <v>11.871965408325201</v>
      </c>
      <c r="Q667" s="239">
        <v>11.843188285827599</v>
      </c>
      <c r="R667" s="239">
        <v>11.9137773513794</v>
      </c>
      <c r="S667" s="239">
        <v>12.034348487854</v>
      </c>
      <c r="T667" s="239">
        <v>12.153738975524901</v>
      </c>
      <c r="U667" s="239">
        <v>12.3460960388184</v>
      </c>
      <c r="V667" s="239">
        <v>12.4321403503418</v>
      </c>
      <c r="W667" s="239">
        <v>12.5191946029663</v>
      </c>
      <c r="X667" s="239">
        <v>12.636996269226101</v>
      </c>
      <c r="Y667" s="239">
        <v>12.8200740814209</v>
      </c>
    </row>
    <row r="668" spans="1:26">
      <c r="A668" s="235" t="s">
        <v>482</v>
      </c>
      <c r="B668" s="239">
        <v>7.8488264083862296</v>
      </c>
      <c r="C668" s="239">
        <v>9.3171482086181605</v>
      </c>
      <c r="D668" s="239">
        <v>10.527009010314901</v>
      </c>
      <c r="E668" s="239">
        <v>10.2968044281006</v>
      </c>
      <c r="F668" s="239">
        <v>10.2268390655518</v>
      </c>
      <c r="G668" s="239">
        <v>10.0435380935669</v>
      </c>
      <c r="H668" s="239">
        <v>9.9028997421264595</v>
      </c>
      <c r="I668" s="239">
        <v>9.8629217147827095</v>
      </c>
      <c r="J668" s="239">
        <v>9.7728738784790004</v>
      </c>
      <c r="K668" s="239">
        <v>9.75823974609375</v>
      </c>
      <c r="L668" s="239">
        <v>9.7822933197021502</v>
      </c>
      <c r="M668" s="239">
        <v>9.7888011932372994</v>
      </c>
      <c r="N668" s="239">
        <v>9.8279809951782209</v>
      </c>
      <c r="O668" s="239">
        <v>9.8149814605712908</v>
      </c>
      <c r="P668" s="239">
        <v>9.8643417358398402</v>
      </c>
      <c r="Q668" s="239">
        <v>9.8190460205078107</v>
      </c>
      <c r="R668" s="239">
        <v>9.8615427017211896</v>
      </c>
      <c r="S668" s="239">
        <v>9.9469861984252894</v>
      </c>
      <c r="T668" s="239">
        <v>10.0096731185913</v>
      </c>
      <c r="U668" s="239">
        <v>10.190193176269499</v>
      </c>
      <c r="V668" s="239">
        <v>10.288735389709499</v>
      </c>
      <c r="W668" s="239">
        <v>10.396104812622101</v>
      </c>
      <c r="X668" s="239">
        <v>10.5091648101807</v>
      </c>
      <c r="Y668" s="239">
        <v>10.694952964782701</v>
      </c>
    </row>
    <row r="669" spans="1:26">
      <c r="A669" s="235" t="s">
        <v>478</v>
      </c>
      <c r="B669" s="239">
        <v>21.599882125854499</v>
      </c>
      <c r="C669" s="239">
        <v>21.735733032226602</v>
      </c>
      <c r="D669" s="239">
        <v>21.731866836547901</v>
      </c>
      <c r="E669" s="239">
        <v>21.659553527831999</v>
      </c>
      <c r="F669" s="239">
        <v>20.918876647949201</v>
      </c>
      <c r="G669" s="239">
        <v>20.055833816528299</v>
      </c>
      <c r="H669" s="239">
        <v>19.596654891967798</v>
      </c>
      <c r="I669" s="239">
        <v>19.579929351806602</v>
      </c>
      <c r="J669" s="239">
        <v>19.517631530761701</v>
      </c>
      <c r="K669" s="239">
        <v>19.486770629882798</v>
      </c>
      <c r="L669" s="239">
        <v>19.702039718627901</v>
      </c>
      <c r="M669" s="239">
        <v>19.955158233642599</v>
      </c>
      <c r="N669" s="239">
        <v>20.317079544067401</v>
      </c>
      <c r="O669" s="239">
        <v>20.442613601684599</v>
      </c>
      <c r="P669" s="239">
        <v>20.578334808349599</v>
      </c>
      <c r="Q669" s="239">
        <v>20.580734252929702</v>
      </c>
      <c r="R669" s="239">
        <v>20.7274265289307</v>
      </c>
      <c r="S669" s="239">
        <v>20.953577041626001</v>
      </c>
      <c r="T669" s="239">
        <v>21.262916564941399</v>
      </c>
      <c r="U669" s="239">
        <v>21.454774856567401</v>
      </c>
      <c r="V669" s="239">
        <v>21.4308891296387</v>
      </c>
      <c r="W669" s="239">
        <v>21.3733520507813</v>
      </c>
      <c r="X669" s="239">
        <v>21.452013015747099</v>
      </c>
      <c r="Y669" s="239">
        <v>21.5757865905762</v>
      </c>
    </row>
    <row r="670" spans="1:26">
      <c r="A670" s="235" t="s">
        <v>439</v>
      </c>
      <c r="B670" s="239" t="s">
        <v>439</v>
      </c>
      <c r="C670" s="239" t="s">
        <v>439</v>
      </c>
      <c r="D670" s="239" t="s">
        <v>439</v>
      </c>
      <c r="E670" s="239" t="s">
        <v>439</v>
      </c>
      <c r="F670" s="239" t="s">
        <v>439</v>
      </c>
      <c r="G670" s="239" t="s">
        <v>439</v>
      </c>
      <c r="H670" s="239" t="s">
        <v>439</v>
      </c>
      <c r="I670" s="239" t="s">
        <v>439</v>
      </c>
      <c r="J670" s="239" t="s">
        <v>439</v>
      </c>
      <c r="K670" s="239" t="s">
        <v>439</v>
      </c>
      <c r="L670" s="239" t="s">
        <v>439</v>
      </c>
      <c r="M670" s="239" t="s">
        <v>439</v>
      </c>
      <c r="N670" s="239" t="s">
        <v>439</v>
      </c>
      <c r="O670" s="239" t="s">
        <v>439</v>
      </c>
      <c r="P670" s="239" t="s">
        <v>439</v>
      </c>
      <c r="Q670" s="239" t="s">
        <v>439</v>
      </c>
      <c r="R670" s="239" t="s">
        <v>439</v>
      </c>
      <c r="S670" s="239" t="s">
        <v>439</v>
      </c>
      <c r="T670" s="239" t="s">
        <v>439</v>
      </c>
      <c r="U670" s="239" t="s">
        <v>439</v>
      </c>
      <c r="V670" s="239" t="s">
        <v>439</v>
      </c>
      <c r="W670" s="239" t="s">
        <v>439</v>
      </c>
      <c r="X670" s="239" t="s">
        <v>439</v>
      </c>
      <c r="Y670" s="239" t="s">
        <v>439</v>
      </c>
    </row>
    <row r="671" spans="1:26">
      <c r="A671" s="235" t="s">
        <v>498</v>
      </c>
      <c r="B671" s="239" t="s">
        <v>439</v>
      </c>
      <c r="C671" s="239" t="s">
        <v>439</v>
      </c>
      <c r="D671" s="239" t="s">
        <v>439</v>
      </c>
      <c r="E671" s="239" t="s">
        <v>439</v>
      </c>
      <c r="F671" s="239" t="s">
        <v>439</v>
      </c>
      <c r="G671" s="239" t="s">
        <v>439</v>
      </c>
      <c r="H671" s="239" t="s">
        <v>439</v>
      </c>
      <c r="I671" s="239" t="s">
        <v>439</v>
      </c>
      <c r="J671" s="239" t="s">
        <v>439</v>
      </c>
      <c r="K671" s="239" t="s">
        <v>439</v>
      </c>
      <c r="L671" s="239" t="s">
        <v>439</v>
      </c>
      <c r="M671" s="239" t="s">
        <v>439</v>
      </c>
      <c r="N671" s="239" t="s">
        <v>439</v>
      </c>
      <c r="O671" s="239" t="s">
        <v>439</v>
      </c>
      <c r="P671" s="239" t="s">
        <v>439</v>
      </c>
      <c r="Q671" s="239" t="s">
        <v>439</v>
      </c>
      <c r="R671" s="239" t="s">
        <v>439</v>
      </c>
      <c r="S671" s="239" t="s">
        <v>439</v>
      </c>
      <c r="T671" s="239" t="s">
        <v>439</v>
      </c>
      <c r="U671" s="239" t="s">
        <v>439</v>
      </c>
      <c r="V671" s="239" t="s">
        <v>439</v>
      </c>
      <c r="W671" s="239" t="s">
        <v>439</v>
      </c>
      <c r="X671" s="239" t="s">
        <v>439</v>
      </c>
      <c r="Y671" s="239" t="s">
        <v>439</v>
      </c>
    </row>
    <row r="672" spans="1:26">
      <c r="A672" s="235" t="s">
        <v>499</v>
      </c>
      <c r="B672" s="239">
        <v>1.8996955156326301</v>
      </c>
      <c r="C672" s="239">
        <v>2.2409727573394802</v>
      </c>
      <c r="D672" s="239">
        <v>2.4239859580993701</v>
      </c>
      <c r="E672" s="239">
        <v>2.3793189525604199</v>
      </c>
      <c r="F672" s="239">
        <v>2.2557969093322798</v>
      </c>
      <c r="G672" s="239">
        <v>2.16659760475159</v>
      </c>
      <c r="H672" s="239">
        <v>2.1260316371917698</v>
      </c>
      <c r="I672" s="239">
        <v>2.1242508888244598</v>
      </c>
      <c r="J672" s="239">
        <v>2.1216156482696502</v>
      </c>
      <c r="K672" s="239">
        <v>2.1531240940093999</v>
      </c>
      <c r="L672" s="239">
        <v>2.1922359466552699</v>
      </c>
      <c r="M672" s="239">
        <v>2.2451419830322301</v>
      </c>
      <c r="N672" s="239">
        <v>2.2968165874481201</v>
      </c>
      <c r="O672" s="239">
        <v>2.3293662071228001</v>
      </c>
      <c r="P672" s="239">
        <v>2.3501963615417498</v>
      </c>
      <c r="Q672" s="239">
        <v>2.3520054817199698</v>
      </c>
      <c r="R672" s="239">
        <v>2.3871843814849898</v>
      </c>
      <c r="S672" s="239">
        <v>2.4302341938018799</v>
      </c>
      <c r="T672" s="239">
        <v>2.5017471313476598</v>
      </c>
      <c r="U672" s="239">
        <v>2.5190291404724099</v>
      </c>
      <c r="V672" s="239">
        <v>2.50686860084534</v>
      </c>
      <c r="W672" s="239">
        <v>2.48747658729553</v>
      </c>
      <c r="X672" s="239">
        <v>2.5030989646911599</v>
      </c>
      <c r="Y672" s="239">
        <v>2.5170097351074201</v>
      </c>
    </row>
    <row r="673" spans="1:26">
      <c r="A673" s="235" t="s">
        <v>501</v>
      </c>
      <c r="B673" s="239">
        <v>4.3748912811279297</v>
      </c>
      <c r="C673" s="239">
        <v>5.2786889076232901</v>
      </c>
      <c r="D673" s="239">
        <v>5.9517350196838397</v>
      </c>
      <c r="E673" s="239">
        <v>5.8146204948425302</v>
      </c>
      <c r="F673" s="239">
        <v>6.06520652770996</v>
      </c>
      <c r="G673" s="239">
        <v>6.0658583641052202</v>
      </c>
      <c r="H673" s="239">
        <v>6.0610094070434597</v>
      </c>
      <c r="I673" s="239">
        <v>6.0499844551086399</v>
      </c>
      <c r="J673" s="239">
        <v>6.0430412292480504</v>
      </c>
      <c r="K673" s="239">
        <v>6.00789546966553</v>
      </c>
      <c r="L673" s="239">
        <v>5.9784431457519496</v>
      </c>
      <c r="M673" s="239">
        <v>5.9840416908264196</v>
      </c>
      <c r="N673" s="239">
        <v>6.0042037963867196</v>
      </c>
      <c r="O673" s="239">
        <v>6.0128812789917001</v>
      </c>
      <c r="P673" s="239">
        <v>6.0971722602844203</v>
      </c>
      <c r="Q673" s="239">
        <v>6.1627969741821298</v>
      </c>
      <c r="R673" s="239">
        <v>6.2556800842285201</v>
      </c>
      <c r="S673" s="239">
        <v>6.3419466018676802</v>
      </c>
      <c r="T673" s="239">
        <v>6.4189195632934597</v>
      </c>
      <c r="U673" s="239">
        <v>6.5561437606811497</v>
      </c>
      <c r="V673" s="239">
        <v>6.6497230529785201</v>
      </c>
      <c r="W673" s="239">
        <v>6.7551417350768999</v>
      </c>
      <c r="X673" s="239">
        <v>6.8526744842529297</v>
      </c>
      <c r="Y673" s="239">
        <v>6.9808459281921396</v>
      </c>
    </row>
    <row r="674" spans="1:26">
      <c r="A674" s="235" t="s">
        <v>475</v>
      </c>
      <c r="B674" s="239">
        <v>5.6938004493713397</v>
      </c>
      <c r="C674" s="239">
        <v>6.4773354530334499</v>
      </c>
      <c r="D674" s="239">
        <v>7.1750593185424796</v>
      </c>
      <c r="E674" s="239">
        <v>6.8899416923522896</v>
      </c>
      <c r="F674" s="239">
        <v>7.0708780288696298</v>
      </c>
      <c r="G674" s="239">
        <v>7.0249619483947798</v>
      </c>
      <c r="H674" s="239">
        <v>6.9838500022888201</v>
      </c>
      <c r="I674" s="239">
        <v>6.9665460586547896</v>
      </c>
      <c r="J674" s="239">
        <v>6.9450497627258301</v>
      </c>
      <c r="K674" s="239">
        <v>6.8211231231689498</v>
      </c>
      <c r="L674" s="239">
        <v>6.8083920478820801</v>
      </c>
      <c r="M674" s="239">
        <v>6.7952175140380904</v>
      </c>
      <c r="N674" s="239">
        <v>6.8354115486145002</v>
      </c>
      <c r="O674" s="239">
        <v>6.8402228355407697</v>
      </c>
      <c r="P674" s="239">
        <v>6.9283905029296902</v>
      </c>
      <c r="Q674" s="239">
        <v>6.9566001892089799</v>
      </c>
      <c r="R674" s="239">
        <v>7.0452814102172896</v>
      </c>
      <c r="S674" s="239">
        <v>7.1418867111206099</v>
      </c>
      <c r="T674" s="239">
        <v>7.2127375602722203</v>
      </c>
      <c r="U674" s="239">
        <v>7.4472899436950701</v>
      </c>
      <c r="V674" s="239">
        <v>7.5714774131774902</v>
      </c>
      <c r="W674" s="239">
        <v>7.7267389297485396</v>
      </c>
      <c r="X674" s="239">
        <v>7.8528199195861799</v>
      </c>
      <c r="Y674" s="239">
        <v>8.0614786148071307</v>
      </c>
    </row>
    <row r="675" spans="1:26">
      <c r="A675" s="235" t="s">
        <v>480</v>
      </c>
      <c r="B675" s="239">
        <v>3.9850425720214799</v>
      </c>
      <c r="C675" s="239">
        <v>4.7911210060119602</v>
      </c>
      <c r="D675" s="239">
        <v>5.5054440498352104</v>
      </c>
      <c r="E675" s="239">
        <v>5.3836627006530797</v>
      </c>
      <c r="F675" s="239">
        <v>5.6116971969604501</v>
      </c>
      <c r="G675" s="239">
        <v>5.6101722717285201</v>
      </c>
      <c r="H675" s="239">
        <v>5.61515140533447</v>
      </c>
      <c r="I675" s="239">
        <v>5.6134881973266602</v>
      </c>
      <c r="J675" s="239">
        <v>5.6123900413513201</v>
      </c>
      <c r="K675" s="239">
        <v>5.6186213493347203</v>
      </c>
      <c r="L675" s="239">
        <v>5.6204733848571804</v>
      </c>
      <c r="M675" s="239">
        <v>5.6265015602111799</v>
      </c>
      <c r="N675" s="239">
        <v>5.6295571327209499</v>
      </c>
      <c r="O675" s="239">
        <v>5.6379580497741699</v>
      </c>
      <c r="P675" s="239">
        <v>5.71999168395996</v>
      </c>
      <c r="Q675" s="239">
        <v>5.7965455055236799</v>
      </c>
      <c r="R675" s="239">
        <v>5.8776378631591797</v>
      </c>
      <c r="S675" s="239">
        <v>5.9570369720459002</v>
      </c>
      <c r="T675" s="239">
        <v>6.0351238250732404</v>
      </c>
      <c r="U675" s="239">
        <v>6.1149992942810103</v>
      </c>
      <c r="V675" s="239">
        <v>6.1950988769531303</v>
      </c>
      <c r="W675" s="239">
        <v>6.27585792541504</v>
      </c>
      <c r="X675" s="239">
        <v>6.3545475006103498</v>
      </c>
      <c r="Y675" s="239">
        <v>6.4353322982788104</v>
      </c>
    </row>
    <row r="676" spans="1:26">
      <c r="A676" s="257" t="s">
        <v>477</v>
      </c>
      <c r="B676" s="239">
        <v>3.6857740879058798</v>
      </c>
      <c r="C676" s="239">
        <v>5.4593739509582502</v>
      </c>
      <c r="D676" s="239">
        <v>5.9836130142211896</v>
      </c>
      <c r="E676" s="239">
        <v>5.9218006134033203</v>
      </c>
      <c r="F676" s="239">
        <v>5.2758417129516602</v>
      </c>
      <c r="G676" s="239">
        <v>4.86041164398193</v>
      </c>
      <c r="H676" s="239">
        <v>4.5085921287536603</v>
      </c>
      <c r="I676" s="239">
        <v>4.4009499549865696</v>
      </c>
      <c r="J676" s="239">
        <v>4.3143215179443404</v>
      </c>
      <c r="K676" s="239">
        <v>4.3619651794433603</v>
      </c>
      <c r="L676" s="239">
        <v>4.4577717781066903</v>
      </c>
      <c r="M676" s="239">
        <v>4.5935211181640598</v>
      </c>
      <c r="N676" s="239">
        <v>4.72908592224121</v>
      </c>
      <c r="O676" s="239">
        <v>4.8101162910461399</v>
      </c>
      <c r="P676" s="239">
        <v>4.8377823829650897</v>
      </c>
      <c r="Q676" s="239">
        <v>4.7923994064331099</v>
      </c>
      <c r="R676" s="239">
        <v>4.8652648925781303</v>
      </c>
      <c r="S676" s="239">
        <v>5.0083761215209996</v>
      </c>
      <c r="T676" s="239">
        <v>5.2321648597717303</v>
      </c>
      <c r="U676" s="239">
        <v>5.32541704177856</v>
      </c>
      <c r="V676" s="239">
        <v>5.3230118751525897</v>
      </c>
      <c r="W676" s="239">
        <v>5.3357062339782697</v>
      </c>
      <c r="X676" s="239">
        <v>5.3972234725952104</v>
      </c>
      <c r="Y676" s="239">
        <v>5.4970946311950701</v>
      </c>
      <c r="Z676" s="265">
        <f>Y676+($AI$506-$Y$676)/10</f>
        <v>5.5250455710201605</v>
      </c>
    </row>
    <row r="677" spans="1:26">
      <c r="A677" s="260" t="s">
        <v>485</v>
      </c>
      <c r="B677" s="239">
        <v>1.2699717283248899</v>
      </c>
      <c r="C677" s="239">
        <v>1.27919089794159</v>
      </c>
      <c r="D677" s="239">
        <v>1.2835900783538801</v>
      </c>
      <c r="E677" s="239">
        <v>1.28959560394287</v>
      </c>
      <c r="F677" s="239">
        <v>1.29778397083282</v>
      </c>
      <c r="G677" s="239">
        <v>1.28695380687714</v>
      </c>
      <c r="H677" s="239">
        <v>1.28577756881714</v>
      </c>
      <c r="I677" s="239">
        <v>1.27679371833801</v>
      </c>
      <c r="J677" s="239">
        <v>1.26281106472015</v>
      </c>
      <c r="K677" s="239">
        <v>1.25397908687592</v>
      </c>
      <c r="L677" s="239">
        <v>1.2489364147186299</v>
      </c>
      <c r="M677" s="239">
        <v>1.2449804544448899</v>
      </c>
      <c r="N677" s="239">
        <v>1.2430621385574301</v>
      </c>
      <c r="O677" s="239">
        <v>1.24259686470032</v>
      </c>
      <c r="P677" s="239">
        <v>1.24424111843109</v>
      </c>
      <c r="Q677" s="239">
        <v>1.2428184747695901</v>
      </c>
      <c r="R677" s="239">
        <v>1.24728739261627</v>
      </c>
      <c r="S677" s="239">
        <v>1.2513284683227499</v>
      </c>
      <c r="T677" s="239">
        <v>1.2762980461120601</v>
      </c>
      <c r="U677" s="239">
        <v>1.2851967811584499</v>
      </c>
      <c r="V677" s="239">
        <v>1.2969329357147199</v>
      </c>
      <c r="W677" s="239">
        <v>1.3016670942306501</v>
      </c>
      <c r="X677" s="239">
        <v>1.31676089763641</v>
      </c>
      <c r="Y677" s="239">
        <v>1.3290703296661399</v>
      </c>
      <c r="Z677" s="273">
        <f>Y677+($AI$507-$Y$677)/10</f>
        <v>1.3327822261431892</v>
      </c>
    </row>
    <row r="678" spans="1:26">
      <c r="A678" s="235" t="s">
        <v>439</v>
      </c>
      <c r="B678" s="239" t="s">
        <v>439</v>
      </c>
      <c r="C678" s="239" t="s">
        <v>439</v>
      </c>
      <c r="D678" s="239" t="s">
        <v>439</v>
      </c>
      <c r="E678" s="239" t="s">
        <v>439</v>
      </c>
      <c r="F678" s="239" t="s">
        <v>439</v>
      </c>
      <c r="G678" s="239" t="s">
        <v>439</v>
      </c>
      <c r="H678" s="239" t="s">
        <v>439</v>
      </c>
      <c r="I678" s="239" t="s">
        <v>439</v>
      </c>
      <c r="J678" s="239" t="s">
        <v>439</v>
      </c>
      <c r="K678" s="239" t="s">
        <v>439</v>
      </c>
      <c r="L678" s="239" t="s">
        <v>439</v>
      </c>
      <c r="M678" s="239" t="s">
        <v>439</v>
      </c>
      <c r="N678" s="239" t="s">
        <v>439</v>
      </c>
      <c r="O678" s="239" t="s">
        <v>439</v>
      </c>
      <c r="P678" s="239" t="s">
        <v>439</v>
      </c>
      <c r="Q678" s="239" t="s">
        <v>439</v>
      </c>
      <c r="R678" s="239" t="s">
        <v>439</v>
      </c>
      <c r="S678" s="239" t="s">
        <v>439</v>
      </c>
      <c r="T678" s="239" t="s">
        <v>439</v>
      </c>
      <c r="U678" s="239" t="s">
        <v>439</v>
      </c>
      <c r="V678" s="239" t="s">
        <v>439</v>
      </c>
      <c r="W678" s="239" t="s">
        <v>439</v>
      </c>
      <c r="X678" s="239" t="s">
        <v>439</v>
      </c>
      <c r="Y678" s="239" t="s">
        <v>439</v>
      </c>
    </row>
    <row r="679" spans="1:26">
      <c r="A679" s="235" t="s">
        <v>502</v>
      </c>
      <c r="B679" s="239" t="s">
        <v>439</v>
      </c>
      <c r="C679" s="239" t="s">
        <v>439</v>
      </c>
      <c r="D679" s="239" t="s">
        <v>439</v>
      </c>
      <c r="E679" s="239" t="s">
        <v>439</v>
      </c>
      <c r="F679" s="239" t="s">
        <v>439</v>
      </c>
      <c r="G679" s="239" t="s">
        <v>439</v>
      </c>
      <c r="H679" s="239" t="s">
        <v>439</v>
      </c>
      <c r="I679" s="239" t="s">
        <v>439</v>
      </c>
      <c r="J679" s="239" t="s">
        <v>439</v>
      </c>
      <c r="K679" s="239" t="s">
        <v>439</v>
      </c>
      <c r="L679" s="239" t="s">
        <v>439</v>
      </c>
      <c r="M679" s="239" t="s">
        <v>439</v>
      </c>
      <c r="N679" s="239" t="s">
        <v>439</v>
      </c>
      <c r="O679" s="239" t="s">
        <v>439</v>
      </c>
      <c r="P679" s="239" t="s">
        <v>439</v>
      </c>
      <c r="Q679" s="239" t="s">
        <v>439</v>
      </c>
      <c r="R679" s="239" t="s">
        <v>439</v>
      </c>
      <c r="S679" s="239" t="s">
        <v>439</v>
      </c>
      <c r="T679" s="239" t="s">
        <v>439</v>
      </c>
      <c r="U679" s="239" t="s">
        <v>439</v>
      </c>
      <c r="V679" s="239" t="s">
        <v>439</v>
      </c>
      <c r="W679" s="239" t="s">
        <v>439</v>
      </c>
      <c r="X679" s="239" t="s">
        <v>439</v>
      </c>
      <c r="Y679" s="239" t="s">
        <v>439</v>
      </c>
    </row>
    <row r="680" spans="1:26">
      <c r="A680" s="235" t="s">
        <v>503</v>
      </c>
      <c r="B680" s="239">
        <v>9.0916013717651403</v>
      </c>
      <c r="C680" s="239">
        <v>10.5092258453369</v>
      </c>
      <c r="D680" s="239">
        <v>12.005053520202599</v>
      </c>
      <c r="E680" s="239">
        <v>11.6376342773438</v>
      </c>
      <c r="F680" s="239">
        <v>11.8251142501831</v>
      </c>
      <c r="G680" s="239">
        <v>11.7351989746094</v>
      </c>
      <c r="H680" s="239">
        <v>11.6926622390747</v>
      </c>
      <c r="I680" s="239">
        <v>11.6848964691162</v>
      </c>
      <c r="J680" s="239">
        <v>11.6311902999878</v>
      </c>
      <c r="K680" s="239">
        <v>11.6124935150146</v>
      </c>
      <c r="L680" s="239">
        <v>11.616386413574199</v>
      </c>
      <c r="M680" s="239">
        <v>11.566198348999</v>
      </c>
      <c r="N680" s="239">
        <v>11.5507049560547</v>
      </c>
      <c r="O680" s="239">
        <v>11.475526809692401</v>
      </c>
      <c r="P680" s="239">
        <v>11.520403861999499</v>
      </c>
      <c r="Q680" s="239">
        <v>11.477831840515099</v>
      </c>
      <c r="R680" s="239">
        <v>11.5152139663696</v>
      </c>
      <c r="S680" s="239">
        <v>11.577165603637701</v>
      </c>
      <c r="T680" s="239">
        <v>11.5678558349609</v>
      </c>
      <c r="U680" s="239">
        <v>11.7752237319946</v>
      </c>
      <c r="V680" s="239">
        <v>11.90793800354</v>
      </c>
      <c r="W680" s="239">
        <v>12.0465354919434</v>
      </c>
      <c r="X680" s="239">
        <v>12.1843271255493</v>
      </c>
      <c r="Y680" s="239">
        <v>12.407506942749</v>
      </c>
    </row>
    <row r="681" spans="1:26">
      <c r="A681" s="235" t="s">
        <v>504</v>
      </c>
      <c r="B681" s="239">
        <v>8.7129955291747994</v>
      </c>
      <c r="C681" s="239">
        <v>9.89868068695068</v>
      </c>
      <c r="D681" s="239">
        <v>10.9323635101318</v>
      </c>
      <c r="E681" s="239">
        <v>10.516573905944799</v>
      </c>
      <c r="F681" s="239">
        <v>10.8896884918213</v>
      </c>
      <c r="G681" s="239">
        <v>11.1545400619507</v>
      </c>
      <c r="H681" s="239">
        <v>11.1602163314819</v>
      </c>
      <c r="I681" s="239">
        <v>11.210696220397899</v>
      </c>
      <c r="J681" s="239">
        <v>11.2655477523804</v>
      </c>
      <c r="K681" s="239">
        <v>11.312797546386699</v>
      </c>
      <c r="L681" s="239">
        <v>11.4240579605103</v>
      </c>
      <c r="M681" s="239">
        <v>11.453408241271999</v>
      </c>
      <c r="N681" s="239">
        <v>11.43030834198</v>
      </c>
      <c r="O681" s="239">
        <v>11.241268157959</v>
      </c>
      <c r="P681" s="239">
        <v>11.0996809005737</v>
      </c>
      <c r="Q681" s="239">
        <v>10.9476537704468</v>
      </c>
      <c r="R681" s="239">
        <v>10.947796821594199</v>
      </c>
      <c r="S681" s="239">
        <v>10.974308013916</v>
      </c>
      <c r="T681" s="239">
        <v>11.019621849060099</v>
      </c>
      <c r="U681" s="239">
        <v>11.1190385818481</v>
      </c>
      <c r="V681" s="239">
        <v>11.172901153564499</v>
      </c>
      <c r="W681" s="239">
        <v>11.2430562973022</v>
      </c>
      <c r="X681" s="239">
        <v>11.376879692077599</v>
      </c>
      <c r="Y681" s="239">
        <v>11.7449541091919</v>
      </c>
    </row>
    <row r="682" spans="1:26">
      <c r="A682" s="235" t="s">
        <v>505</v>
      </c>
      <c r="B682" s="239">
        <v>6.0538434982299796</v>
      </c>
      <c r="C682" s="239">
        <v>6.4578518867492702</v>
      </c>
      <c r="D682" s="239">
        <v>8.1168746948242205</v>
      </c>
      <c r="E682" s="239">
        <v>7.6875567436218297</v>
      </c>
      <c r="F682" s="239">
        <v>7.8739576339721697</v>
      </c>
      <c r="G682" s="239">
        <v>7.8265089988708496</v>
      </c>
      <c r="H682" s="239">
        <v>7.9840884208679199</v>
      </c>
      <c r="I682" s="239">
        <v>8.0166091918945295</v>
      </c>
      <c r="J682" s="239">
        <v>7.8608303070068404</v>
      </c>
      <c r="K682" s="239">
        <v>7.81276655197144</v>
      </c>
      <c r="L682" s="239">
        <v>7.8045797348022496</v>
      </c>
      <c r="M682" s="239">
        <v>7.7928524017334002</v>
      </c>
      <c r="N682" s="239">
        <v>7.7725591659545898</v>
      </c>
      <c r="O682" s="239">
        <v>7.7157216072082502</v>
      </c>
      <c r="P682" s="239">
        <v>7.7164225578308097</v>
      </c>
      <c r="Q682" s="239">
        <v>7.6991229057312003</v>
      </c>
      <c r="R682" s="239">
        <v>7.7546834945678702</v>
      </c>
      <c r="S682" s="239">
        <v>7.8412432670593297</v>
      </c>
      <c r="T682" s="239">
        <v>7.8916783332824698</v>
      </c>
      <c r="U682" s="239">
        <v>8.0530261993408203</v>
      </c>
      <c r="V682" s="239">
        <v>8.1459932327270508</v>
      </c>
      <c r="W682" s="239">
        <v>8.2922735214233398</v>
      </c>
      <c r="X682" s="239">
        <v>8.4199304580688494</v>
      </c>
      <c r="Y682" s="239">
        <v>8.7479171752929705</v>
      </c>
    </row>
    <row r="683" spans="1:26">
      <c r="A683" s="235" t="s">
        <v>506</v>
      </c>
      <c r="B683" s="239">
        <v>9.5166797637939506</v>
      </c>
      <c r="C683" s="239">
        <v>13.0396432876587</v>
      </c>
      <c r="D683" s="239">
        <v>15.6858806610107</v>
      </c>
      <c r="E683" s="239">
        <v>14.0740518569946</v>
      </c>
      <c r="F683" s="239">
        <v>13.2904262542725</v>
      </c>
      <c r="G683" s="239">
        <v>13.309534072876</v>
      </c>
      <c r="H683" s="239">
        <v>13.149743080139199</v>
      </c>
      <c r="I683" s="239">
        <v>13.0244760513306</v>
      </c>
      <c r="J683" s="239">
        <v>13.1580867767334</v>
      </c>
      <c r="K683" s="239">
        <v>12.982262611389199</v>
      </c>
      <c r="L683" s="239">
        <v>12.9337568283081</v>
      </c>
      <c r="M683" s="239">
        <v>12.8646802902222</v>
      </c>
      <c r="N683" s="239">
        <v>12.621651649475099</v>
      </c>
      <c r="O683" s="239">
        <v>12.775475502014199</v>
      </c>
      <c r="P683" s="239">
        <v>12.937217712402299</v>
      </c>
      <c r="Q683" s="239">
        <v>13.1492967605591</v>
      </c>
      <c r="R683" s="239">
        <v>13.286898612976101</v>
      </c>
      <c r="S683" s="239">
        <v>13.3753395080566</v>
      </c>
      <c r="T683" s="239">
        <v>13.277045249939</v>
      </c>
      <c r="U683" s="239">
        <v>13.584378242492701</v>
      </c>
      <c r="V683" s="239">
        <v>13.775920867919901</v>
      </c>
      <c r="W683" s="239">
        <v>13.987989425659199</v>
      </c>
      <c r="X683" s="239">
        <v>14.116153717041</v>
      </c>
      <c r="Y683" s="239">
        <v>14.3756980895996</v>
      </c>
    </row>
    <row r="684" spans="1:26">
      <c r="A684" s="235" t="s">
        <v>507</v>
      </c>
      <c r="B684" s="239">
        <v>11.3185987472534</v>
      </c>
      <c r="C684" s="239">
        <v>12.9258327484131</v>
      </c>
      <c r="D684" s="239">
        <v>14.650143623352101</v>
      </c>
      <c r="E684" s="239">
        <v>14.344244956970201</v>
      </c>
      <c r="F684" s="239">
        <v>14.6975507736206</v>
      </c>
      <c r="G684" s="239">
        <v>14.347893714904799</v>
      </c>
      <c r="H684" s="239">
        <v>14.238919258117701</v>
      </c>
      <c r="I684" s="239">
        <v>14.238542556762701</v>
      </c>
      <c r="J684" s="239">
        <v>14.0666351318359</v>
      </c>
      <c r="K684" s="239">
        <v>14.0516872406006</v>
      </c>
      <c r="L684" s="239">
        <v>14.0139780044556</v>
      </c>
      <c r="M684" s="239">
        <v>13.894681930541999</v>
      </c>
      <c r="N684" s="239">
        <v>13.9225015640259</v>
      </c>
      <c r="O684" s="239">
        <v>13.8080444335938</v>
      </c>
      <c r="P684" s="239">
        <v>13.9091501235962</v>
      </c>
      <c r="Q684" s="239">
        <v>13.810170173645</v>
      </c>
      <c r="R684" s="239">
        <v>13.822598457336399</v>
      </c>
      <c r="S684" s="239">
        <v>13.882239341735801</v>
      </c>
      <c r="T684" s="239">
        <v>13.824323654174799</v>
      </c>
      <c r="U684" s="239">
        <v>14.0693578720093</v>
      </c>
      <c r="V684" s="239">
        <v>14.2271223068237</v>
      </c>
      <c r="W684" s="239">
        <v>14.3637847900391</v>
      </c>
      <c r="X684" s="239">
        <v>14.4981489181519</v>
      </c>
      <c r="Y684" s="239">
        <v>14.5947113037109</v>
      </c>
    </row>
    <row r="685" spans="1:26">
      <c r="A685" s="235" t="s">
        <v>508</v>
      </c>
      <c r="B685" s="239">
        <v>3.9308724403381299</v>
      </c>
      <c r="C685" s="239">
        <v>4.6628575325012198</v>
      </c>
      <c r="D685" s="239">
        <v>5.07232666015625</v>
      </c>
      <c r="E685" s="239">
        <v>5.1433587074279803</v>
      </c>
      <c r="F685" s="239">
        <v>5.4173622131347701</v>
      </c>
      <c r="G685" s="239">
        <v>5.4097323417663601</v>
      </c>
      <c r="H685" s="239">
        <v>5.3977632522582999</v>
      </c>
      <c r="I685" s="239">
        <v>5.3867764472961399</v>
      </c>
      <c r="J685" s="239">
        <v>5.3854241371154803</v>
      </c>
      <c r="K685" s="239">
        <v>5.3919448852539098</v>
      </c>
      <c r="L685" s="239">
        <v>5.3981180191040004</v>
      </c>
      <c r="M685" s="239">
        <v>5.4056487083435103</v>
      </c>
      <c r="N685" s="239">
        <v>5.4104261398315403</v>
      </c>
      <c r="O685" s="239">
        <v>5.4168543815612802</v>
      </c>
      <c r="P685" s="239">
        <v>5.4972262382507298</v>
      </c>
      <c r="Q685" s="239">
        <v>5.5698432922363299</v>
      </c>
      <c r="R685" s="239">
        <v>5.6456804275512704</v>
      </c>
      <c r="S685" s="239">
        <v>5.7250947952270499</v>
      </c>
      <c r="T685" s="239">
        <v>5.8020553588867196</v>
      </c>
      <c r="U685" s="239">
        <v>5.88106393814087</v>
      </c>
      <c r="V685" s="239">
        <v>5.9598326683044398</v>
      </c>
      <c r="W685" s="239">
        <v>6.0394186973571804</v>
      </c>
      <c r="X685" s="239">
        <v>6.11779880523682</v>
      </c>
      <c r="Y685" s="239">
        <v>6.2010583877563503</v>
      </c>
    </row>
    <row r="686" spans="1:26">
      <c r="A686" s="235" t="s">
        <v>509</v>
      </c>
      <c r="B686" s="239">
        <v>5.1461992263793901</v>
      </c>
      <c r="C686" s="239">
        <v>6.8558807373046902</v>
      </c>
      <c r="D686" s="239">
        <v>7.3508062362670898</v>
      </c>
      <c r="E686" s="239">
        <v>7.3840570449829102</v>
      </c>
      <c r="F686" s="239">
        <v>6.7167382240295401</v>
      </c>
      <c r="G686" s="239">
        <v>6.27575588226318</v>
      </c>
      <c r="H686" s="239">
        <v>5.86295366287231</v>
      </c>
      <c r="I686" s="239">
        <v>5.7038016319274902</v>
      </c>
      <c r="J686" s="239">
        <v>5.5520119667053196</v>
      </c>
      <c r="K686" s="239">
        <v>5.5432248115539604</v>
      </c>
      <c r="L686" s="239">
        <v>5.5985813140869096</v>
      </c>
      <c r="M686" s="239">
        <v>5.70459079742432</v>
      </c>
      <c r="N686" s="239">
        <v>5.8318381309509304</v>
      </c>
      <c r="O686" s="239">
        <v>5.9191007614135698</v>
      </c>
      <c r="P686" s="239">
        <v>5.9519534111022896</v>
      </c>
      <c r="Q686" s="239">
        <v>5.8878293037414604</v>
      </c>
      <c r="R686" s="239">
        <v>5.94315385818481</v>
      </c>
      <c r="S686" s="239">
        <v>6.08443307876587</v>
      </c>
      <c r="T686" s="239">
        <v>6.3156557083129901</v>
      </c>
      <c r="U686" s="239">
        <v>6.4281539916992196</v>
      </c>
      <c r="V686" s="239">
        <v>6.4433326721191397</v>
      </c>
      <c r="W686" s="239">
        <v>6.4763746261596697</v>
      </c>
      <c r="X686" s="239">
        <v>6.5396862030029297</v>
      </c>
      <c r="Y686" s="239">
        <v>6.6462817192077601</v>
      </c>
    </row>
    <row r="687" spans="1:26">
      <c r="A687" s="235" t="s">
        <v>510</v>
      </c>
      <c r="B687" s="239">
        <v>1.2938040494918801</v>
      </c>
      <c r="C687" s="239">
        <v>1.29924309253693</v>
      </c>
      <c r="D687" s="239">
        <v>1.3041912317276001</v>
      </c>
      <c r="E687" s="239">
        <v>1.3119194507598899</v>
      </c>
      <c r="F687" s="239">
        <v>1.3187216520309399</v>
      </c>
      <c r="G687" s="239">
        <v>1.3072546720504801</v>
      </c>
      <c r="H687" s="239">
        <v>1.3059933185577399</v>
      </c>
      <c r="I687" s="239">
        <v>1.2971544265747099</v>
      </c>
      <c r="J687" s="239">
        <v>1.2836289405822801</v>
      </c>
      <c r="K687" s="239">
        <v>1.2749706506729099</v>
      </c>
      <c r="L687" s="239">
        <v>1.26953566074371</v>
      </c>
      <c r="M687" s="239">
        <v>1.2652333974838299</v>
      </c>
      <c r="N687" s="239">
        <v>1.2631930112838701</v>
      </c>
      <c r="O687" s="239">
        <v>1.2626041173934901</v>
      </c>
      <c r="P687" s="239">
        <v>1.26433837413788</v>
      </c>
      <c r="Q687" s="239">
        <v>1.26277422904968</v>
      </c>
      <c r="R687" s="239">
        <v>1.2691743373870801</v>
      </c>
      <c r="S687" s="239">
        <v>1.27585673332214</v>
      </c>
      <c r="T687" s="239">
        <v>1.3034254312515301</v>
      </c>
      <c r="U687" s="239">
        <v>1.3139834403991699</v>
      </c>
      <c r="V687" s="239">
        <v>1.32844221591949</v>
      </c>
      <c r="W687" s="239">
        <v>1.3343856334686299</v>
      </c>
      <c r="X687" s="239">
        <v>1.3519768714904801</v>
      </c>
      <c r="Y687" s="239">
        <v>1.3668735027313199</v>
      </c>
    </row>
    <row r="688" spans="1:26">
      <c r="A688" s="235" t="s">
        <v>511</v>
      </c>
      <c r="B688" s="239">
        <v>14.6543264389038</v>
      </c>
      <c r="C688" s="239">
        <v>16.232709884643601</v>
      </c>
      <c r="D688" s="239">
        <v>19.6646022796631</v>
      </c>
      <c r="E688" s="239">
        <v>19.716905593872099</v>
      </c>
      <c r="F688" s="239">
        <v>20.910398483276399</v>
      </c>
      <c r="G688" s="239">
        <v>20.088336944580099</v>
      </c>
      <c r="H688" s="239">
        <v>20.034643173217798</v>
      </c>
      <c r="I688" s="239">
        <v>19.876234054565401</v>
      </c>
      <c r="J688" s="239">
        <v>19.0899848937988</v>
      </c>
      <c r="K688" s="239">
        <v>19.0770473480225</v>
      </c>
      <c r="L688" s="239">
        <v>18.9334907531738</v>
      </c>
      <c r="M688" s="239">
        <v>18.8203315734863</v>
      </c>
      <c r="N688" s="239">
        <v>18.8769016265869</v>
      </c>
      <c r="O688" s="239">
        <v>18.733657836914102</v>
      </c>
      <c r="P688" s="239">
        <v>18.836368560791001</v>
      </c>
      <c r="Q688" s="239">
        <v>18.717578887939499</v>
      </c>
      <c r="R688" s="239">
        <v>18.677961349487301</v>
      </c>
      <c r="S688" s="239">
        <v>18.768825531005898</v>
      </c>
      <c r="T688" s="239">
        <v>18.702945709228501</v>
      </c>
      <c r="U688" s="239">
        <v>19.039726257324201</v>
      </c>
      <c r="V688" s="239">
        <v>19.213029861450199</v>
      </c>
      <c r="W688" s="239">
        <v>19.429216384887699</v>
      </c>
      <c r="X688" s="239">
        <v>19.537574768066399</v>
      </c>
      <c r="Y688" s="239">
        <v>19.6945476531982</v>
      </c>
    </row>
    <row r="689" spans="1:28">
      <c r="A689" s="235" t="s">
        <v>478</v>
      </c>
      <c r="B689" s="239">
        <v>21.599882125854499</v>
      </c>
      <c r="C689" s="239">
        <v>21.735733032226602</v>
      </c>
      <c r="D689" s="239">
        <v>21.731866836547901</v>
      </c>
      <c r="E689" s="239">
        <v>21.659553527831999</v>
      </c>
      <c r="F689" s="239">
        <v>20.918876647949201</v>
      </c>
      <c r="G689" s="239">
        <v>20.055833816528299</v>
      </c>
      <c r="H689" s="239">
        <v>19.596654891967798</v>
      </c>
      <c r="I689" s="239">
        <v>19.579929351806602</v>
      </c>
      <c r="J689" s="239">
        <v>19.517631530761701</v>
      </c>
      <c r="K689" s="239">
        <v>19.486770629882798</v>
      </c>
      <c r="L689" s="239">
        <v>19.702039718627901</v>
      </c>
      <c r="M689" s="239">
        <v>19.955158233642599</v>
      </c>
      <c r="N689" s="239">
        <v>20.317079544067401</v>
      </c>
      <c r="O689" s="239">
        <v>20.442613601684599</v>
      </c>
      <c r="P689" s="239">
        <v>20.578334808349599</v>
      </c>
      <c r="Q689" s="239">
        <v>20.580734252929702</v>
      </c>
      <c r="R689" s="239">
        <v>20.7274265289307</v>
      </c>
      <c r="S689" s="239">
        <v>20.953577041626001</v>
      </c>
      <c r="T689" s="239">
        <v>21.262916564941399</v>
      </c>
      <c r="U689" s="239">
        <v>21.454774856567401</v>
      </c>
      <c r="V689" s="239">
        <v>21.4308891296387</v>
      </c>
      <c r="W689" s="239">
        <v>21.3733520507813</v>
      </c>
      <c r="X689" s="239">
        <v>21.452013015747099</v>
      </c>
      <c r="Y689" s="239">
        <v>21.5757865905762</v>
      </c>
    </row>
    <row r="690" spans="1:28">
      <c r="A690" s="235" t="s">
        <v>439</v>
      </c>
      <c r="B690" s="239" t="s">
        <v>439</v>
      </c>
      <c r="C690" s="239" t="s">
        <v>439</v>
      </c>
      <c r="D690" s="239" t="s">
        <v>439</v>
      </c>
      <c r="E690" s="239" t="s">
        <v>439</v>
      </c>
      <c r="F690" s="239" t="s">
        <v>439</v>
      </c>
      <c r="G690" s="239" t="s">
        <v>439</v>
      </c>
      <c r="H690" s="239" t="s">
        <v>439</v>
      </c>
      <c r="I690" s="239" t="s">
        <v>439</v>
      </c>
      <c r="J690" s="239" t="s">
        <v>439</v>
      </c>
      <c r="K690" s="239" t="s">
        <v>439</v>
      </c>
      <c r="L690" s="239" t="s">
        <v>439</v>
      </c>
      <c r="M690" s="239" t="s">
        <v>439</v>
      </c>
      <c r="N690" s="239" t="s">
        <v>439</v>
      </c>
      <c r="O690" s="239" t="s">
        <v>439</v>
      </c>
      <c r="P690" s="239" t="s">
        <v>439</v>
      </c>
      <c r="Q690" s="239" t="s">
        <v>439</v>
      </c>
      <c r="R690" s="239" t="s">
        <v>439</v>
      </c>
      <c r="S690" s="239" t="s">
        <v>439</v>
      </c>
      <c r="T690" s="239" t="s">
        <v>439</v>
      </c>
      <c r="U690" s="239" t="s">
        <v>439</v>
      </c>
      <c r="V690" s="239" t="s">
        <v>439</v>
      </c>
      <c r="W690" s="239" t="s">
        <v>439</v>
      </c>
      <c r="X690" s="239" t="s">
        <v>439</v>
      </c>
      <c r="Y690" s="239" t="s">
        <v>439</v>
      </c>
    </row>
    <row r="691" spans="1:28">
      <c r="A691" s="235" t="s">
        <v>512</v>
      </c>
      <c r="B691" s="239" t="s">
        <v>439</v>
      </c>
      <c r="C691" s="239" t="s">
        <v>439</v>
      </c>
      <c r="D691" s="239" t="s">
        <v>439</v>
      </c>
      <c r="E691" s="239" t="s">
        <v>439</v>
      </c>
      <c r="F691" s="239" t="s">
        <v>439</v>
      </c>
      <c r="G691" s="239" t="s">
        <v>439</v>
      </c>
      <c r="H691" s="239" t="s">
        <v>439</v>
      </c>
      <c r="I691" s="239" t="s">
        <v>439</v>
      </c>
      <c r="J691" s="239" t="s">
        <v>439</v>
      </c>
      <c r="K691" s="239" t="s">
        <v>439</v>
      </c>
      <c r="L691" s="239" t="s">
        <v>439</v>
      </c>
      <c r="M691" s="239" t="s">
        <v>439</v>
      </c>
      <c r="N691" s="239" t="s">
        <v>439</v>
      </c>
      <c r="O691" s="239" t="s">
        <v>439</v>
      </c>
      <c r="P691" s="239" t="s">
        <v>439</v>
      </c>
      <c r="Q691" s="239" t="s">
        <v>439</v>
      </c>
      <c r="R691" s="239" t="s">
        <v>439</v>
      </c>
      <c r="S691" s="239" t="s">
        <v>439</v>
      </c>
      <c r="T691" s="239" t="s">
        <v>439</v>
      </c>
      <c r="U691" s="239" t="s">
        <v>439</v>
      </c>
      <c r="V691" s="239" t="s">
        <v>439</v>
      </c>
      <c r="W691" s="239" t="s">
        <v>439</v>
      </c>
      <c r="X691" s="239" t="s">
        <v>439</v>
      </c>
      <c r="Y691" s="239" t="s">
        <v>439</v>
      </c>
    </row>
    <row r="692" spans="1:28">
      <c r="A692" s="235" t="s">
        <v>513</v>
      </c>
      <c r="B692" s="239" t="s">
        <v>439</v>
      </c>
      <c r="C692" s="239" t="s">
        <v>439</v>
      </c>
      <c r="D692" s="239" t="s">
        <v>439</v>
      </c>
      <c r="E692" s="239" t="s">
        <v>439</v>
      </c>
      <c r="F692" s="239" t="s">
        <v>439</v>
      </c>
      <c r="G692" s="239" t="s">
        <v>439</v>
      </c>
      <c r="H692" s="239" t="s">
        <v>439</v>
      </c>
      <c r="I692" s="239" t="s">
        <v>439</v>
      </c>
      <c r="J692" s="239" t="s">
        <v>439</v>
      </c>
      <c r="K692" s="239" t="s">
        <v>439</v>
      </c>
      <c r="L692" s="239" t="s">
        <v>439</v>
      </c>
      <c r="M692" s="239" t="s">
        <v>439</v>
      </c>
      <c r="N692" s="239" t="s">
        <v>439</v>
      </c>
      <c r="O692" s="239" t="s">
        <v>439</v>
      </c>
      <c r="P692" s="239" t="s">
        <v>439</v>
      </c>
      <c r="Q692" s="239" t="s">
        <v>439</v>
      </c>
      <c r="R692" s="239" t="s">
        <v>439</v>
      </c>
      <c r="S692" s="239" t="s">
        <v>439</v>
      </c>
      <c r="T692" s="239" t="s">
        <v>439</v>
      </c>
      <c r="U692" s="239" t="s">
        <v>439</v>
      </c>
      <c r="V692" s="239" t="s">
        <v>439</v>
      </c>
      <c r="W692" s="239" t="s">
        <v>439</v>
      </c>
      <c r="X692" s="239" t="s">
        <v>439</v>
      </c>
      <c r="Y692" s="239" t="s">
        <v>439</v>
      </c>
    </row>
    <row r="693" spans="1:28">
      <c r="A693" s="235" t="s">
        <v>472</v>
      </c>
      <c r="B693" s="239">
        <v>163.90481567382801</v>
      </c>
      <c r="C693" s="239">
        <v>177.16523742675801</v>
      </c>
      <c r="D693" s="239">
        <v>181.73590087890599</v>
      </c>
      <c r="E693" s="239">
        <v>185.241622924805</v>
      </c>
      <c r="F693" s="239">
        <v>180.05682373046901</v>
      </c>
      <c r="G693" s="239">
        <v>176.427001953125</v>
      </c>
      <c r="H693" s="239">
        <v>175.07618713378901</v>
      </c>
      <c r="I693" s="239">
        <v>176.51165771484401</v>
      </c>
      <c r="J693" s="239">
        <v>178.08059692382801</v>
      </c>
      <c r="K693" s="239">
        <v>180.014236450195</v>
      </c>
      <c r="L693" s="239">
        <v>183.85498046875</v>
      </c>
      <c r="M693" s="239">
        <v>187.18310546875</v>
      </c>
      <c r="N693" s="239">
        <v>191.43936157226599</v>
      </c>
      <c r="O693" s="239">
        <v>194.37899780273401</v>
      </c>
      <c r="P693" s="239">
        <v>197.52023315429699</v>
      </c>
      <c r="Q693" s="239">
        <v>198.76248168945301</v>
      </c>
      <c r="R693" s="239">
        <v>201.94073486328099</v>
      </c>
      <c r="S693" s="239">
        <v>206.017013549805</v>
      </c>
      <c r="T693" s="239">
        <v>211.20541381835901</v>
      </c>
      <c r="U693" s="239">
        <v>214.41099548339801</v>
      </c>
      <c r="V693" s="239">
        <v>216.40347290039099</v>
      </c>
      <c r="W693" s="239">
        <v>218.64796447753901</v>
      </c>
      <c r="X693" s="239">
        <v>222.25126647949199</v>
      </c>
      <c r="Y693" s="239">
        <v>225.36584472656301</v>
      </c>
      <c r="AA693" s="286"/>
      <c r="AB693" s="286"/>
    </row>
    <row r="694" spans="1:28">
      <c r="A694" s="235" t="s">
        <v>479</v>
      </c>
      <c r="B694" s="239">
        <v>122.690147399902</v>
      </c>
      <c r="C694" s="239">
        <v>128.153732299805</v>
      </c>
      <c r="D694" s="239">
        <v>130.48612976074199</v>
      </c>
      <c r="E694" s="239">
        <v>132.29133605957</v>
      </c>
      <c r="F694" s="239">
        <v>129.27566528320301</v>
      </c>
      <c r="G694" s="239">
        <v>126.887260437012</v>
      </c>
      <c r="H694" s="239">
        <v>126.692184448242</v>
      </c>
      <c r="I694" s="239">
        <v>129.41491699218801</v>
      </c>
      <c r="J694" s="239">
        <v>131.90731811523401</v>
      </c>
      <c r="K694" s="239">
        <v>135.04089355468801</v>
      </c>
      <c r="L694" s="239">
        <v>139.741943359375</v>
      </c>
      <c r="M694" s="239">
        <v>144.63902282714801</v>
      </c>
      <c r="N694" s="239">
        <v>150.53921508789099</v>
      </c>
      <c r="O694" s="239">
        <v>154.864669799805</v>
      </c>
      <c r="P694" s="239">
        <v>159.25378417968801</v>
      </c>
      <c r="Q694" s="239">
        <v>162.59527587890599</v>
      </c>
      <c r="R694" s="239">
        <v>167.29981994628901</v>
      </c>
      <c r="S694" s="239">
        <v>172.854415893555</v>
      </c>
      <c r="T694" s="239">
        <v>179.18412780761699</v>
      </c>
      <c r="U694" s="239">
        <v>184.76553344726599</v>
      </c>
      <c r="V694" s="239">
        <v>188.65592956543</v>
      </c>
      <c r="W694" s="239">
        <v>192.56275939941401</v>
      </c>
      <c r="X694" s="239">
        <v>197.80290222168</v>
      </c>
      <c r="Y694" s="239">
        <v>203.64804077148401</v>
      </c>
    </row>
    <row r="695" spans="1:28">
      <c r="A695" s="235" t="s">
        <v>514</v>
      </c>
      <c r="B695" s="239">
        <v>124.39901733398401</v>
      </c>
      <c r="C695" s="239">
        <v>147.11244201660199</v>
      </c>
      <c r="D695" s="239">
        <v>168.13270568847699</v>
      </c>
      <c r="E695" s="239">
        <v>167.53501892089801</v>
      </c>
      <c r="F695" s="239">
        <v>157.82022094726599</v>
      </c>
      <c r="G695" s="239">
        <v>152.842697143555</v>
      </c>
      <c r="H695" s="239">
        <v>151.28466796875</v>
      </c>
      <c r="I695" s="239">
        <v>151.59564208984401</v>
      </c>
      <c r="J695" s="239">
        <v>151.94683837890599</v>
      </c>
      <c r="K695" s="239">
        <v>152.62234497070301</v>
      </c>
      <c r="L695" s="239">
        <v>154.60144042968801</v>
      </c>
      <c r="M695" s="239">
        <v>156.88139343261699</v>
      </c>
      <c r="N695" s="239">
        <v>159.98997497558599</v>
      </c>
      <c r="O695" s="239">
        <v>162.62356567382801</v>
      </c>
      <c r="P695" s="239">
        <v>164.507247924805</v>
      </c>
      <c r="Q695" s="239">
        <v>166.59835815429699</v>
      </c>
      <c r="R695" s="239">
        <v>170.382568359375</v>
      </c>
      <c r="S695" s="239">
        <v>174.95167541503901</v>
      </c>
      <c r="T695" s="239">
        <v>179.57080078125</v>
      </c>
      <c r="U695" s="239">
        <v>184.12712097168</v>
      </c>
      <c r="V695" s="239">
        <v>186.42012023925801</v>
      </c>
      <c r="W695" s="239">
        <v>189.56260681152301</v>
      </c>
      <c r="X695" s="239">
        <v>192.98284912109401</v>
      </c>
      <c r="Y695" s="239">
        <v>198.25885009765599</v>
      </c>
    </row>
    <row r="696" spans="1:28">
      <c r="A696" s="235" t="s">
        <v>486</v>
      </c>
      <c r="B696" s="239">
        <v>263.72879028320301</v>
      </c>
      <c r="C696" s="239">
        <v>302.59255981445301</v>
      </c>
      <c r="D696" s="239">
        <v>352.23825073242199</v>
      </c>
      <c r="E696" s="239">
        <v>351.13717651367199</v>
      </c>
      <c r="F696" s="239">
        <v>366.34793090820301</v>
      </c>
      <c r="G696" s="239">
        <v>368.76159667968801</v>
      </c>
      <c r="H696" s="239">
        <v>374.76626586914102</v>
      </c>
      <c r="I696" s="239">
        <v>382.39471435546898</v>
      </c>
      <c r="J696" s="239">
        <v>385.90115356445301</v>
      </c>
      <c r="K696" s="239">
        <v>392.12625122070301</v>
      </c>
      <c r="L696" s="239">
        <v>398.68222045898398</v>
      </c>
      <c r="M696" s="239">
        <v>403.06192016601602</v>
      </c>
      <c r="N696" s="239">
        <v>409.94515991210898</v>
      </c>
      <c r="O696" s="239">
        <v>412.30630493164102</v>
      </c>
      <c r="P696" s="239">
        <v>418.64147949218801</v>
      </c>
      <c r="Q696" s="239">
        <v>421.60382080078102</v>
      </c>
      <c r="R696" s="239">
        <v>428.44393920898398</v>
      </c>
      <c r="S696" s="239">
        <v>436.35858154296898</v>
      </c>
      <c r="T696" s="239">
        <v>441.71078491210898</v>
      </c>
      <c r="U696" s="239">
        <v>454.05059814453102</v>
      </c>
      <c r="V696" s="239">
        <v>464.07431030273398</v>
      </c>
      <c r="W696" s="239">
        <v>474.87463378906301</v>
      </c>
      <c r="X696" s="239">
        <v>486.72909545898398</v>
      </c>
      <c r="Y696" s="239">
        <v>501.322265625</v>
      </c>
    </row>
    <row r="697" spans="1:28">
      <c r="A697" s="235" t="s">
        <v>515</v>
      </c>
      <c r="B697" s="239">
        <v>674.72277832031295</v>
      </c>
      <c r="C697" s="239">
        <v>755.02398681640602</v>
      </c>
      <c r="D697" s="239">
        <v>832.593017578125</v>
      </c>
      <c r="E697" s="239">
        <v>836.20513916015602</v>
      </c>
      <c r="F697" s="239">
        <v>833.50061035156295</v>
      </c>
      <c r="G697" s="239">
        <v>824.91857910156295</v>
      </c>
      <c r="H697" s="239">
        <v>827.8193359375</v>
      </c>
      <c r="I697" s="239">
        <v>839.91693115234398</v>
      </c>
      <c r="J697" s="239">
        <v>847.8359375</v>
      </c>
      <c r="K697" s="239">
        <v>859.8037109375</v>
      </c>
      <c r="L697" s="239">
        <v>876.880615234375</v>
      </c>
      <c r="M697" s="239">
        <v>891.76544189453102</v>
      </c>
      <c r="N697" s="239">
        <v>911.91369628906295</v>
      </c>
      <c r="O697" s="239">
        <v>924.17352294921898</v>
      </c>
      <c r="P697" s="239">
        <v>939.92272949218795</v>
      </c>
      <c r="Q697" s="239">
        <v>949.55993652343795</v>
      </c>
      <c r="R697" s="239">
        <v>968.06707763671898</v>
      </c>
      <c r="S697" s="239">
        <v>990.18170166015602</v>
      </c>
      <c r="T697" s="239">
        <v>1011.67114257813</v>
      </c>
      <c r="U697" s="239">
        <v>1037.35424804688</v>
      </c>
      <c r="V697" s="239">
        <v>1055.55383300781</v>
      </c>
      <c r="W697" s="239">
        <v>1075.64794921875</v>
      </c>
      <c r="X697" s="239">
        <v>1099.76611328125</v>
      </c>
      <c r="Y697" s="239">
        <v>1128.59497070313</v>
      </c>
    </row>
    <row r="698" spans="1:28">
      <c r="A698" s="235" t="s">
        <v>516</v>
      </c>
      <c r="B698" s="239">
        <v>1.1704622767865699E-2</v>
      </c>
      <c r="C698" s="239">
        <v>1.72001253813505E-2</v>
      </c>
      <c r="D698" s="239">
        <v>2.0739471539855E-2</v>
      </c>
      <c r="E698" s="239">
        <v>2.2715086117386801E-2</v>
      </c>
      <c r="F698" s="239">
        <v>2.5078095495700801E-2</v>
      </c>
      <c r="G698" s="239">
        <v>2.8324941173195801E-2</v>
      </c>
      <c r="H698" s="239">
        <v>3.1410280615091303E-2</v>
      </c>
      <c r="I698" s="239">
        <v>3.5102743655443198E-2</v>
      </c>
      <c r="J698" s="239">
        <v>3.9645586162805599E-2</v>
      </c>
      <c r="K698" s="239">
        <v>4.3348435312509502E-2</v>
      </c>
      <c r="L698" s="239">
        <v>4.6531450003385502E-2</v>
      </c>
      <c r="M698" s="239">
        <v>4.9735426902771003E-2</v>
      </c>
      <c r="N698" s="239">
        <v>5.3442426025867497E-2</v>
      </c>
      <c r="O698" s="239">
        <v>5.6060969829559298E-2</v>
      </c>
      <c r="P698" s="239">
        <v>6.0336232185363797E-2</v>
      </c>
      <c r="Q698" s="239">
        <v>6.3296250998973805E-2</v>
      </c>
      <c r="R698" s="239">
        <v>6.6096656024455996E-2</v>
      </c>
      <c r="S698" s="239">
        <v>6.9950148463249207E-2</v>
      </c>
      <c r="T698" s="239">
        <v>7.2811737656593295E-2</v>
      </c>
      <c r="U698" s="239">
        <v>7.6670221984386402E-2</v>
      </c>
      <c r="V698" s="239">
        <v>8.0276548862457303E-2</v>
      </c>
      <c r="W698" s="239">
        <v>8.4626309573650402E-2</v>
      </c>
      <c r="X698" s="239">
        <v>8.8446177542209597E-2</v>
      </c>
      <c r="Y698" s="239">
        <v>9.2330038547515897E-2</v>
      </c>
    </row>
    <row r="699" spans="1:28">
      <c r="A699" s="235" t="s">
        <v>517</v>
      </c>
      <c r="B699" s="239">
        <v>674.73449707031295</v>
      </c>
      <c r="C699" s="239">
        <v>755.04119873046898</v>
      </c>
      <c r="D699" s="239">
        <v>832.61376953125</v>
      </c>
      <c r="E699" s="239">
        <v>836.22784423828102</v>
      </c>
      <c r="F699" s="239">
        <v>833.52569580078102</v>
      </c>
      <c r="G699" s="239">
        <v>824.94689941406295</v>
      </c>
      <c r="H699" s="239">
        <v>827.85076904296898</v>
      </c>
      <c r="I699" s="239">
        <v>839.95202636718795</v>
      </c>
      <c r="J699" s="239">
        <v>847.87561035156295</v>
      </c>
      <c r="K699" s="239">
        <v>859.84704589843795</v>
      </c>
      <c r="L699" s="239">
        <v>876.92712402343795</v>
      </c>
      <c r="M699" s="239">
        <v>891.815185546875</v>
      </c>
      <c r="N699" s="239">
        <v>911.96716308593795</v>
      </c>
      <c r="O699" s="239">
        <v>924.22961425781295</v>
      </c>
      <c r="P699" s="239">
        <v>939.98309326171898</v>
      </c>
      <c r="Q699" s="239">
        <v>949.62322998046898</v>
      </c>
      <c r="R699" s="239">
        <v>968.13317871093795</v>
      </c>
      <c r="S699" s="239">
        <v>990.25164794921898</v>
      </c>
      <c r="T699" s="239">
        <v>1011.74395751953</v>
      </c>
      <c r="U699" s="239">
        <v>1037.43090820313</v>
      </c>
      <c r="V699" s="239">
        <v>1055.63415527344</v>
      </c>
      <c r="W699" s="239">
        <v>1075.73254394531</v>
      </c>
      <c r="X699" s="239">
        <v>1099.85461425781</v>
      </c>
      <c r="Y699" s="239">
        <v>1128.68725585938</v>
      </c>
    </row>
    <row r="700" spans="1:28">
      <c r="A700" s="235" t="s">
        <v>591</v>
      </c>
      <c r="B700" s="239"/>
      <c r="C700" s="239"/>
      <c r="D700" s="239"/>
      <c r="E700" s="239"/>
      <c r="F700" s="239"/>
      <c r="G700" s="239"/>
      <c r="H700" s="239"/>
      <c r="I700" s="239"/>
      <c r="J700" s="239"/>
      <c r="K700" s="239"/>
      <c r="L700" s="239"/>
      <c r="M700" s="239"/>
      <c r="N700" s="239"/>
      <c r="O700" s="239"/>
      <c r="P700" s="239"/>
      <c r="Q700" s="239"/>
      <c r="R700" s="239"/>
      <c r="S700" s="239"/>
      <c r="T700" s="239"/>
      <c r="U700" s="239"/>
      <c r="V700" s="239"/>
      <c r="W700" s="239"/>
      <c r="X700" s="239"/>
      <c r="Y700" s="239"/>
    </row>
    <row r="701" spans="1:28">
      <c r="A701" s="283" t="s">
        <v>1077</v>
      </c>
      <c r="B701" s="279">
        <v>1.1960935989170374</v>
      </c>
      <c r="C701" s="279">
        <v>1.1960935989170374</v>
      </c>
      <c r="D701" s="279">
        <v>1.1960935989170374</v>
      </c>
      <c r="E701" s="279">
        <v>1.1960935989170374</v>
      </c>
      <c r="F701" s="279">
        <v>1.1960935989170374</v>
      </c>
      <c r="G701" s="279">
        <v>1.1960935989170374</v>
      </c>
      <c r="H701" s="279">
        <v>1.1960935989170374</v>
      </c>
      <c r="I701" s="279">
        <v>1.1960935989170374</v>
      </c>
      <c r="J701" s="279">
        <v>1.1960935989170374</v>
      </c>
      <c r="K701" s="279">
        <v>1.198027460839296</v>
      </c>
      <c r="L701" s="279">
        <v>1.2067298394894606</v>
      </c>
      <c r="M701" s="279">
        <v>1.2415393540901181</v>
      </c>
      <c r="N701" s="279">
        <v>1.244440146973506</v>
      </c>
      <c r="O701" s="279">
        <v>1.2657126281183524</v>
      </c>
      <c r="P701" s="279">
        <v>1.2686134210017406</v>
      </c>
      <c r="Q701" s="279">
        <v>1.2840843163798106</v>
      </c>
      <c r="R701" s="279">
        <v>1.2792496615741635</v>
      </c>
      <c r="S701" s="279">
        <v>1.3034229356023981</v>
      </c>
      <c r="T701" s="279">
        <v>1.3217946238638563</v>
      </c>
      <c r="U701" s="279">
        <v>1.3759427576871011</v>
      </c>
      <c r="V701" s="279">
        <v>1.3943144459485595</v>
      </c>
      <c r="W701" s="280">
        <v>1.4001160317153356</v>
      </c>
      <c r="X701" s="280">
        <v>1.4242893057435699</v>
      </c>
      <c r="Y701" s="280">
        <v>1.4378263391993813</v>
      </c>
      <c r="Z701" s="277">
        <f>Y701+($AI$531-$Y$701)/10</f>
        <v>1.5542937052794432</v>
      </c>
    </row>
    <row r="702" spans="1:28">
      <c r="A702" s="264" t="s">
        <v>310</v>
      </c>
      <c r="B702" s="279">
        <v>8.7353999999999985</v>
      </c>
      <c r="C702" s="279">
        <v>8.7353999999999985</v>
      </c>
      <c r="D702" s="279">
        <v>8.7353999999999985</v>
      </c>
      <c r="E702" s="279">
        <v>8.7353999999999985</v>
      </c>
      <c r="F702" s="279">
        <v>8.7353999999999985</v>
      </c>
      <c r="G702" s="279">
        <v>8.7353999999999985</v>
      </c>
      <c r="H702" s="279">
        <v>8.7353999999999985</v>
      </c>
      <c r="I702" s="279">
        <v>8.7353999999999985</v>
      </c>
      <c r="J702" s="279">
        <v>8.7353999999999985</v>
      </c>
      <c r="K702" s="279">
        <v>8.7353999999999985</v>
      </c>
      <c r="L702" s="279">
        <v>8.7353999999999985</v>
      </c>
      <c r="M702" s="279">
        <v>8.7353999999999985</v>
      </c>
      <c r="N702" s="279">
        <v>8.7353999999999985</v>
      </c>
      <c r="O702" s="279">
        <v>8.7353999999999985</v>
      </c>
      <c r="P702" s="279">
        <v>8.7353999999999985</v>
      </c>
      <c r="Q702" s="279">
        <v>8.7353999999999985</v>
      </c>
      <c r="R702" s="279">
        <v>8.7353999999999985</v>
      </c>
      <c r="S702" s="279">
        <v>8.7353999999999985</v>
      </c>
      <c r="T702" s="279">
        <v>8.7353999999999985</v>
      </c>
      <c r="U702" s="279">
        <v>8.7353999999999985</v>
      </c>
      <c r="V702" s="279">
        <v>8.7353999999999985</v>
      </c>
      <c r="W702" s="280">
        <v>8.7353999999999985</v>
      </c>
      <c r="X702" s="280">
        <v>8.7353999999999985</v>
      </c>
      <c r="Y702" s="280">
        <v>8.7353999999999985</v>
      </c>
      <c r="Z702" s="280">
        <v>8.7353999999999985</v>
      </c>
    </row>
    <row r="703" spans="1:28">
      <c r="A703" s="284" t="s">
        <v>593</v>
      </c>
      <c r="B703" s="281">
        <v>4.78</v>
      </c>
      <c r="C703" s="281">
        <v>4.78</v>
      </c>
      <c r="D703" s="281">
        <v>4.78</v>
      </c>
      <c r="E703" s="281">
        <v>4.78</v>
      </c>
      <c r="F703" s="281">
        <v>4.78</v>
      </c>
      <c r="G703" s="281">
        <v>4.78</v>
      </c>
      <c r="H703" s="281">
        <v>4.78</v>
      </c>
      <c r="I703" s="281">
        <v>4.78</v>
      </c>
      <c r="J703" s="281">
        <v>4.78</v>
      </c>
      <c r="K703" s="281">
        <v>4.78</v>
      </c>
      <c r="L703" s="281">
        <v>4.78</v>
      </c>
      <c r="M703" s="281">
        <v>4.78</v>
      </c>
      <c r="N703" s="281">
        <v>4.78</v>
      </c>
      <c r="O703" s="281">
        <v>4.78</v>
      </c>
      <c r="P703" s="281">
        <v>4.78</v>
      </c>
      <c r="Q703" s="281">
        <v>4.78</v>
      </c>
      <c r="R703" s="281">
        <v>4.78</v>
      </c>
      <c r="S703" s="281">
        <v>4.78</v>
      </c>
      <c r="T703" s="281">
        <v>4.78</v>
      </c>
      <c r="U703" s="281">
        <v>4.78</v>
      </c>
      <c r="V703" s="281">
        <v>4.78</v>
      </c>
      <c r="W703" s="281">
        <v>4.78</v>
      </c>
      <c r="X703" s="281">
        <v>4.78</v>
      </c>
      <c r="Y703" s="281">
        <v>4.78</v>
      </c>
      <c r="Z703" s="281">
        <v>4.78</v>
      </c>
    </row>
    <row r="704" spans="1:28">
      <c r="A704" s="285" t="s">
        <v>594</v>
      </c>
      <c r="B704" s="280" t="e">
        <f t="shared" ref="B704:Z704" si="81">B703*GJ_p_MMBtu</f>
        <v>#NAME?</v>
      </c>
      <c r="C704" s="280" t="e">
        <f t="shared" si="81"/>
        <v>#NAME?</v>
      </c>
      <c r="D704" s="280" t="e">
        <f t="shared" si="81"/>
        <v>#NAME?</v>
      </c>
      <c r="E704" s="280" t="e">
        <f t="shared" si="81"/>
        <v>#NAME?</v>
      </c>
      <c r="F704" s="280" t="e">
        <f t="shared" si="81"/>
        <v>#NAME?</v>
      </c>
      <c r="G704" s="280" t="e">
        <f t="shared" si="81"/>
        <v>#NAME?</v>
      </c>
      <c r="H704" s="280" t="e">
        <f t="shared" si="81"/>
        <v>#NAME?</v>
      </c>
      <c r="I704" s="280" t="e">
        <f t="shared" si="81"/>
        <v>#NAME?</v>
      </c>
      <c r="J704" s="280" t="e">
        <f t="shared" si="81"/>
        <v>#NAME?</v>
      </c>
      <c r="K704" s="280" t="e">
        <f t="shared" si="81"/>
        <v>#NAME?</v>
      </c>
      <c r="L704" s="280" t="e">
        <f t="shared" si="81"/>
        <v>#NAME?</v>
      </c>
      <c r="M704" s="280" t="e">
        <f t="shared" si="81"/>
        <v>#NAME?</v>
      </c>
      <c r="N704" s="280" t="e">
        <f t="shared" si="81"/>
        <v>#NAME?</v>
      </c>
      <c r="O704" s="280" t="e">
        <f t="shared" si="81"/>
        <v>#NAME?</v>
      </c>
      <c r="P704" s="280" t="e">
        <f t="shared" si="81"/>
        <v>#NAME?</v>
      </c>
      <c r="Q704" s="280" t="e">
        <f t="shared" si="81"/>
        <v>#NAME?</v>
      </c>
      <c r="R704" s="280" t="e">
        <f t="shared" si="81"/>
        <v>#NAME?</v>
      </c>
      <c r="S704" s="280" t="e">
        <f t="shared" si="81"/>
        <v>#NAME?</v>
      </c>
      <c r="T704" s="280" t="e">
        <f t="shared" si="81"/>
        <v>#NAME?</v>
      </c>
      <c r="U704" s="280" t="e">
        <f t="shared" si="81"/>
        <v>#NAME?</v>
      </c>
      <c r="V704" s="280" t="e">
        <f t="shared" si="81"/>
        <v>#NAME?</v>
      </c>
      <c r="W704" s="280" t="e">
        <f t="shared" si="81"/>
        <v>#NAME?</v>
      </c>
      <c r="X704" s="280" t="e">
        <f t="shared" si="81"/>
        <v>#NAME?</v>
      </c>
      <c r="Y704" s="280" t="e">
        <f t="shared" si="81"/>
        <v>#NAME?</v>
      </c>
      <c r="Z704" s="280" t="e">
        <f t="shared" si="81"/>
        <v>#NAME?</v>
      </c>
    </row>
    <row r="705" spans="1:26">
      <c r="A705" s="283" t="s">
        <v>595</v>
      </c>
      <c r="B705" s="239"/>
      <c r="C705" s="239"/>
      <c r="D705" s="239"/>
      <c r="E705" s="239"/>
      <c r="F705" s="239"/>
      <c r="G705" s="239"/>
      <c r="H705" s="239"/>
      <c r="I705" s="239"/>
      <c r="J705" s="239"/>
      <c r="K705" s="239"/>
      <c r="L705" s="239"/>
      <c r="M705" s="239"/>
      <c r="N705" s="239"/>
      <c r="O705" s="239"/>
      <c r="P705" s="239"/>
      <c r="Q705" s="239"/>
      <c r="R705" s="239"/>
      <c r="S705" s="239"/>
      <c r="T705" s="239"/>
      <c r="U705" s="239"/>
      <c r="V705" s="239"/>
      <c r="W705" s="239"/>
      <c r="X705" s="239"/>
      <c r="Y705" s="239"/>
      <c r="Z705" s="239"/>
    </row>
    <row r="706" spans="1:26">
      <c r="A706" s="235" t="s">
        <v>518</v>
      </c>
      <c r="B706" s="239"/>
      <c r="C706" s="239"/>
      <c r="D706" s="239"/>
      <c r="E706" s="239" t="s">
        <v>439</v>
      </c>
      <c r="F706" s="239" t="s">
        <v>439</v>
      </c>
      <c r="G706" s="239" t="s">
        <v>439</v>
      </c>
      <c r="H706" s="239" t="s">
        <v>439</v>
      </c>
      <c r="I706" s="239" t="s">
        <v>439</v>
      </c>
      <c r="J706" s="239" t="s">
        <v>439</v>
      </c>
      <c r="K706" s="239" t="s">
        <v>439</v>
      </c>
      <c r="L706" s="239" t="s">
        <v>439</v>
      </c>
      <c r="M706" s="239" t="s">
        <v>439</v>
      </c>
      <c r="N706" s="239" t="s">
        <v>439</v>
      </c>
      <c r="O706" s="239" t="s">
        <v>439</v>
      </c>
      <c r="P706" s="239" t="s">
        <v>439</v>
      </c>
      <c r="Q706" s="239" t="s">
        <v>439</v>
      </c>
      <c r="R706" s="239" t="s">
        <v>439</v>
      </c>
      <c r="S706" s="239" t="s">
        <v>439</v>
      </c>
      <c r="T706" s="239" t="s">
        <v>439</v>
      </c>
      <c r="U706" s="239" t="s">
        <v>439</v>
      </c>
      <c r="V706" s="239" t="s">
        <v>439</v>
      </c>
      <c r="W706" s="239" t="s">
        <v>439</v>
      </c>
      <c r="X706" s="239" t="s">
        <v>439</v>
      </c>
      <c r="Y706" s="239" t="s">
        <v>439</v>
      </c>
    </row>
    <row r="707" spans="1:26">
      <c r="A707" s="235" t="s">
        <v>519</v>
      </c>
      <c r="B707" s="236"/>
      <c r="C707" s="236"/>
      <c r="D707" s="236"/>
      <c r="E707" s="236"/>
      <c r="F707" s="236"/>
      <c r="G707" s="236"/>
      <c r="H707" s="236"/>
      <c r="I707" s="236"/>
      <c r="J707" s="236"/>
      <c r="K707" s="236"/>
      <c r="L707" s="236"/>
      <c r="M707" s="236"/>
      <c r="N707" s="236"/>
      <c r="O707" s="236"/>
      <c r="P707" s="236"/>
      <c r="Q707" s="236"/>
      <c r="R707" s="236"/>
      <c r="S707" s="236"/>
      <c r="T707" s="236"/>
      <c r="U707" s="236"/>
      <c r="V707" s="236"/>
      <c r="W707" s="236"/>
      <c r="X707" s="236"/>
      <c r="Y707" s="236"/>
    </row>
    <row r="708" spans="1:26">
      <c r="A708" s="235" t="s">
        <v>520</v>
      </c>
      <c r="B708" s="236"/>
      <c r="C708" s="236"/>
      <c r="D708" s="236"/>
      <c r="E708" s="236"/>
      <c r="F708" s="236"/>
      <c r="G708" s="236"/>
      <c r="H708" s="236"/>
      <c r="I708" s="236"/>
      <c r="J708" s="236"/>
      <c r="K708" s="236"/>
      <c r="L708" s="236"/>
      <c r="M708" s="236"/>
      <c r="N708" s="236"/>
      <c r="O708" s="236"/>
      <c r="P708" s="236"/>
      <c r="Q708" s="236"/>
      <c r="R708" s="236"/>
      <c r="S708" s="236"/>
      <c r="T708" s="236"/>
      <c r="U708" s="236"/>
      <c r="V708" s="236"/>
      <c r="W708" s="236"/>
      <c r="X708" s="236"/>
      <c r="Y708" s="236"/>
    </row>
    <row r="709" spans="1:26">
      <c r="A709" s="235" t="s">
        <v>521</v>
      </c>
      <c r="B709" s="236"/>
      <c r="C709" s="236"/>
      <c r="D709" s="236"/>
      <c r="E709" s="236"/>
      <c r="F709" s="236"/>
      <c r="G709" s="236"/>
      <c r="H709" s="236"/>
      <c r="I709" s="236"/>
      <c r="J709" s="236"/>
      <c r="K709" s="236"/>
      <c r="L709" s="236"/>
      <c r="M709" s="236"/>
      <c r="N709" s="236"/>
      <c r="O709" s="236"/>
      <c r="P709" s="236"/>
      <c r="Q709" s="236"/>
      <c r="R709" s="236"/>
      <c r="S709" s="236"/>
      <c r="T709" s="236"/>
      <c r="U709" s="236"/>
      <c r="V709" s="236"/>
      <c r="W709" s="236"/>
      <c r="X709" s="236"/>
      <c r="Y709" s="236"/>
    </row>
    <row r="710" spans="1:26">
      <c r="A710" s="235" t="s">
        <v>522</v>
      </c>
      <c r="B710" s="236"/>
      <c r="C710" s="236"/>
      <c r="D710" s="236"/>
      <c r="E710" s="236"/>
      <c r="F710" s="236"/>
      <c r="G710" s="236"/>
      <c r="H710" s="236"/>
      <c r="I710" s="236"/>
      <c r="J710" s="236"/>
      <c r="K710" s="236"/>
      <c r="L710" s="236"/>
      <c r="M710" s="236"/>
      <c r="N710" s="236"/>
      <c r="O710" s="236"/>
      <c r="P710" s="236"/>
      <c r="Q710" s="236"/>
      <c r="R710" s="236"/>
      <c r="S710" s="236"/>
      <c r="T710" s="236"/>
      <c r="U710" s="236"/>
      <c r="V710" s="236"/>
      <c r="W710" s="236"/>
      <c r="X710" s="236"/>
      <c r="Y710" s="236"/>
    </row>
    <row r="711" spans="1:26">
      <c r="A711" s="235" t="s">
        <v>523</v>
      </c>
      <c r="B711" s="236"/>
      <c r="C711" s="236"/>
      <c r="D711" s="236"/>
      <c r="E711" s="236"/>
      <c r="F711" s="236"/>
      <c r="G711" s="236"/>
      <c r="H711" s="236"/>
      <c r="I711" s="236"/>
      <c r="J711" s="236"/>
      <c r="K711" s="236"/>
      <c r="L711" s="236"/>
      <c r="M711" s="236"/>
      <c r="N711" s="236"/>
      <c r="O711" s="236"/>
      <c r="P711" s="236"/>
      <c r="Q711" s="236"/>
      <c r="R711" s="236"/>
      <c r="S711" s="236"/>
      <c r="T711" s="236"/>
      <c r="U711" s="236"/>
      <c r="V711" s="236"/>
      <c r="W711" s="236"/>
      <c r="X711" s="236"/>
      <c r="Y711" s="236"/>
    </row>
    <row r="712" spans="1:26">
      <c r="A712" s="235" t="s">
        <v>524</v>
      </c>
      <c r="B712" s="236"/>
      <c r="C712" s="236"/>
      <c r="D712" s="236"/>
      <c r="E712" s="236"/>
      <c r="F712" s="236"/>
      <c r="G712" s="236"/>
      <c r="H712" s="236"/>
      <c r="I712" s="236"/>
      <c r="J712" s="236"/>
      <c r="K712" s="236"/>
      <c r="L712" s="236"/>
      <c r="M712" s="236"/>
      <c r="N712" s="236"/>
      <c r="O712" s="236"/>
      <c r="P712" s="236"/>
      <c r="Q712" s="236"/>
      <c r="R712" s="236"/>
      <c r="S712" s="236"/>
      <c r="T712" s="236"/>
      <c r="U712" s="236"/>
      <c r="V712" s="236"/>
      <c r="W712" s="236"/>
      <c r="X712" s="236"/>
      <c r="Y712" s="236"/>
    </row>
    <row r="713" spans="1:26">
      <c r="A713" s="235" t="s">
        <v>525</v>
      </c>
      <c r="B713" s="236"/>
      <c r="C713" s="236"/>
      <c r="D713" s="236"/>
      <c r="E713" s="236"/>
      <c r="F713" s="236"/>
      <c r="G713" s="236"/>
      <c r="H713" s="236"/>
      <c r="I713" s="236"/>
      <c r="J713" s="236"/>
      <c r="K713" s="236"/>
      <c r="L713" s="236"/>
      <c r="M713" s="236"/>
      <c r="N713" s="236"/>
      <c r="O713" s="236"/>
      <c r="P713" s="236"/>
      <c r="Q713" s="236"/>
      <c r="R713" s="236"/>
      <c r="S713" s="236"/>
      <c r="T713" s="236"/>
      <c r="U713" s="236"/>
      <c r="V713" s="236"/>
      <c r="W713" s="236"/>
      <c r="X713" s="236"/>
      <c r="Y713" s="236"/>
    </row>
    <row r="714" spans="1:26">
      <c r="A714" s="235" t="s">
        <v>526</v>
      </c>
      <c r="B714" s="236"/>
      <c r="C714" s="236"/>
      <c r="D714" s="236"/>
      <c r="E714" s="236"/>
      <c r="F714" s="236"/>
      <c r="G714" s="236"/>
      <c r="H714" s="236"/>
      <c r="I714" s="236"/>
      <c r="J714" s="236"/>
      <c r="K714" s="236"/>
      <c r="L714" s="236"/>
      <c r="M714" s="236"/>
      <c r="N714" s="236"/>
      <c r="O714" s="236"/>
      <c r="P714" s="236"/>
      <c r="Q714" s="236"/>
      <c r="R714" s="236"/>
      <c r="S714" s="236"/>
      <c r="T714" s="236"/>
      <c r="U714" s="236"/>
      <c r="V714" s="236"/>
      <c r="W714" s="236"/>
      <c r="X714" s="236"/>
      <c r="Y714" s="236"/>
    </row>
    <row r="715" spans="1:26">
      <c r="A715" s="235" t="s">
        <v>531</v>
      </c>
      <c r="B715" s="236"/>
      <c r="C715" s="236"/>
      <c r="D715" s="236"/>
      <c r="E715" s="236"/>
      <c r="F715" s="236"/>
      <c r="G715" s="236"/>
      <c r="H715" s="236"/>
      <c r="I715" s="236"/>
      <c r="J715" s="236"/>
      <c r="K715" s="236"/>
      <c r="L715" s="236"/>
      <c r="M715" s="236"/>
      <c r="N715" s="236"/>
      <c r="O715" s="236"/>
      <c r="P715" s="236"/>
      <c r="Q715" s="236"/>
      <c r="R715" s="236"/>
      <c r="S715" s="236"/>
      <c r="T715" s="236"/>
      <c r="U715" s="236"/>
      <c r="V715" s="236"/>
      <c r="W715" s="236"/>
      <c r="X715" s="236"/>
      <c r="Y715" s="236"/>
    </row>
    <row r="716" spans="1:26">
      <c r="A716" s="235" t="s">
        <v>541</v>
      </c>
      <c r="B716" s="236"/>
      <c r="C716" s="236"/>
      <c r="D716" s="236"/>
      <c r="E716" s="236"/>
      <c r="F716" s="236"/>
      <c r="G716" s="236"/>
      <c r="H716" s="236"/>
      <c r="I716" s="236"/>
      <c r="J716" s="236"/>
      <c r="K716" s="236"/>
      <c r="L716" s="236"/>
      <c r="M716" s="236"/>
      <c r="N716" s="236"/>
      <c r="O716" s="236"/>
      <c r="P716" s="236"/>
      <c r="Q716" s="236"/>
      <c r="R716" s="236"/>
      <c r="S716" s="236"/>
      <c r="T716" s="236"/>
      <c r="U716" s="236"/>
      <c r="V716" s="236"/>
      <c r="W716" s="236"/>
      <c r="X716" s="236"/>
      <c r="Y716" s="236"/>
    </row>
    <row r="717" spans="1:26">
      <c r="A717" s="235" t="s">
        <v>542</v>
      </c>
      <c r="B717" s="236"/>
      <c r="C717" s="236"/>
      <c r="D717" s="236"/>
      <c r="E717" s="236"/>
      <c r="F717" s="236"/>
      <c r="G717" s="236"/>
      <c r="H717" s="236"/>
      <c r="I717" s="236"/>
      <c r="J717" s="236"/>
      <c r="K717" s="236"/>
      <c r="L717" s="236"/>
      <c r="M717" s="236"/>
      <c r="N717" s="236"/>
      <c r="O717" s="236"/>
      <c r="P717" s="236"/>
      <c r="Q717" s="236"/>
      <c r="R717" s="236"/>
      <c r="S717" s="236"/>
      <c r="T717" s="236"/>
      <c r="U717" s="236"/>
      <c r="V717" s="236"/>
      <c r="W717" s="236"/>
      <c r="X717" s="236"/>
      <c r="Y717" s="236"/>
    </row>
    <row r="718" spans="1:26">
      <c r="A718" s="235" t="s">
        <v>543</v>
      </c>
      <c r="B718" s="236"/>
      <c r="C718" s="236"/>
      <c r="D718" s="236"/>
      <c r="E718" s="236"/>
      <c r="F718" s="236"/>
      <c r="G718" s="236"/>
      <c r="H718" s="236"/>
      <c r="I718" s="236"/>
      <c r="J718" s="236"/>
      <c r="K718" s="236"/>
      <c r="L718" s="236"/>
      <c r="M718" s="236"/>
      <c r="N718" s="236"/>
      <c r="O718" s="236"/>
      <c r="P718" s="236"/>
      <c r="Q718" s="236"/>
      <c r="R718" s="236"/>
      <c r="S718" s="236"/>
      <c r="T718" s="236"/>
      <c r="U718" s="236"/>
      <c r="V718" s="236"/>
      <c r="W718" s="236"/>
      <c r="X718" s="236"/>
      <c r="Y718" s="236"/>
    </row>
    <row r="719" spans="1:26">
      <c r="A719" s="235" t="s">
        <v>544</v>
      </c>
      <c r="B719" s="236"/>
      <c r="C719" s="236"/>
      <c r="D719" s="236"/>
      <c r="E719" s="236"/>
      <c r="F719" s="236"/>
      <c r="G719" s="236"/>
      <c r="H719" s="236"/>
      <c r="I719" s="236"/>
      <c r="J719" s="236"/>
      <c r="K719" s="236"/>
      <c r="L719" s="236"/>
      <c r="M719" s="236"/>
      <c r="N719" s="236"/>
      <c r="O719" s="236"/>
      <c r="P719" s="236"/>
      <c r="Q719" s="236"/>
      <c r="R719" s="236"/>
      <c r="S719" s="236"/>
      <c r="T719" s="236"/>
      <c r="U719" s="236"/>
      <c r="V719" s="236"/>
      <c r="W719" s="236"/>
      <c r="X719" s="236"/>
      <c r="Y719" s="236"/>
    </row>
    <row r="720" spans="1:26">
      <c r="A720" s="235" t="s">
        <v>545</v>
      </c>
      <c r="B720" s="236"/>
      <c r="C720" s="236"/>
      <c r="D720" s="236"/>
      <c r="E720" s="236"/>
      <c r="F720" s="236"/>
      <c r="G720" s="236"/>
      <c r="H720" s="236"/>
      <c r="I720" s="236"/>
      <c r="J720" s="236"/>
      <c r="K720" s="236"/>
      <c r="L720" s="236"/>
      <c r="M720" s="236"/>
      <c r="N720" s="236"/>
      <c r="O720" s="236"/>
      <c r="P720" s="236"/>
      <c r="Q720" s="236"/>
      <c r="R720" s="236"/>
      <c r="S720" s="236"/>
      <c r="T720" s="236"/>
      <c r="U720" s="236"/>
      <c r="V720" s="236"/>
      <c r="W720" s="236"/>
      <c r="X720" s="236"/>
      <c r="Y720" s="236"/>
    </row>
    <row r="721" spans="1:25">
      <c r="A721" s="235" t="s">
        <v>546</v>
      </c>
      <c r="B721" s="236"/>
      <c r="C721" s="236"/>
      <c r="D721" s="236"/>
      <c r="E721" s="236"/>
      <c r="F721" s="236"/>
      <c r="G721" s="236"/>
      <c r="H721" s="236"/>
      <c r="I721" s="236"/>
      <c r="J721" s="236"/>
      <c r="K721" s="236"/>
      <c r="L721" s="236"/>
      <c r="M721" s="236"/>
      <c r="N721" s="236"/>
      <c r="O721" s="236"/>
      <c r="P721" s="236"/>
      <c r="Q721" s="236"/>
      <c r="R721" s="236"/>
      <c r="S721" s="236"/>
      <c r="T721" s="236"/>
      <c r="U721" s="236"/>
      <c r="V721" s="236"/>
      <c r="W721" s="236"/>
      <c r="X721" s="236"/>
      <c r="Y721" s="236"/>
    </row>
    <row r="722" spans="1:25">
      <c r="A722" s="235" t="s">
        <v>547</v>
      </c>
      <c r="B722" s="236"/>
      <c r="C722" s="236"/>
      <c r="D722" s="236"/>
      <c r="E722" s="236"/>
      <c r="F722" s="236"/>
      <c r="G722" s="236"/>
      <c r="H722" s="236"/>
      <c r="I722" s="236"/>
      <c r="J722" s="236"/>
      <c r="K722" s="236"/>
      <c r="L722" s="236"/>
      <c r="M722" s="236"/>
      <c r="N722" s="236"/>
      <c r="O722" s="236"/>
      <c r="P722" s="236"/>
      <c r="Q722" s="236"/>
      <c r="R722" s="236"/>
      <c r="S722" s="236"/>
      <c r="T722" s="236"/>
      <c r="U722" s="236"/>
      <c r="V722" s="236"/>
      <c r="W722" s="236"/>
      <c r="X722" s="236"/>
      <c r="Y722" s="236"/>
    </row>
    <row r="723" spans="1:25">
      <c r="A723" s="235" t="s">
        <v>551</v>
      </c>
      <c r="B723" s="236"/>
      <c r="C723" s="236"/>
      <c r="D723" s="236"/>
      <c r="E723" s="236"/>
      <c r="F723" s="236"/>
      <c r="G723" s="236"/>
      <c r="H723" s="236"/>
      <c r="I723" s="236"/>
      <c r="J723" s="236"/>
      <c r="K723" s="236"/>
      <c r="L723" s="236"/>
      <c r="M723" s="236"/>
      <c r="N723" s="236"/>
      <c r="O723" s="236"/>
      <c r="P723" s="236"/>
      <c r="Q723" s="236"/>
      <c r="R723" s="236"/>
      <c r="S723" s="236"/>
      <c r="T723" s="236"/>
      <c r="U723" s="236"/>
      <c r="V723" s="236"/>
      <c r="W723" s="236"/>
      <c r="X723" s="236"/>
      <c r="Y723" s="236"/>
    </row>
    <row r="724" spans="1:25">
      <c r="A724" s="235" t="s">
        <v>552</v>
      </c>
      <c r="B724" s="236"/>
      <c r="C724" s="236"/>
      <c r="D724" s="236"/>
      <c r="E724" s="236"/>
      <c r="F724" s="236"/>
      <c r="G724" s="236"/>
      <c r="H724" s="236"/>
      <c r="I724" s="236"/>
      <c r="J724" s="236"/>
      <c r="K724" s="236"/>
      <c r="L724" s="236"/>
      <c r="M724" s="236"/>
      <c r="N724" s="236"/>
      <c r="O724" s="236"/>
      <c r="P724" s="236"/>
      <c r="Q724" s="236"/>
      <c r="R724" s="236"/>
      <c r="S724" s="236"/>
      <c r="T724" s="236"/>
      <c r="U724" s="236"/>
      <c r="V724" s="236"/>
      <c r="W724" s="236"/>
      <c r="X724" s="236"/>
      <c r="Y724" s="236"/>
    </row>
    <row r="725" spans="1:25">
      <c r="A725" s="235" t="s">
        <v>553</v>
      </c>
      <c r="B725" s="236"/>
      <c r="C725" s="236"/>
      <c r="D725" s="236"/>
      <c r="E725" s="236"/>
      <c r="F725" s="236"/>
      <c r="G725" s="236"/>
      <c r="H725" s="236"/>
      <c r="I725" s="236"/>
      <c r="J725" s="236"/>
      <c r="K725" s="236"/>
      <c r="L725" s="236"/>
      <c r="M725" s="236"/>
      <c r="N725" s="236"/>
      <c r="O725" s="236"/>
      <c r="P725" s="236"/>
      <c r="Q725" s="236"/>
      <c r="R725" s="236"/>
      <c r="S725" s="236"/>
      <c r="T725" s="236"/>
      <c r="U725" s="236"/>
      <c r="V725" s="236"/>
      <c r="W725" s="236"/>
      <c r="X725" s="236"/>
      <c r="Y725" s="236"/>
    </row>
    <row r="726" spans="1:25">
      <c r="A726" s="235" t="s">
        <v>554</v>
      </c>
      <c r="B726" s="236"/>
      <c r="C726" s="236"/>
      <c r="D726" s="236"/>
      <c r="E726" s="236"/>
      <c r="F726" s="236"/>
      <c r="G726" s="236"/>
      <c r="H726" s="236"/>
      <c r="I726" s="236"/>
      <c r="J726" s="236"/>
      <c r="K726" s="236"/>
      <c r="L726" s="236"/>
      <c r="M726" s="236"/>
      <c r="N726" s="236"/>
      <c r="O726" s="236"/>
      <c r="P726" s="236"/>
      <c r="Q726" s="236"/>
      <c r="R726" s="236"/>
      <c r="S726" s="236"/>
      <c r="T726" s="236"/>
      <c r="U726" s="236"/>
      <c r="V726" s="236"/>
      <c r="W726" s="236"/>
      <c r="X726" s="236"/>
      <c r="Y726" s="236"/>
    </row>
    <row r="727" spans="1:25">
      <c r="A727" s="235" t="s">
        <v>555</v>
      </c>
      <c r="B727" s="236"/>
      <c r="C727" s="236"/>
      <c r="D727" s="236"/>
      <c r="E727" s="236"/>
      <c r="F727" s="236"/>
      <c r="G727" s="236"/>
      <c r="H727" s="236"/>
      <c r="I727" s="236"/>
      <c r="J727" s="236"/>
      <c r="K727" s="236"/>
      <c r="L727" s="236"/>
      <c r="M727" s="236"/>
      <c r="N727" s="236"/>
      <c r="O727" s="236"/>
      <c r="P727" s="236"/>
      <c r="Q727" s="236"/>
      <c r="R727" s="236"/>
      <c r="S727" s="236"/>
      <c r="T727" s="236"/>
      <c r="U727" s="236"/>
      <c r="V727" s="236"/>
      <c r="W727" s="236"/>
      <c r="X727" s="236"/>
      <c r="Y727" s="236"/>
    </row>
    <row r="728" spans="1:25">
      <c r="A728" s="235" t="s">
        <v>556</v>
      </c>
      <c r="B728" s="236"/>
      <c r="C728" s="236"/>
      <c r="D728" s="236"/>
      <c r="E728" s="236"/>
      <c r="F728" s="236"/>
      <c r="G728" s="236"/>
      <c r="H728" s="236"/>
      <c r="I728" s="236"/>
      <c r="J728" s="236"/>
      <c r="K728" s="236"/>
      <c r="L728" s="236"/>
      <c r="M728" s="236"/>
      <c r="N728" s="236"/>
      <c r="O728" s="236"/>
      <c r="P728" s="236"/>
      <c r="Q728" s="236"/>
      <c r="R728" s="236"/>
      <c r="S728" s="236"/>
      <c r="T728" s="236"/>
      <c r="U728" s="236"/>
      <c r="V728" s="236"/>
      <c r="W728" s="236"/>
      <c r="X728" s="236"/>
      <c r="Y728" s="236"/>
    </row>
    <row r="729" spans="1:25">
      <c r="A729" s="235" t="s">
        <v>557</v>
      </c>
      <c r="B729" s="236"/>
      <c r="C729" s="236"/>
      <c r="D729" s="236"/>
      <c r="E729" s="236"/>
      <c r="F729" s="236"/>
      <c r="G729" s="236"/>
      <c r="H729" s="236"/>
      <c r="I729" s="236"/>
      <c r="J729" s="236"/>
      <c r="K729" s="236"/>
      <c r="L729" s="236"/>
      <c r="M729" s="236"/>
      <c r="N729" s="236"/>
      <c r="O729" s="236"/>
      <c r="P729" s="236"/>
      <c r="Q729" s="236"/>
      <c r="R729" s="236"/>
      <c r="S729" s="236"/>
      <c r="T729" s="236"/>
      <c r="U729" s="236"/>
      <c r="V729" s="236"/>
      <c r="W729" s="236"/>
      <c r="X729" s="236"/>
      <c r="Y729" s="236"/>
    </row>
    <row r="730" spans="1:25">
      <c r="A730" s="235" t="s">
        <v>558</v>
      </c>
      <c r="B730" s="236"/>
      <c r="C730" s="236"/>
      <c r="D730" s="236"/>
      <c r="E730" s="236"/>
      <c r="F730" s="236"/>
      <c r="G730" s="236"/>
      <c r="H730" s="236"/>
      <c r="I730" s="236"/>
      <c r="J730" s="236"/>
      <c r="K730" s="236"/>
      <c r="L730" s="236"/>
      <c r="M730" s="236"/>
      <c r="N730" s="236"/>
      <c r="O730" s="236"/>
      <c r="P730" s="236"/>
      <c r="Q730" s="236"/>
      <c r="R730" s="236"/>
      <c r="S730" s="236"/>
      <c r="T730" s="236"/>
      <c r="U730" s="236"/>
      <c r="V730" s="236"/>
      <c r="W730" s="236"/>
      <c r="X730" s="236"/>
      <c r="Y730" s="236"/>
    </row>
    <row r="731" spans="1:25" ht="13.5" thickBot="1">
      <c r="A731" s="240" t="s">
        <v>563</v>
      </c>
      <c r="B731" s="243"/>
      <c r="C731" s="243"/>
      <c r="D731" s="243"/>
      <c r="E731" s="243"/>
      <c r="F731" s="243"/>
      <c r="G731" s="243"/>
      <c r="H731" s="243"/>
      <c r="I731" s="243"/>
      <c r="J731" s="243"/>
      <c r="K731" s="243"/>
      <c r="L731" s="243"/>
      <c r="M731" s="243"/>
      <c r="N731" s="243"/>
      <c r="O731" s="243"/>
      <c r="P731" s="243"/>
      <c r="Q731" s="243"/>
      <c r="R731" s="243"/>
      <c r="S731" s="243"/>
      <c r="T731" s="243"/>
      <c r="U731" s="243"/>
      <c r="V731" s="243"/>
      <c r="W731" s="243"/>
      <c r="X731" s="243"/>
      <c r="Y731" s="243"/>
    </row>
    <row r="732" spans="1:25">
      <c r="A732" s="1557" t="s">
        <v>436</v>
      </c>
      <c r="B732" s="1557"/>
      <c r="C732" s="1557"/>
      <c r="D732" s="1557"/>
      <c r="E732" s="1557"/>
      <c r="F732" s="1557"/>
      <c r="G732" s="1557"/>
      <c r="H732" s="1557"/>
      <c r="I732" s="1557"/>
      <c r="J732" s="1557"/>
      <c r="K732" s="1557"/>
      <c r="L732" s="1557"/>
      <c r="M732" s="1557"/>
      <c r="N732" s="236"/>
      <c r="O732" s="236"/>
      <c r="P732" s="236"/>
      <c r="Q732" s="236"/>
      <c r="R732" s="236"/>
      <c r="S732" s="236"/>
      <c r="T732" s="236"/>
      <c r="U732" s="236"/>
      <c r="V732" s="236"/>
      <c r="W732" s="236"/>
      <c r="X732" s="236"/>
      <c r="Y732" s="236"/>
    </row>
    <row r="733" spans="1:25">
      <c r="A733" s="236" t="s">
        <v>1085</v>
      </c>
      <c r="B733" s="236"/>
      <c r="C733" s="236"/>
      <c r="D733" s="236"/>
      <c r="E733" s="236"/>
      <c r="F733" s="236"/>
      <c r="G733" s="236"/>
      <c r="H733" s="236"/>
      <c r="I733" s="236"/>
      <c r="J733" s="236"/>
      <c r="K733" s="236"/>
      <c r="L733" s="236"/>
      <c r="M733" s="236"/>
      <c r="N733" s="236"/>
      <c r="O733" s="236"/>
      <c r="P733" s="236"/>
      <c r="Q733" s="236"/>
      <c r="R733" s="236"/>
      <c r="S733" s="236"/>
      <c r="T733" s="236"/>
      <c r="U733" s="236"/>
      <c r="V733" s="236"/>
      <c r="W733" s="236"/>
      <c r="X733" s="236"/>
      <c r="Y733" s="236"/>
    </row>
    <row r="736" spans="1:25" ht="14.25" thickBot="1">
      <c r="A736" s="1555" t="s">
        <v>564</v>
      </c>
      <c r="B736" s="1556"/>
      <c r="C736" s="1556"/>
    </row>
    <row r="737" spans="1:10" ht="51.75" thickTop="1">
      <c r="A737" s="244"/>
      <c r="B737" s="245" t="s">
        <v>565</v>
      </c>
      <c r="C737" s="245" t="s">
        <v>566</v>
      </c>
      <c r="D737" s="245" t="s">
        <v>567</v>
      </c>
      <c r="E737" s="245" t="s">
        <v>589</v>
      </c>
      <c r="F737" s="246"/>
      <c r="G737" s="246"/>
      <c r="H737" s="246"/>
      <c r="I737" s="246"/>
      <c r="J737" s="247"/>
    </row>
    <row r="738" spans="1:10">
      <c r="A738" s="248"/>
      <c r="B738" s="249"/>
      <c r="C738" s="249"/>
      <c r="D738" s="249"/>
      <c r="E738" s="249"/>
      <c r="F738" s="249"/>
      <c r="G738" s="249"/>
      <c r="H738" s="249"/>
      <c r="I738" s="249"/>
      <c r="J738" s="250"/>
    </row>
    <row r="739" spans="1:10">
      <c r="A739" s="248"/>
      <c r="B739" s="249"/>
      <c r="C739" s="249"/>
      <c r="D739" s="249"/>
      <c r="E739" s="249"/>
      <c r="F739" s="249"/>
      <c r="G739" s="249"/>
      <c r="H739" s="249"/>
      <c r="I739" s="249"/>
      <c r="J739" s="250"/>
    </row>
    <row r="740" spans="1:10">
      <c r="A740" s="248" t="s">
        <v>568</v>
      </c>
      <c r="B740" s="259">
        <v>1.0439774739816527</v>
      </c>
      <c r="C740" s="259">
        <v>1.0284486209328481</v>
      </c>
      <c r="D740" s="259">
        <v>1.0094828736442827</v>
      </c>
      <c r="E740" s="259">
        <f t="shared" ref="E740:E747" si="82">F752/E752</f>
        <v>1.0704312355553662</v>
      </c>
      <c r="F740" s="249"/>
      <c r="G740" s="249"/>
      <c r="H740" s="249"/>
      <c r="I740" s="249"/>
      <c r="J740" s="250"/>
    </row>
    <row r="741" spans="1:10">
      <c r="A741" s="248" t="s">
        <v>569</v>
      </c>
      <c r="B741" s="249">
        <v>1.2097805877102306</v>
      </c>
      <c r="C741" s="249">
        <v>1.1729343042703535</v>
      </c>
      <c r="D741" s="249">
        <v>1.0576447680901178</v>
      </c>
      <c r="E741" s="249">
        <f t="shared" si="82"/>
        <v>1.1340871534488071</v>
      </c>
      <c r="F741" s="249"/>
      <c r="G741" s="249"/>
      <c r="H741" s="249"/>
      <c r="I741" s="249"/>
      <c r="J741" s="250"/>
    </row>
    <row r="742" spans="1:10">
      <c r="A742" s="248" t="s">
        <v>570</v>
      </c>
      <c r="B742" s="256">
        <v>1.1697889782905726</v>
      </c>
      <c r="C742" s="256">
        <v>1.1485262991479412</v>
      </c>
      <c r="D742" s="256">
        <v>1.049508766382647</v>
      </c>
      <c r="E742" s="256">
        <f t="shared" si="82"/>
        <v>1.1040561955262993</v>
      </c>
      <c r="F742" s="249"/>
      <c r="G742" s="249"/>
      <c r="H742" s="249"/>
      <c r="I742" s="249"/>
      <c r="J742" s="250"/>
    </row>
    <row r="743" spans="1:10">
      <c r="A743" s="248" t="s">
        <v>571</v>
      </c>
      <c r="B743" s="249">
        <v>1.1587647303602575</v>
      </c>
      <c r="C743" s="249">
        <v>1.0854096786599328</v>
      </c>
      <c r="D743" s="249">
        <v>1.0284698928866443</v>
      </c>
      <c r="E743" s="249">
        <f t="shared" si="82"/>
        <v>1.363594657351775</v>
      </c>
      <c r="F743" s="249"/>
      <c r="G743" s="249"/>
      <c r="H743" s="249"/>
      <c r="I743" s="249"/>
      <c r="J743" s="250"/>
    </row>
    <row r="744" spans="1:10">
      <c r="A744" s="248" t="s">
        <v>572</v>
      </c>
      <c r="B744" s="261">
        <v>1.1587647303602575</v>
      </c>
      <c r="C744" s="261">
        <v>1.0854096786599328</v>
      </c>
      <c r="D744" s="261">
        <v>1.0284698928866443</v>
      </c>
      <c r="E744" s="261">
        <f t="shared" si="82"/>
        <v>1.3635946573517748</v>
      </c>
      <c r="F744" s="249"/>
      <c r="G744" s="249"/>
      <c r="H744" s="249"/>
      <c r="I744" s="249"/>
      <c r="J744" s="250"/>
    </row>
    <row r="745" spans="1:10">
      <c r="A745" s="248" t="s">
        <v>573</v>
      </c>
      <c r="B745" s="43">
        <v>0.99410318905494366</v>
      </c>
      <c r="C745" s="43">
        <v>1.0095287120834378</v>
      </c>
      <c r="D745" s="43">
        <v>1.0031762373611459</v>
      </c>
      <c r="E745" s="43">
        <f t="shared" si="82"/>
        <v>0.97316968165904427</v>
      </c>
      <c r="F745" s="249"/>
      <c r="G745" s="249"/>
      <c r="H745" s="249"/>
      <c r="I745" s="249"/>
      <c r="J745" s="250"/>
    </row>
    <row r="746" spans="1:10">
      <c r="A746" s="248" t="s">
        <v>574</v>
      </c>
      <c r="B746" s="278">
        <v>1.0099752422488564</v>
      </c>
      <c r="C746" s="278">
        <v>1.0050974522479115</v>
      </c>
      <c r="D746" s="278">
        <v>1.0016991507493038</v>
      </c>
      <c r="E746" s="278">
        <f t="shared" si="82"/>
        <v>0.99922998787640482</v>
      </c>
      <c r="F746" s="249"/>
      <c r="G746" s="249"/>
      <c r="H746" s="249"/>
      <c r="I746" s="249"/>
      <c r="J746" s="250"/>
    </row>
    <row r="747" spans="1:10">
      <c r="A747" s="248" t="s">
        <v>311</v>
      </c>
      <c r="B747" s="263">
        <v>1.0099752422488564</v>
      </c>
      <c r="C747" s="263">
        <v>1.0050974522479115</v>
      </c>
      <c r="D747" s="263">
        <v>1.0016991507493038</v>
      </c>
      <c r="E747" s="263">
        <f t="shared" si="82"/>
        <v>0.99922998787640471</v>
      </c>
      <c r="F747" s="249"/>
      <c r="G747" s="249"/>
      <c r="H747" s="249"/>
      <c r="I747" s="249"/>
      <c r="J747" s="250"/>
    </row>
    <row r="748" spans="1:10">
      <c r="A748" s="248"/>
      <c r="B748" s="249"/>
      <c r="C748" s="249"/>
      <c r="D748" s="249"/>
      <c r="E748" s="249"/>
      <c r="F748" s="249"/>
      <c r="G748" s="249"/>
      <c r="H748" s="249"/>
      <c r="I748" s="249"/>
      <c r="J748" s="250"/>
    </row>
    <row r="749" spans="1:10">
      <c r="A749" s="248"/>
      <c r="B749" s="249"/>
      <c r="C749" s="249"/>
      <c r="D749" s="249"/>
      <c r="E749" s="1554" t="s">
        <v>575</v>
      </c>
      <c r="F749" s="1554"/>
      <c r="G749" s="1554"/>
      <c r="H749" s="1554"/>
      <c r="I749" s="1554"/>
      <c r="J749" s="251"/>
    </row>
    <row r="750" spans="1:10">
      <c r="A750" s="248" t="s">
        <v>576</v>
      </c>
      <c r="B750" s="249"/>
      <c r="C750" s="249" t="s">
        <v>577</v>
      </c>
      <c r="D750" s="249" t="s">
        <v>577</v>
      </c>
      <c r="E750" s="249"/>
      <c r="F750" s="249"/>
      <c r="G750" s="249"/>
      <c r="H750" s="249"/>
      <c r="I750" s="249"/>
      <c r="J750" s="250"/>
    </row>
    <row r="751" spans="1:10">
      <c r="A751" s="248"/>
      <c r="B751" s="249" t="s">
        <v>1045</v>
      </c>
      <c r="C751" s="249">
        <v>2000</v>
      </c>
      <c r="D751" s="249">
        <v>2005</v>
      </c>
      <c r="E751" s="249">
        <v>2020</v>
      </c>
      <c r="F751" s="249">
        <v>2035</v>
      </c>
      <c r="G751" s="249">
        <v>2050</v>
      </c>
      <c r="H751" s="249">
        <v>2065</v>
      </c>
      <c r="I751" s="249">
        <v>2080</v>
      </c>
      <c r="J751" s="250"/>
    </row>
    <row r="752" spans="1:10">
      <c r="A752" s="248" t="s">
        <v>568</v>
      </c>
      <c r="B752" s="249" t="s">
        <v>578</v>
      </c>
      <c r="C752" s="249">
        <v>25.276500000000002</v>
      </c>
      <c r="D752" s="249">
        <v>25.071000000000002</v>
      </c>
      <c r="E752" s="249">
        <v>24.427484559</v>
      </c>
      <c r="F752" s="249">
        <v>26.147942478000001</v>
      </c>
      <c r="G752" s="249">
        <v>27.297862937999998</v>
      </c>
      <c r="H752" s="249">
        <v>28.074449492999999</v>
      </c>
      <c r="I752" s="249">
        <v>29.9967939</v>
      </c>
      <c r="J752" s="250"/>
    </row>
    <row r="753" spans="1:10">
      <c r="A753" s="248" t="s">
        <v>569</v>
      </c>
      <c r="B753" s="249" t="s">
        <v>579</v>
      </c>
      <c r="C753" s="249">
        <v>3.83</v>
      </c>
      <c r="D753" s="249">
        <v>2.88</v>
      </c>
      <c r="E753" s="249">
        <v>3.1020351176470586</v>
      </c>
      <c r="F753" s="249">
        <v>3.5179781764705877</v>
      </c>
      <c r="G753" s="249">
        <v>4.2559817058823528</v>
      </c>
      <c r="H753" s="249">
        <v>4.9919869411764699</v>
      </c>
      <c r="I753" s="249">
        <v>5.7211905294117642</v>
      </c>
      <c r="J753" s="250"/>
    </row>
    <row r="754" spans="1:10">
      <c r="A754" s="248" t="s">
        <v>570</v>
      </c>
      <c r="B754" s="249" t="s">
        <v>579</v>
      </c>
      <c r="C754" s="249">
        <v>4.333333333333333</v>
      </c>
      <c r="D754" s="249">
        <v>3.2058823529411766</v>
      </c>
      <c r="E754" s="249">
        <v>4.0727964705882354</v>
      </c>
      <c r="F754" s="249">
        <v>4.4965961764705868</v>
      </c>
      <c r="G754" s="249">
        <v>5.2600686470588229</v>
      </c>
      <c r="H754" s="249">
        <v>6.0413271764705883</v>
      </c>
      <c r="I754" s="249">
        <v>6.8262844117647052</v>
      </c>
      <c r="J754" s="250"/>
    </row>
    <row r="755" spans="1:10">
      <c r="A755" s="248" t="s">
        <v>571</v>
      </c>
      <c r="B755" s="249" t="s">
        <v>580</v>
      </c>
      <c r="C755" s="249">
        <v>28.35</v>
      </c>
      <c r="D755" s="249">
        <v>23.27</v>
      </c>
      <c r="E755" s="249">
        <v>17.294973600000002</v>
      </c>
      <c r="F755" s="249">
        <v>23.583333599999996</v>
      </c>
      <c r="G755" s="249">
        <v>27.327535199999996</v>
      </c>
      <c r="H755" s="249">
        <v>29.661571199999997</v>
      </c>
      <c r="I755" s="249"/>
      <c r="J755" s="250"/>
    </row>
    <row r="756" spans="1:10">
      <c r="A756" s="248" t="s">
        <v>572</v>
      </c>
      <c r="B756" s="249" t="s">
        <v>581</v>
      </c>
      <c r="C756" s="249">
        <v>1.5176666666666667</v>
      </c>
      <c r="D756" s="249">
        <v>1.2925714285714285</v>
      </c>
      <c r="E756" s="249">
        <v>0.93587519480519499</v>
      </c>
      <c r="F756" s="249">
        <v>1.2761544155844153</v>
      </c>
      <c r="G756" s="249">
        <v>1.4787627272727271</v>
      </c>
      <c r="H756" s="249">
        <v>1.6050633766233764</v>
      </c>
      <c r="I756" s="249"/>
      <c r="J756" s="250"/>
    </row>
    <row r="757" spans="1:10">
      <c r="A757" s="248" t="s">
        <v>573</v>
      </c>
      <c r="B757" s="249" t="s">
        <v>582</v>
      </c>
      <c r="C757" s="249">
        <v>6.9</v>
      </c>
      <c r="D757" s="249">
        <v>6.4</v>
      </c>
      <c r="E757" s="249">
        <v>6.9130361604720001</v>
      </c>
      <c r="F757" s="249">
        <v>6.7275571995839982</v>
      </c>
      <c r="G757" s="249">
        <v>6.6878860666559987</v>
      </c>
      <c r="H757" s="249">
        <v>6.7516130074319989</v>
      </c>
      <c r="I757" s="249">
        <v>6.8294477356799987</v>
      </c>
      <c r="J757" s="250"/>
    </row>
    <row r="758" spans="1:10">
      <c r="A758" s="248" t="s">
        <v>574</v>
      </c>
      <c r="B758" s="249" t="s">
        <v>583</v>
      </c>
      <c r="C758" s="249"/>
      <c r="D758" s="249"/>
      <c r="E758" s="249">
        <v>3.8637053999999993</v>
      </c>
      <c r="F758" s="249">
        <v>3.8607302999999993</v>
      </c>
      <c r="G758" s="249">
        <v>3.8992420199999995</v>
      </c>
      <c r="H758" s="249">
        <v>3.9191182199999997</v>
      </c>
      <c r="I758" s="249">
        <v>4.4580291000000001</v>
      </c>
      <c r="J758" s="250"/>
    </row>
    <row r="759" spans="1:10">
      <c r="A759" s="248" t="s">
        <v>311</v>
      </c>
      <c r="B759" s="249" t="s">
        <v>583</v>
      </c>
      <c r="C759" s="249"/>
      <c r="D759" s="249"/>
      <c r="E759" s="249">
        <v>19.318526999999996</v>
      </c>
      <c r="F759" s="249">
        <v>19.303651499999994</v>
      </c>
      <c r="G759" s="249">
        <v>19.496210099999995</v>
      </c>
      <c r="H759" s="249">
        <v>19.595591099999996</v>
      </c>
      <c r="I759" s="249">
        <v>22.290145499999998</v>
      </c>
      <c r="J759" s="250"/>
    </row>
    <row r="760" spans="1:10">
      <c r="A760" s="248"/>
      <c r="B760" s="249"/>
      <c r="C760" s="249"/>
      <c r="D760" s="249"/>
      <c r="E760" s="249"/>
      <c r="F760" s="249"/>
      <c r="G760" s="249"/>
      <c r="H760" s="249"/>
      <c r="I760" s="249"/>
      <c r="J760" s="250"/>
    </row>
    <row r="761" spans="1:10" ht="38.25">
      <c r="A761" s="252" t="s">
        <v>584</v>
      </c>
      <c r="B761" s="249" t="s">
        <v>578</v>
      </c>
      <c r="C761" s="249"/>
      <c r="D761" s="249"/>
      <c r="E761" s="249">
        <v>76.455732879999985</v>
      </c>
      <c r="F761" s="249">
        <v>76.404561159999986</v>
      </c>
      <c r="G761" s="249">
        <v>77.066962743999994</v>
      </c>
      <c r="H761" s="249">
        <v>77.40883338399999</v>
      </c>
      <c r="I761" s="249">
        <v>86.678100520000001</v>
      </c>
      <c r="J761" s="250"/>
    </row>
    <row r="762" spans="1:10" ht="13.5" thickBot="1">
      <c r="A762" s="253"/>
      <c r="B762" s="254">
        <v>17.2</v>
      </c>
      <c r="C762" s="254" t="s">
        <v>585</v>
      </c>
      <c r="D762" s="254"/>
      <c r="E762" s="254"/>
      <c r="F762" s="254"/>
      <c r="G762" s="254"/>
      <c r="H762" s="254"/>
      <c r="I762" s="254"/>
      <c r="J762" s="255"/>
    </row>
    <row r="763" spans="1:10" ht="13.5" thickTop="1"/>
    <row r="764" spans="1:10">
      <c r="A764" s="40" t="s">
        <v>812</v>
      </c>
    </row>
    <row r="765" spans="1:10">
      <c r="A765" t="s">
        <v>806</v>
      </c>
    </row>
    <row r="766" spans="1:10">
      <c r="A766" t="s">
        <v>807</v>
      </c>
    </row>
    <row r="767" spans="1:10">
      <c r="A767" t="s">
        <v>808</v>
      </c>
    </row>
    <row r="769" spans="1:27">
      <c r="A769" t="s">
        <v>446</v>
      </c>
    </row>
    <row r="770" spans="1:27">
      <c r="A770" t="s">
        <v>721</v>
      </c>
    </row>
    <row r="773" spans="1:27">
      <c r="AA773" t="s">
        <v>809</v>
      </c>
    </row>
    <row r="774" spans="1:27">
      <c r="B774" t="s">
        <v>452</v>
      </c>
      <c r="C774" t="s">
        <v>453</v>
      </c>
      <c r="D774" t="s">
        <v>454</v>
      </c>
      <c r="E774" t="s">
        <v>455</v>
      </c>
      <c r="F774" t="s">
        <v>456</v>
      </c>
      <c r="G774" t="s">
        <v>457</v>
      </c>
      <c r="H774" t="s">
        <v>458</v>
      </c>
      <c r="I774" t="s">
        <v>459</v>
      </c>
      <c r="J774" t="s">
        <v>460</v>
      </c>
      <c r="K774" t="s">
        <v>461</v>
      </c>
      <c r="L774" t="s">
        <v>462</v>
      </c>
      <c r="M774" t="s">
        <v>463</v>
      </c>
      <c r="N774" t="s">
        <v>464</v>
      </c>
      <c r="O774" t="s">
        <v>465</v>
      </c>
      <c r="P774" t="s">
        <v>466</v>
      </c>
      <c r="Q774" t="s">
        <v>467</v>
      </c>
      <c r="R774" t="s">
        <v>468</v>
      </c>
      <c r="S774" t="s">
        <v>469</v>
      </c>
      <c r="T774" t="s">
        <v>470</v>
      </c>
      <c r="U774" t="s">
        <v>471</v>
      </c>
      <c r="V774" t="s">
        <v>603</v>
      </c>
      <c r="W774" t="s">
        <v>604</v>
      </c>
      <c r="X774" t="s">
        <v>605</v>
      </c>
      <c r="Y774" t="s">
        <v>606</v>
      </c>
      <c r="Z774" t="s">
        <v>607</v>
      </c>
      <c r="AA774" t="s">
        <v>607</v>
      </c>
    </row>
    <row r="777" spans="1:27">
      <c r="A777" t="s">
        <v>472</v>
      </c>
    </row>
    <row r="778" spans="1:27">
      <c r="A778" t="s">
        <v>608</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c r="A779" t="s">
        <v>609</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c r="A780" t="s">
        <v>509</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c r="A781" t="s">
        <v>478</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c r="A783" t="s">
        <v>479</v>
      </c>
    </row>
    <row r="784" spans="1:27">
      <c r="A784" t="s">
        <v>608</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c r="A785" t="s">
        <v>609</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c r="A786" t="s">
        <v>722</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c r="A787" t="s">
        <v>509</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c r="A788" t="s">
        <v>478</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c r="A790" t="s">
        <v>611</v>
      </c>
    </row>
    <row r="791" spans="1:27">
      <c r="A791" t="s">
        <v>608</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c r="A792" t="s">
        <v>609</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c r="A793" t="s">
        <v>610</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c r="A794" t="s">
        <v>612</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c r="A795" t="s">
        <v>613</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c r="A796" t="s">
        <v>614</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c r="A797" t="s">
        <v>615</v>
      </c>
      <c r="B797" t="s">
        <v>787</v>
      </c>
      <c r="C797" t="s">
        <v>787</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787</v>
      </c>
    </row>
    <row r="798" spans="1:27">
      <c r="A798" t="s">
        <v>478</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c r="A800" t="s">
        <v>486</v>
      </c>
    </row>
    <row r="801" spans="1:27">
      <c r="A801" t="s">
        <v>616</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c r="A802" t="s">
        <v>617</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c r="A803" t="s">
        <v>618</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c r="A804" t="s">
        <v>619</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c r="A805" t="s">
        <v>723</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c r="A806" t="s">
        <v>610</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c r="A807" t="s">
        <v>621</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c r="A808" t="s">
        <v>478</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c r="A810" t="s">
        <v>622</v>
      </c>
    </row>
    <row r="811" spans="1:27">
      <c r="A811" t="s">
        <v>609</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c r="A812" t="s">
        <v>610</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c r="A813" t="s">
        <v>509</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c r="A814" t="s">
        <v>623</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c r="A816" t="s">
        <v>624</v>
      </c>
    </row>
    <row r="817" spans="1:27">
      <c r="A817" t="s">
        <v>608</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c r="A818" t="s">
        <v>617</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c r="A819" t="s">
        <v>618</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c r="A820" t="s">
        <v>625</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c r="A821" t="s">
        <v>609</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c r="A822" t="s">
        <v>610</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c r="A823" t="s">
        <v>509</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c r="A824" t="s">
        <v>613</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c r="A825" t="s">
        <v>626</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c r="A826" t="s">
        <v>615</v>
      </c>
      <c r="B826" t="s">
        <v>787</v>
      </c>
      <c r="C826" t="s">
        <v>787</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787</v>
      </c>
    </row>
    <row r="827" spans="1:27">
      <c r="A827" t="s">
        <v>478</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c r="A829" t="s">
        <v>512</v>
      </c>
    </row>
    <row r="830" spans="1:27">
      <c r="A830" t="s">
        <v>724</v>
      </c>
    </row>
    <row r="831" spans="1:27">
      <c r="A831" t="s">
        <v>472</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c r="A832" t="s">
        <v>479</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c r="A833" t="s">
        <v>514</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c r="A834" t="s">
        <v>486</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c r="A835" t="s">
        <v>515</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c r="A836" t="s">
        <v>628</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c r="A837" t="s">
        <v>517</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c r="A840" t="s">
        <v>725</v>
      </c>
    </row>
    <row r="841" spans="1:27">
      <c r="A841" t="s">
        <v>472</v>
      </c>
    </row>
    <row r="842" spans="1:27">
      <c r="A842" t="s">
        <v>608</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c r="A843" t="s">
        <v>609</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c r="A844" t="s">
        <v>509</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c r="A845" t="s">
        <v>478</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c r="A847" t="s">
        <v>479</v>
      </c>
    </row>
    <row r="848" spans="1:27">
      <c r="A848" t="s">
        <v>608</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c r="A849" t="s">
        <v>609</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c r="A850" t="s">
        <v>722</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c r="A851" t="s">
        <v>509</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c r="A852" t="s">
        <v>478</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c r="A854" t="s">
        <v>611</v>
      </c>
    </row>
    <row r="855" spans="1:27">
      <c r="A855" t="s">
        <v>608</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c r="A856" t="s">
        <v>609</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c r="A857" t="s">
        <v>610</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c r="A858" t="s">
        <v>612</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c r="A859" t="s">
        <v>613</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c r="A860" t="s">
        <v>614</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c r="A861" t="s">
        <v>615</v>
      </c>
      <c r="B861" t="s">
        <v>787</v>
      </c>
      <c r="C861" t="s">
        <v>787</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787</v>
      </c>
    </row>
    <row r="862" spans="1:27">
      <c r="A862" t="s">
        <v>478</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c r="A864" s="286" t="s">
        <v>486</v>
      </c>
      <c r="B864" s="286"/>
      <c r="C864" s="286"/>
      <c r="D864" s="286"/>
      <c r="E864" s="286"/>
      <c r="F864" s="286"/>
      <c r="G864" s="286"/>
      <c r="H864" s="286"/>
      <c r="I864" s="286"/>
      <c r="J864" s="286"/>
      <c r="K864" s="286"/>
      <c r="L864" s="286"/>
      <c r="M864" s="286"/>
      <c r="N864" s="286"/>
      <c r="O864" s="286"/>
      <c r="P864" s="286"/>
      <c r="Q864" s="286"/>
      <c r="R864" s="286"/>
      <c r="S864" s="286"/>
      <c r="T864" s="286"/>
      <c r="U864" s="286"/>
      <c r="V864" s="286"/>
      <c r="W864" s="286"/>
      <c r="X864" s="286"/>
      <c r="Y864" s="286"/>
      <c r="Z864" s="286"/>
    </row>
    <row r="865" spans="1:27">
      <c r="A865" t="s">
        <v>616</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c r="A866" t="s">
        <v>617</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c r="A867" t="s">
        <v>618</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c r="A868" t="s">
        <v>619</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c r="A869" t="s">
        <v>723</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c r="A870" t="s">
        <v>610</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c r="A871" t="s">
        <v>621</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c r="A872" t="s">
        <v>478</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c r="A874" t="s">
        <v>622</v>
      </c>
    </row>
    <row r="875" spans="1:27">
      <c r="A875" t="s">
        <v>609</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c r="A876" t="s">
        <v>610</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c r="A877" t="s">
        <v>509</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c r="A878" t="s">
        <v>623</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c r="A880" t="s">
        <v>624</v>
      </c>
    </row>
    <row r="881" spans="1:27">
      <c r="A881" t="s">
        <v>608</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c r="A882" t="s">
        <v>617</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c r="A883" t="s">
        <v>618</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c r="A884" t="s">
        <v>625</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c r="A885" t="s">
        <v>609</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c r="A886" t="s">
        <v>610</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c r="A887" t="s">
        <v>509</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c r="A888" t="s">
        <v>613</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c r="A889" t="s">
        <v>626</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c r="A890" t="s">
        <v>615</v>
      </c>
      <c r="B890" t="s">
        <v>787</v>
      </c>
      <c r="C890" t="s">
        <v>787</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787</v>
      </c>
    </row>
    <row r="891" spans="1:27">
      <c r="A891" t="s">
        <v>478</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c r="A893" t="s">
        <v>512</v>
      </c>
    </row>
    <row r="894" spans="1:27">
      <c r="A894" t="s">
        <v>726</v>
      </c>
    </row>
    <row r="895" spans="1:27">
      <c r="A895" t="s">
        <v>472</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c r="A896" t="s">
        <v>479</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c r="A897" t="s">
        <v>514</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c r="A898" t="s">
        <v>486</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c r="A899" t="s">
        <v>515</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c r="A900" t="s">
        <v>628</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c r="A901" t="s">
        <v>517</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c r="A905" t="s">
        <v>629</v>
      </c>
    </row>
    <row r="906" spans="1:27">
      <c r="A906" t="s">
        <v>630</v>
      </c>
    </row>
    <row r="907" spans="1:27">
      <c r="A907" t="s">
        <v>631</v>
      </c>
    </row>
    <row r="908" spans="1:27">
      <c r="A908" t="s">
        <v>727</v>
      </c>
    </row>
    <row r="909" spans="1:27">
      <c r="A909" t="s">
        <v>728</v>
      </c>
    </row>
    <row r="910" spans="1:27">
      <c r="A910" t="s">
        <v>648</v>
      </c>
    </row>
    <row r="911" spans="1:27">
      <c r="A911" t="s">
        <v>649</v>
      </c>
    </row>
    <row r="912" spans="1:27">
      <c r="A912" t="s">
        <v>650</v>
      </c>
    </row>
    <row r="913" spans="1:1">
      <c r="A913" t="s">
        <v>651</v>
      </c>
    </row>
    <row r="914" spans="1:1">
      <c r="A914" t="s">
        <v>652</v>
      </c>
    </row>
    <row r="915" spans="1:1">
      <c r="A915" t="s">
        <v>653</v>
      </c>
    </row>
    <row r="916" spans="1:1">
      <c r="A916" t="s">
        <v>544</v>
      </c>
    </row>
    <row r="917" spans="1:1">
      <c r="A917" t="s">
        <v>729</v>
      </c>
    </row>
    <row r="918" spans="1:1">
      <c r="A918" t="s">
        <v>730</v>
      </c>
    </row>
    <row r="919" spans="1:1">
      <c r="A919" t="s">
        <v>731</v>
      </c>
    </row>
    <row r="920" spans="1:1">
      <c r="A920" t="s">
        <v>732</v>
      </c>
    </row>
    <row r="921" spans="1:1">
      <c r="A921" t="s">
        <v>733</v>
      </c>
    </row>
    <row r="922" spans="1:1">
      <c r="A922" t="s">
        <v>734</v>
      </c>
    </row>
    <row r="923" spans="1:1">
      <c r="A923" t="s">
        <v>735</v>
      </c>
    </row>
    <row r="924" spans="1:1">
      <c r="A924" t="s">
        <v>736</v>
      </c>
    </row>
    <row r="925" spans="1:1">
      <c r="A925" t="s">
        <v>737</v>
      </c>
    </row>
    <row r="926" spans="1:1">
      <c r="A926" t="s">
        <v>738</v>
      </c>
    </row>
    <row r="927" spans="1:1">
      <c r="A927" t="s">
        <v>810</v>
      </c>
    </row>
    <row r="928" spans="1:1">
      <c r="A928" t="s">
        <v>740</v>
      </c>
    </row>
    <row r="929" spans="1:1">
      <c r="A929" t="s">
        <v>811</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85" zoomScaleNormal="85" workbookViewId="0">
      <selection activeCell="D94" sqref="D94:E118"/>
    </sheetView>
  </sheetViews>
  <sheetFormatPr defaultRowHeight="12.75"/>
  <cols>
    <col min="1" max="1" width="33" customWidth="1"/>
    <col min="2" max="2" width="28.5703125" customWidth="1"/>
    <col min="3" max="3" width="14" customWidth="1"/>
    <col min="4" max="4" width="12.85546875" customWidth="1"/>
    <col min="5" max="5" width="15.140625" customWidth="1"/>
    <col min="6" max="6" width="21.42578125" customWidth="1"/>
    <col min="7" max="8" width="14" customWidth="1"/>
    <col min="9" max="9" width="15.140625" customWidth="1"/>
    <col min="10" max="10" width="17.7109375" customWidth="1"/>
    <col min="11" max="11" width="19.28515625" customWidth="1"/>
    <col min="12" max="12" width="17.140625" customWidth="1"/>
    <col min="13" max="14" width="18.7109375" customWidth="1"/>
    <col min="15" max="15" width="8.5703125" customWidth="1"/>
    <col min="16" max="18" width="18.7109375" customWidth="1"/>
    <col min="19" max="20" width="13.42578125" customWidth="1"/>
    <col min="23" max="23" width="12.42578125" bestFit="1" customWidth="1"/>
  </cols>
  <sheetData>
    <row r="1" spans="1:23" ht="15">
      <c r="A1" s="2" t="s">
        <v>300</v>
      </c>
    </row>
    <row r="2" spans="1:23" ht="12.75" customHeight="1">
      <c r="A2" s="1575" t="s">
        <v>864</v>
      </c>
      <c r="B2" s="1446"/>
      <c r="C2" s="1446"/>
      <c r="D2" s="1446"/>
      <c r="E2" s="1446"/>
      <c r="F2" s="1446"/>
      <c r="G2" s="1446"/>
      <c r="H2" s="1446"/>
      <c r="I2" s="1446"/>
      <c r="J2" s="1446"/>
      <c r="K2" s="1446"/>
    </row>
    <row r="3" spans="1:23" ht="13.5" thickBot="1">
      <c r="A3" s="1576"/>
      <c r="B3" s="1576"/>
      <c r="C3" s="1576"/>
      <c r="D3" s="1576"/>
      <c r="E3" s="1576"/>
      <c r="F3" s="1576"/>
      <c r="G3" s="1576"/>
      <c r="H3" s="1576"/>
      <c r="I3" s="1576"/>
      <c r="J3" s="1576"/>
      <c r="K3" s="1576"/>
    </row>
    <row r="4" spans="1:23" ht="15">
      <c r="A4" s="3" t="s">
        <v>301</v>
      </c>
      <c r="B4" s="4"/>
      <c r="C4" s="1577" t="s">
        <v>302</v>
      </c>
      <c r="D4" s="1577"/>
      <c r="E4" s="1577"/>
      <c r="F4" s="5"/>
      <c r="G4" s="1577" t="s">
        <v>303</v>
      </c>
      <c r="H4" s="1577"/>
      <c r="I4" s="1577"/>
      <c r="J4" s="5"/>
      <c r="K4" s="6" t="s">
        <v>304</v>
      </c>
      <c r="O4" s="2" t="s">
        <v>632</v>
      </c>
    </row>
    <row r="5" spans="1:23">
      <c r="A5" s="7" t="s">
        <v>865</v>
      </c>
      <c r="B5" s="8"/>
      <c r="C5" s="9" t="s">
        <v>866</v>
      </c>
      <c r="D5" s="9" t="s">
        <v>305</v>
      </c>
      <c r="E5" s="9" t="s">
        <v>306</v>
      </c>
      <c r="F5" s="9"/>
      <c r="G5" s="9" t="s">
        <v>866</v>
      </c>
      <c r="H5" s="9" t="s">
        <v>305</v>
      </c>
      <c r="I5" s="9" t="s">
        <v>306</v>
      </c>
      <c r="J5" s="9"/>
      <c r="K5" s="10" t="s">
        <v>867</v>
      </c>
      <c r="O5" s="1"/>
      <c r="P5" s="1"/>
      <c r="Q5" s="522"/>
      <c r="R5" s="522">
        <v>2005</v>
      </c>
      <c r="S5" s="522">
        <v>2007</v>
      </c>
      <c r="T5" s="522">
        <v>2005</v>
      </c>
      <c r="U5" s="522">
        <v>2007</v>
      </c>
      <c r="V5" s="521"/>
      <c r="W5" s="521"/>
    </row>
    <row r="6" spans="1:23">
      <c r="A6" s="15" t="s">
        <v>528</v>
      </c>
      <c r="B6" s="12"/>
      <c r="C6" s="13">
        <v>983</v>
      </c>
      <c r="D6" s="14">
        <f>C6/$K6*453.59</f>
        <v>20267.225909090906</v>
      </c>
      <c r="E6" s="514">
        <f>D6*1.05506/1000*2.2046</f>
        <v>47.141269049911173</v>
      </c>
      <c r="F6" s="13"/>
      <c r="G6" s="13">
        <v>1089</v>
      </c>
      <c r="H6" s="14">
        <f>G6/$K6*453.59</f>
        <v>22452.704999999998</v>
      </c>
      <c r="I6" s="514">
        <f>H6*1.05506/1000*2.2046</f>
        <v>52.224661236371581</v>
      </c>
      <c r="J6" s="13"/>
      <c r="K6" s="515">
        <v>22</v>
      </c>
      <c r="O6" s="1" t="s">
        <v>247</v>
      </c>
      <c r="P6" s="1" t="s">
        <v>1045</v>
      </c>
      <c r="Q6" s="522" t="s">
        <v>636</v>
      </c>
      <c r="R6" s="522" t="s">
        <v>635</v>
      </c>
      <c r="S6" s="522" t="s">
        <v>635</v>
      </c>
      <c r="T6" s="522" t="s">
        <v>1034</v>
      </c>
      <c r="U6" s="522" t="s">
        <v>1034</v>
      </c>
      <c r="V6" s="521"/>
      <c r="W6" s="521"/>
    </row>
    <row r="7" spans="1:23">
      <c r="A7" s="15" t="s">
        <v>868</v>
      </c>
      <c r="B7" s="16"/>
      <c r="C7" s="516">
        <v>290</v>
      </c>
      <c r="D7" s="17">
        <f t="shared" ref="D7:D40" si="0">C7/K7*453.59</f>
        <v>51682.028917177428</v>
      </c>
      <c r="E7" s="517">
        <f t="shared" ref="E7:E40" si="1">D7*1.05506/1000*2.2046</f>
        <v>120.21163829516094</v>
      </c>
      <c r="F7" s="18"/>
      <c r="G7" s="19">
        <v>343</v>
      </c>
      <c r="H7" s="17">
        <f t="shared" ref="H7:H40" si="2">G7/$K7*453.59</f>
        <v>61127.365236523648</v>
      </c>
      <c r="I7" s="517">
        <f t="shared" ref="I7:I40" si="3">H7*1.05506/1000*2.2046</f>
        <v>142.1813515008283</v>
      </c>
      <c r="J7" s="18"/>
      <c r="K7" s="518">
        <v>2.5451999999999999</v>
      </c>
      <c r="O7" t="s">
        <v>847</v>
      </c>
      <c r="P7" t="s">
        <v>637</v>
      </c>
      <c r="Q7" s="521">
        <v>930</v>
      </c>
      <c r="R7" s="521">
        <v>1027</v>
      </c>
      <c r="S7" s="521">
        <v>1030</v>
      </c>
      <c r="T7" s="521">
        <f>R7/Q7</f>
        <v>1.1043010752688172</v>
      </c>
      <c r="U7" s="521">
        <f>S7/Q7</f>
        <v>1.10752688172043</v>
      </c>
      <c r="V7" s="521"/>
      <c r="W7" s="521"/>
    </row>
    <row r="8" spans="1:23">
      <c r="A8" s="15" t="s">
        <v>869</v>
      </c>
      <c r="B8" s="16"/>
      <c r="C8" s="516">
        <v>1458</v>
      </c>
      <c r="D8" s="17">
        <f t="shared" si="0"/>
        <v>20162.628658536585</v>
      </c>
      <c r="E8" s="514">
        <f t="shared" si="1"/>
        <v>46.897977385211739</v>
      </c>
      <c r="F8" s="18"/>
      <c r="G8" s="19">
        <v>1584</v>
      </c>
      <c r="H8" s="17">
        <f t="shared" si="2"/>
        <v>21905.078048780488</v>
      </c>
      <c r="I8" s="514">
        <f t="shared" si="3"/>
        <v>50.950889011094226</v>
      </c>
      <c r="J8" s="18"/>
      <c r="K8" s="20">
        <v>32.799999999999997</v>
      </c>
      <c r="O8" t="s">
        <v>848</v>
      </c>
      <c r="P8" t="s">
        <v>637</v>
      </c>
      <c r="Q8" s="521">
        <v>930</v>
      </c>
      <c r="R8" s="521">
        <v>1027</v>
      </c>
      <c r="S8" s="521">
        <v>1030</v>
      </c>
      <c r="T8" s="521">
        <f>R8/Q8</f>
        <v>1.1043010752688172</v>
      </c>
      <c r="U8" s="521">
        <f>S8/Q8</f>
        <v>1.10752688172043</v>
      </c>
      <c r="V8" s="521"/>
      <c r="W8" s="521"/>
    </row>
    <row r="9" spans="1:23">
      <c r="A9" s="7" t="s">
        <v>307</v>
      </c>
      <c r="B9" s="8"/>
      <c r="C9" s="9" t="s">
        <v>308</v>
      </c>
      <c r="D9" s="9" t="s">
        <v>305</v>
      </c>
      <c r="E9" s="9" t="s">
        <v>306</v>
      </c>
      <c r="F9" s="9"/>
      <c r="G9" s="9" t="s">
        <v>308</v>
      </c>
      <c r="H9" s="9" t="s">
        <v>305</v>
      </c>
      <c r="I9" s="9" t="s">
        <v>306</v>
      </c>
      <c r="J9" s="9"/>
      <c r="K9" s="10" t="s">
        <v>309</v>
      </c>
      <c r="O9" t="s">
        <v>849</v>
      </c>
      <c r="P9" t="s">
        <v>637</v>
      </c>
      <c r="Q9" s="521">
        <v>930</v>
      </c>
      <c r="R9" s="521">
        <v>1027</v>
      </c>
      <c r="S9" s="521">
        <v>1030</v>
      </c>
      <c r="T9" s="521">
        <f>R9/Q9</f>
        <v>1.1043010752688172</v>
      </c>
      <c r="U9" s="521">
        <f>S9/Q9</f>
        <v>1.10752688172043</v>
      </c>
      <c r="V9" s="521"/>
      <c r="W9" s="521"/>
    </row>
    <row r="10" spans="1:23">
      <c r="A10" s="11" t="s">
        <v>870</v>
      </c>
      <c r="B10" s="16"/>
      <c r="C10" s="19">
        <v>129670</v>
      </c>
      <c r="D10" s="17">
        <f t="shared" si="0"/>
        <v>18351.642839313572</v>
      </c>
      <c r="E10" s="514">
        <f t="shared" si="1"/>
        <v>42.685651034654214</v>
      </c>
      <c r="F10" s="18"/>
      <c r="G10" s="19">
        <v>138350</v>
      </c>
      <c r="H10" s="17">
        <f t="shared" si="2"/>
        <v>19580.086271450855</v>
      </c>
      <c r="I10" s="514">
        <f t="shared" si="3"/>
        <v>45.542992370204438</v>
      </c>
      <c r="J10" s="18"/>
      <c r="K10" s="21">
        <v>3205</v>
      </c>
      <c r="O10" t="s">
        <v>924</v>
      </c>
      <c r="Q10" s="521"/>
      <c r="R10" s="521"/>
      <c r="S10" s="521"/>
      <c r="T10" s="521">
        <v>1</v>
      </c>
      <c r="U10" s="521">
        <v>1</v>
      </c>
      <c r="V10" s="521"/>
      <c r="W10" s="521"/>
    </row>
    <row r="11" spans="1:23">
      <c r="A11" s="11" t="s">
        <v>871</v>
      </c>
      <c r="B11" s="16"/>
      <c r="C11" s="19">
        <v>116090</v>
      </c>
      <c r="D11" s="17">
        <f t="shared" si="0"/>
        <v>18679.412238382403</v>
      </c>
      <c r="E11" s="514">
        <f t="shared" si="1"/>
        <v>43.448037830811678</v>
      </c>
      <c r="F11" s="18"/>
      <c r="G11" s="19">
        <v>124340</v>
      </c>
      <c r="H11" s="17">
        <f t="shared" si="2"/>
        <v>20006.874991131608</v>
      </c>
      <c r="I11" s="514">
        <f t="shared" si="3"/>
        <v>46.535696648144757</v>
      </c>
      <c r="J11" s="18"/>
      <c r="K11" s="21">
        <v>2819</v>
      </c>
      <c r="O11" t="s">
        <v>926</v>
      </c>
      <c r="Q11" s="521"/>
      <c r="R11" s="521"/>
      <c r="S11" s="521"/>
      <c r="T11" s="521">
        <v>1</v>
      </c>
      <c r="U11" s="521">
        <v>1</v>
      </c>
      <c r="V11" s="521"/>
      <c r="W11" s="521"/>
    </row>
    <row r="12" spans="1:23">
      <c r="A12" s="11" t="s">
        <v>872</v>
      </c>
      <c r="B12" s="16"/>
      <c r="C12" s="19">
        <v>113601.50975397152</v>
      </c>
      <c r="D12" s="17">
        <f t="shared" si="0"/>
        <v>18210.67343395916</v>
      </c>
      <c r="E12" s="514">
        <f t="shared" si="1"/>
        <v>42.357758273433376</v>
      </c>
      <c r="F12" s="18"/>
      <c r="G12" s="19">
        <v>121848.38036482914</v>
      </c>
      <c r="H12" s="17">
        <f t="shared" si="2"/>
        <v>19532.672304147527</v>
      </c>
      <c r="I12" s="514">
        <f t="shared" si="3"/>
        <v>45.432708180380153</v>
      </c>
      <c r="J12" s="18"/>
      <c r="K12" s="21">
        <v>2829.5773353012783</v>
      </c>
      <c r="O12" t="s">
        <v>850</v>
      </c>
      <c r="P12" t="s">
        <v>638</v>
      </c>
      <c r="Q12" s="523">
        <v>19546300</v>
      </c>
      <c r="R12" s="523">
        <v>20754000</v>
      </c>
      <c r="S12" s="523">
        <v>20231000</v>
      </c>
      <c r="T12" s="521">
        <f>R12/Q12</f>
        <v>1.0617866296946226</v>
      </c>
      <c r="U12" s="521">
        <f>S12/Q12</f>
        <v>1.0350296475547802</v>
      </c>
      <c r="V12" s="521"/>
      <c r="W12" s="521"/>
    </row>
    <row r="13" spans="1:23">
      <c r="A13" s="11" t="s">
        <v>873</v>
      </c>
      <c r="B13" s="16"/>
      <c r="C13" s="19">
        <v>113927.15396104372</v>
      </c>
      <c r="D13" s="17">
        <f t="shared" si="0"/>
        <v>18271.813278014368</v>
      </c>
      <c r="E13" s="514">
        <f t="shared" si="1"/>
        <v>42.499968650482714</v>
      </c>
      <c r="F13" s="18"/>
      <c r="G13" s="19">
        <v>122174.43408423416</v>
      </c>
      <c r="H13" s="17">
        <f t="shared" si="2"/>
        <v>19594.524828536756</v>
      </c>
      <c r="I13" s="514">
        <f t="shared" si="3"/>
        <v>45.576576241392928</v>
      </c>
      <c r="J13" s="18"/>
      <c r="K13" s="21">
        <v>2828.193183616288</v>
      </c>
      <c r="O13" t="s">
        <v>907</v>
      </c>
      <c r="P13" t="s">
        <v>639</v>
      </c>
      <c r="Q13" s="523">
        <v>128450</v>
      </c>
      <c r="R13" s="523">
        <f>5825000/42</f>
        <v>138690.47619047618</v>
      </c>
      <c r="S13" s="523">
        <f>5799000/42</f>
        <v>138071.42857142858</v>
      </c>
      <c r="T13" s="521">
        <f>R13/Q13</f>
        <v>1.0797234425105191</v>
      </c>
      <c r="U13" s="521">
        <f>S13/Q13</f>
        <v>1.0749040760718458</v>
      </c>
      <c r="V13" s="521"/>
      <c r="W13" s="521"/>
    </row>
    <row r="14" spans="1:23">
      <c r="A14" s="11" t="s">
        <v>874</v>
      </c>
      <c r="B14" s="16"/>
      <c r="C14" s="19">
        <v>128450</v>
      </c>
      <c r="D14" s="17">
        <f t="shared" si="0"/>
        <v>18397.106251973477</v>
      </c>
      <c r="E14" s="514">
        <f t="shared" si="1"/>
        <v>42.791398263097854</v>
      </c>
      <c r="F14" s="18"/>
      <c r="G14" s="19">
        <v>137380</v>
      </c>
      <c r="H14" s="17">
        <f t="shared" si="2"/>
        <v>19676.095421534574</v>
      </c>
      <c r="I14" s="514">
        <f t="shared" si="3"/>
        <v>45.766308239660439</v>
      </c>
      <c r="J14" s="18"/>
      <c r="K14" s="21">
        <v>3167</v>
      </c>
      <c r="O14" t="s">
        <v>905</v>
      </c>
      <c r="P14" t="s">
        <v>639</v>
      </c>
      <c r="Q14" s="523">
        <v>86668</v>
      </c>
      <c r="R14" s="523">
        <v>94706</v>
      </c>
      <c r="S14" s="523">
        <v>94854</v>
      </c>
      <c r="T14" s="521">
        <f>R14/Q14</f>
        <v>1.0927447270041999</v>
      </c>
      <c r="U14" s="521">
        <f>S14/Q14</f>
        <v>1.0944523930401071</v>
      </c>
      <c r="V14" s="521"/>
      <c r="W14" s="521"/>
    </row>
    <row r="15" spans="1:23">
      <c r="A15" s="11" t="s">
        <v>527</v>
      </c>
      <c r="B15" s="16"/>
      <c r="C15" s="19">
        <v>129487.84757606639</v>
      </c>
      <c r="D15" s="17">
        <f t="shared" si="0"/>
        <v>18320.147467881456</v>
      </c>
      <c r="E15" s="514">
        <f t="shared" si="1"/>
        <v>42.612393264440954</v>
      </c>
      <c r="F15" s="18"/>
      <c r="G15" s="19">
        <v>138490</v>
      </c>
      <c r="H15" s="17">
        <f t="shared" si="2"/>
        <v>19593.786369307545</v>
      </c>
      <c r="I15" s="514">
        <f t="shared" si="3"/>
        <v>45.574858596098856</v>
      </c>
      <c r="J15" s="18"/>
      <c r="K15" s="21">
        <v>3206</v>
      </c>
      <c r="O15" t="s">
        <v>851</v>
      </c>
      <c r="P15" t="s">
        <v>639</v>
      </c>
      <c r="Q15" s="523"/>
      <c r="R15" s="523"/>
      <c r="S15" s="523"/>
      <c r="T15" s="521">
        <f>$I$19/$E$19</f>
        <v>1.1388646288209607</v>
      </c>
      <c r="U15" s="521">
        <f>$I$19/$E$19</f>
        <v>1.1388646288209607</v>
      </c>
      <c r="V15" s="521"/>
      <c r="W15" s="521"/>
    </row>
    <row r="16" spans="1:23">
      <c r="A16" s="11" t="s">
        <v>875</v>
      </c>
      <c r="B16" s="16"/>
      <c r="C16" s="19">
        <v>116920</v>
      </c>
      <c r="D16" s="17">
        <f t="shared" si="0"/>
        <v>19320.124881602911</v>
      </c>
      <c r="E16" s="514">
        <f t="shared" si="1"/>
        <v>44.938326005089621</v>
      </c>
      <c r="F16" s="18"/>
      <c r="G16" s="19">
        <v>125080</v>
      </c>
      <c r="H16" s="17">
        <f t="shared" si="2"/>
        <v>20668.501712204008</v>
      </c>
      <c r="I16" s="514">
        <f t="shared" si="3"/>
        <v>48.074630659567319</v>
      </c>
      <c r="J16" s="18"/>
      <c r="K16" s="22">
        <v>2745</v>
      </c>
      <c r="O16" t="s">
        <v>910</v>
      </c>
      <c r="P16" t="s">
        <v>639</v>
      </c>
      <c r="Q16" s="523">
        <v>116090</v>
      </c>
      <c r="R16" s="523">
        <f>5194000/42</f>
        <v>123666.66666666667</v>
      </c>
      <c r="S16" s="523">
        <f>5218000/42</f>
        <v>124238.09523809524</v>
      </c>
      <c r="T16" s="521">
        <f>R16/Q16</f>
        <v>1.0652654549631033</v>
      </c>
      <c r="U16" s="521">
        <f>S16/Q16</f>
        <v>1.0701877443198831</v>
      </c>
      <c r="V16" s="521"/>
      <c r="W16" s="521"/>
    </row>
    <row r="17" spans="1:23">
      <c r="A17" s="11" t="s">
        <v>876</v>
      </c>
      <c r="B17" s="16"/>
      <c r="C17" s="19">
        <v>111520</v>
      </c>
      <c r="D17" s="17">
        <f t="shared" si="0"/>
        <v>19081.236061863448</v>
      </c>
      <c r="E17" s="514">
        <f t="shared" si="1"/>
        <v>44.382674127774621</v>
      </c>
      <c r="F17" s="18"/>
      <c r="G17" s="19">
        <v>119740</v>
      </c>
      <c r="H17" s="17">
        <f t="shared" si="2"/>
        <v>20487.69015465862</v>
      </c>
      <c r="I17" s="514">
        <f t="shared" si="3"/>
        <v>47.654065638986118</v>
      </c>
      <c r="J17" s="18"/>
      <c r="K17" s="21">
        <v>2651</v>
      </c>
      <c r="O17" t="s">
        <v>852</v>
      </c>
      <c r="P17" t="s">
        <v>638</v>
      </c>
      <c r="Q17" s="523">
        <v>16811000</v>
      </c>
      <c r="R17" s="523">
        <v>17200000</v>
      </c>
      <c r="S17" s="523">
        <v>17200000</v>
      </c>
      <c r="T17" s="521">
        <f>R17/Q17</f>
        <v>1.0231396109690083</v>
      </c>
      <c r="U17" s="521">
        <f>S17/Q17</f>
        <v>1.0231396109690083</v>
      </c>
      <c r="V17" s="521"/>
      <c r="W17" s="521"/>
    </row>
    <row r="18" spans="1:23">
      <c r="A18" s="11" t="s">
        <v>877</v>
      </c>
      <c r="B18" s="16"/>
      <c r="C18" s="19">
        <v>140352.52220119376</v>
      </c>
      <c r="D18" s="17">
        <f t="shared" si="0"/>
        <v>16967.617416108602</v>
      </c>
      <c r="E18" s="514">
        <f t="shared" si="1"/>
        <v>39.466428278669781</v>
      </c>
      <c r="F18" s="18"/>
      <c r="G18" s="19">
        <v>150110</v>
      </c>
      <c r="H18" s="17">
        <f t="shared" si="2"/>
        <v>18147.226785714287</v>
      </c>
      <c r="I18" s="514">
        <f t="shared" si="3"/>
        <v>42.210182303804245</v>
      </c>
      <c r="J18" s="18"/>
      <c r="K18" s="21">
        <v>3752</v>
      </c>
      <c r="O18" t="s">
        <v>853</v>
      </c>
      <c r="P18" t="s">
        <v>640</v>
      </c>
      <c r="Q18" s="524">
        <v>2.8300000000000001E-3</v>
      </c>
      <c r="R18" s="523"/>
      <c r="S18" s="523"/>
      <c r="T18" s="521">
        <v>1</v>
      </c>
      <c r="U18" s="521">
        <v>1</v>
      </c>
      <c r="V18" s="521"/>
      <c r="W18" s="521"/>
    </row>
    <row r="19" spans="1:23">
      <c r="A19" s="11" t="s">
        <v>310</v>
      </c>
      <c r="B19" s="23"/>
      <c r="C19" s="19">
        <v>57250</v>
      </c>
      <c r="D19" s="17">
        <f t="shared" si="0"/>
        <v>8638.7317032601459</v>
      </c>
      <c r="E19" s="514">
        <f t="shared" si="1"/>
        <v>20.093562745097504</v>
      </c>
      <c r="F19" s="18"/>
      <c r="G19" s="19">
        <v>65200</v>
      </c>
      <c r="H19" s="17">
        <f t="shared" si="2"/>
        <v>9838.345974717231</v>
      </c>
      <c r="I19" s="514">
        <f t="shared" si="3"/>
        <v>22.883847877386152</v>
      </c>
      <c r="J19" s="18"/>
      <c r="K19" s="22">
        <v>3006</v>
      </c>
      <c r="Q19" s="521"/>
      <c r="R19" s="521"/>
      <c r="S19" s="521"/>
      <c r="T19" s="521"/>
      <c r="U19" s="521"/>
      <c r="V19" s="521"/>
      <c r="W19" s="521"/>
    </row>
    <row r="20" spans="1:23">
      <c r="A20" s="11" t="s">
        <v>311</v>
      </c>
      <c r="B20" s="23"/>
      <c r="C20" s="19">
        <v>76330</v>
      </c>
      <c r="D20" s="17">
        <f t="shared" si="0"/>
        <v>11587.19032797858</v>
      </c>
      <c r="E20" s="514">
        <f t="shared" si="1"/>
        <v>26.95163409308779</v>
      </c>
      <c r="F20" s="18"/>
      <c r="G20" s="19">
        <v>84530</v>
      </c>
      <c r="H20" s="17">
        <f t="shared" si="2"/>
        <v>12831.982161981257</v>
      </c>
      <c r="I20" s="514">
        <f t="shared" si="3"/>
        <v>29.847001570663057</v>
      </c>
      <c r="J20" s="18"/>
      <c r="K20" s="22">
        <v>2988</v>
      </c>
      <c r="Q20" s="521"/>
      <c r="R20" s="521"/>
      <c r="S20" s="521"/>
      <c r="T20" s="521"/>
      <c r="U20" s="521"/>
      <c r="V20" s="521"/>
      <c r="W20" s="521"/>
    </row>
    <row r="21" spans="1:23">
      <c r="A21" s="11" t="s">
        <v>962</v>
      </c>
      <c r="B21" s="23"/>
      <c r="C21" s="19">
        <v>99837</v>
      </c>
      <c r="D21" s="17">
        <f t="shared" si="0"/>
        <v>14774.898802610114</v>
      </c>
      <c r="E21" s="514">
        <f t="shared" si="1"/>
        <v>34.366197069261162</v>
      </c>
      <c r="F21" s="18"/>
      <c r="G21" s="19">
        <v>108458</v>
      </c>
      <c r="H21" s="17">
        <f t="shared" si="2"/>
        <v>16050.722420880913</v>
      </c>
      <c r="I21" s="514">
        <f t="shared" si="3"/>
        <v>37.33374402013208</v>
      </c>
      <c r="J21" s="18"/>
      <c r="K21" s="22">
        <v>3065</v>
      </c>
      <c r="Q21" s="521"/>
      <c r="R21" s="521"/>
      <c r="S21" s="521"/>
      <c r="T21" s="521"/>
      <c r="U21" s="521"/>
      <c r="V21" s="521"/>
      <c r="W21" s="521"/>
    </row>
    <row r="22" spans="1:23">
      <c r="A22" s="11" t="s">
        <v>963</v>
      </c>
      <c r="B22" s="23"/>
      <c r="C22" s="19">
        <v>83127</v>
      </c>
      <c r="D22" s="17">
        <f t="shared" si="0"/>
        <v>12721.179463562754</v>
      </c>
      <c r="E22" s="514">
        <f t="shared" si="1"/>
        <v>29.589276125600549</v>
      </c>
      <c r="F22" s="18"/>
      <c r="G22" s="19">
        <v>89511</v>
      </c>
      <c r="H22" s="17">
        <f t="shared" si="2"/>
        <v>13698.142540485829</v>
      </c>
      <c r="I22" s="514">
        <f t="shared" si="3"/>
        <v>31.861677857719279</v>
      </c>
      <c r="J22" s="18"/>
      <c r="K22" s="22">
        <v>2964</v>
      </c>
      <c r="Q22" s="521"/>
      <c r="R22" s="521"/>
      <c r="S22" s="521"/>
      <c r="T22" s="521"/>
      <c r="U22" s="521"/>
      <c r="V22" s="521"/>
      <c r="W22" s="521"/>
    </row>
    <row r="23" spans="1:23">
      <c r="A23" s="11" t="s">
        <v>878</v>
      </c>
      <c r="B23" s="23"/>
      <c r="C23" s="19">
        <v>116090</v>
      </c>
      <c r="D23" s="17">
        <f t="shared" si="0"/>
        <v>18679.412238382403</v>
      </c>
      <c r="E23" s="514">
        <f t="shared" si="1"/>
        <v>43.448037830811678</v>
      </c>
      <c r="F23" s="18"/>
      <c r="G23" s="19">
        <v>124340</v>
      </c>
      <c r="H23" s="17">
        <f t="shared" si="2"/>
        <v>20006.874991131608</v>
      </c>
      <c r="I23" s="514">
        <f t="shared" si="3"/>
        <v>46.535696648144757</v>
      </c>
      <c r="J23" s="18"/>
      <c r="K23" s="22">
        <v>2819</v>
      </c>
      <c r="Q23" s="521"/>
      <c r="R23" s="521"/>
      <c r="S23" s="521"/>
      <c r="T23" s="521"/>
      <c r="U23" s="521"/>
      <c r="V23" s="521"/>
      <c r="W23" s="521"/>
    </row>
    <row r="24" spans="1:23">
      <c r="A24" s="11" t="s">
        <v>879</v>
      </c>
      <c r="B24" s="23"/>
      <c r="C24" s="19">
        <v>84950</v>
      </c>
      <c r="D24" s="17">
        <f t="shared" si="0"/>
        <v>20037.686167446696</v>
      </c>
      <c r="E24" s="514">
        <f t="shared" si="1"/>
        <v>46.607362990589891</v>
      </c>
      <c r="F24" s="18"/>
      <c r="G24" s="19">
        <v>91410</v>
      </c>
      <c r="H24" s="17">
        <f t="shared" si="2"/>
        <v>21561.446645865835</v>
      </c>
      <c r="I24" s="514">
        <f t="shared" si="3"/>
        <v>50.151607427543532</v>
      </c>
      <c r="J24" s="18"/>
      <c r="K24" s="22">
        <v>1923</v>
      </c>
      <c r="Q24" s="521"/>
      <c r="R24" s="521"/>
      <c r="S24" s="521"/>
      <c r="T24" s="521"/>
      <c r="U24" s="521"/>
      <c r="V24" s="521"/>
      <c r="W24" s="521"/>
    </row>
    <row r="25" spans="1:23">
      <c r="A25" s="11" t="s">
        <v>880</v>
      </c>
      <c r="B25" s="23"/>
      <c r="C25" s="19">
        <v>74720</v>
      </c>
      <c r="D25" s="17">
        <f t="shared" si="0"/>
        <v>20908.23244910549</v>
      </c>
      <c r="E25" s="514">
        <f t="shared" si="1"/>
        <v>48.632240823804793</v>
      </c>
      <c r="F25" s="18"/>
      <c r="G25" s="19">
        <v>84820</v>
      </c>
      <c r="H25" s="17">
        <f t="shared" si="2"/>
        <v>23734.425539790249</v>
      </c>
      <c r="I25" s="514">
        <f t="shared" si="3"/>
        <v>55.205924339870478</v>
      </c>
      <c r="J25" s="18"/>
      <c r="K25" s="22">
        <v>1621</v>
      </c>
      <c r="Q25" s="521"/>
      <c r="R25" s="521"/>
      <c r="S25" s="521"/>
      <c r="T25" s="521"/>
      <c r="U25" s="521"/>
      <c r="V25" s="521"/>
      <c r="W25" s="521"/>
    </row>
    <row r="26" spans="1:23">
      <c r="A26" s="11" t="s">
        <v>881</v>
      </c>
      <c r="B26" s="23"/>
      <c r="C26" s="19">
        <v>68930</v>
      </c>
      <c r="D26" s="17">
        <f t="shared" si="0"/>
        <v>12416.981215250198</v>
      </c>
      <c r="E26" s="514">
        <f t="shared" si="1"/>
        <v>28.881715479040551</v>
      </c>
      <c r="F26" s="18"/>
      <c r="G26" s="19">
        <v>75610</v>
      </c>
      <c r="H26" s="17">
        <f t="shared" si="2"/>
        <v>13620.3097299444</v>
      </c>
      <c r="I26" s="514">
        <f t="shared" si="3"/>
        <v>31.680639886410216</v>
      </c>
      <c r="J26" s="18"/>
      <c r="K26" s="22">
        <v>2518</v>
      </c>
      <c r="Q26" s="521"/>
      <c r="R26" s="521"/>
      <c r="S26" s="521"/>
      <c r="T26" s="521"/>
      <c r="U26" s="521"/>
      <c r="V26" s="521"/>
      <c r="W26" s="521"/>
    </row>
    <row r="27" spans="1:23">
      <c r="A27" s="11" t="s">
        <v>882</v>
      </c>
      <c r="B27" s="23"/>
      <c r="C27" s="19">
        <v>72200</v>
      </c>
      <c r="D27" s="17">
        <f t="shared" si="0"/>
        <v>10061.197542242702</v>
      </c>
      <c r="E27" s="514">
        <f t="shared" si="1"/>
        <v>23.402197342183918</v>
      </c>
      <c r="F27" s="18"/>
      <c r="G27" s="19">
        <v>79196.89540113158</v>
      </c>
      <c r="H27" s="17">
        <f t="shared" si="2"/>
        <v>11036.227276497471</v>
      </c>
      <c r="I27" s="514">
        <f t="shared" si="3"/>
        <v>25.670102147722705</v>
      </c>
      <c r="J27" s="18"/>
      <c r="K27" s="22">
        <v>3255</v>
      </c>
      <c r="Q27" s="521"/>
      <c r="R27" s="521"/>
      <c r="S27" s="521"/>
      <c r="T27" s="521"/>
      <c r="U27" s="521"/>
      <c r="V27" s="521"/>
      <c r="W27" s="521"/>
    </row>
    <row r="28" spans="1:23">
      <c r="A28" s="11" t="s">
        <v>883</v>
      </c>
      <c r="B28" s="23"/>
      <c r="C28" s="19">
        <v>119550</v>
      </c>
      <c r="D28" s="17">
        <f t="shared" si="0"/>
        <v>16134.09238321928</v>
      </c>
      <c r="E28" s="514">
        <f t="shared" si="1"/>
        <v>37.527661324991804</v>
      </c>
      <c r="F28" s="18"/>
      <c r="G28" s="19">
        <v>127960</v>
      </c>
      <c r="H28" s="17">
        <f t="shared" si="2"/>
        <v>17269.079559654863</v>
      </c>
      <c r="I28" s="514">
        <f t="shared" si="3"/>
        <v>40.167624785829787</v>
      </c>
      <c r="J28" s="18"/>
      <c r="K28" s="22">
        <v>3361</v>
      </c>
      <c r="Q28" s="521"/>
      <c r="R28" s="521"/>
      <c r="S28" s="521"/>
      <c r="T28" s="521"/>
      <c r="U28" s="521"/>
      <c r="V28" s="521"/>
      <c r="W28" s="521"/>
    </row>
    <row r="29" spans="1:23">
      <c r="A29" s="11" t="s">
        <v>884</v>
      </c>
      <c r="B29" s="23"/>
      <c r="C29" s="19">
        <v>123670</v>
      </c>
      <c r="D29" s="17">
        <f t="shared" si="0"/>
        <v>18593.130692741131</v>
      </c>
      <c r="E29" s="514">
        <f t="shared" si="1"/>
        <v>43.247348226059557</v>
      </c>
      <c r="F29" s="18"/>
      <c r="G29" s="19">
        <v>130030</v>
      </c>
      <c r="H29" s="17">
        <f t="shared" si="2"/>
        <v>19549.323069274113</v>
      </c>
      <c r="I29" s="514">
        <f t="shared" si="3"/>
        <v>45.471437614898726</v>
      </c>
      <c r="J29" s="18"/>
      <c r="K29" s="22">
        <v>3017</v>
      </c>
      <c r="Q29" s="521"/>
      <c r="R29" s="521"/>
      <c r="S29" s="521"/>
      <c r="T29" s="521"/>
      <c r="U29" s="521"/>
      <c r="V29" s="521"/>
      <c r="W29" s="521"/>
    </row>
    <row r="30" spans="1:23">
      <c r="A30" s="11" t="s">
        <v>964</v>
      </c>
      <c r="B30" s="23"/>
      <c r="C30" s="19">
        <v>117059</v>
      </c>
      <c r="D30" s="17">
        <f t="shared" si="0"/>
        <v>18729.027093474426</v>
      </c>
      <c r="E30" s="514">
        <f t="shared" si="1"/>
        <v>43.563441253226593</v>
      </c>
      <c r="F30" s="18"/>
      <c r="G30" s="19">
        <v>125294</v>
      </c>
      <c r="H30" s="17">
        <f t="shared" si="2"/>
        <v>20046.598045855379</v>
      </c>
      <c r="I30" s="514">
        <f t="shared" si="3"/>
        <v>46.628091888549989</v>
      </c>
      <c r="J30" s="18"/>
      <c r="K30" s="22">
        <v>2835</v>
      </c>
      <c r="Q30" s="521"/>
      <c r="R30" s="521"/>
      <c r="S30" s="521"/>
      <c r="T30" s="521"/>
      <c r="U30" s="521"/>
      <c r="V30" s="521"/>
      <c r="W30" s="521"/>
    </row>
    <row r="31" spans="1:23">
      <c r="A31" s="11" t="s">
        <v>965</v>
      </c>
      <c r="B31" s="23"/>
      <c r="C31" s="19">
        <v>122887</v>
      </c>
      <c r="D31" s="17">
        <f t="shared" si="0"/>
        <v>18907.840681818183</v>
      </c>
      <c r="E31" s="514">
        <f t="shared" si="1"/>
        <v>43.979359026862895</v>
      </c>
      <c r="F31" s="18"/>
      <c r="G31" s="19">
        <v>130817</v>
      </c>
      <c r="H31" s="17">
        <f t="shared" si="2"/>
        <v>20127.979318181817</v>
      </c>
      <c r="I31" s="514">
        <f t="shared" si="3"/>
        <v>46.817383529723436</v>
      </c>
      <c r="J31" s="18"/>
      <c r="K31" s="22">
        <v>2948</v>
      </c>
      <c r="Q31" s="521"/>
      <c r="R31" s="521"/>
      <c r="S31" s="521"/>
      <c r="T31" s="521"/>
      <c r="U31" s="521"/>
      <c r="V31" s="521"/>
      <c r="W31" s="521"/>
    </row>
    <row r="32" spans="1:23">
      <c r="A32" s="11" t="s">
        <v>966</v>
      </c>
      <c r="B32" s="23"/>
      <c r="C32" s="19">
        <v>115983</v>
      </c>
      <c r="D32" s="17">
        <f t="shared" si="0"/>
        <v>18589.656879858656</v>
      </c>
      <c r="E32" s="514">
        <f t="shared" si="1"/>
        <v>43.23926818844334</v>
      </c>
      <c r="F32" s="18"/>
      <c r="G32" s="19">
        <v>124230</v>
      </c>
      <c r="H32" s="17">
        <f t="shared" si="2"/>
        <v>19911.479045936394</v>
      </c>
      <c r="I32" s="514">
        <f t="shared" si="3"/>
        <v>46.313807084230582</v>
      </c>
      <c r="J32" s="18"/>
      <c r="K32" s="22">
        <v>2830</v>
      </c>
      <c r="Q32" s="521"/>
      <c r="R32" s="521"/>
      <c r="S32" s="521"/>
      <c r="T32" s="521"/>
      <c r="U32" s="521"/>
      <c r="V32" s="521"/>
      <c r="W32" s="521"/>
    </row>
    <row r="33" spans="1:23">
      <c r="A33" s="11" t="s">
        <v>885</v>
      </c>
      <c r="B33" s="23"/>
      <c r="C33" s="19">
        <v>30500</v>
      </c>
      <c r="D33" s="17">
        <f t="shared" si="0"/>
        <v>51621.249999999993</v>
      </c>
      <c r="E33" s="517">
        <f t="shared" si="1"/>
        <v>120.070267428715</v>
      </c>
      <c r="F33" s="18"/>
      <c r="G33" s="19">
        <v>36020</v>
      </c>
      <c r="H33" s="17">
        <f t="shared" si="2"/>
        <v>60963.849999999991</v>
      </c>
      <c r="I33" s="517">
        <f t="shared" si="3"/>
        <v>141.80101746827262</v>
      </c>
      <c r="J33" s="18"/>
      <c r="K33" s="22">
        <v>268</v>
      </c>
      <c r="Q33" s="521"/>
      <c r="R33" s="521"/>
      <c r="S33" s="521"/>
      <c r="T33" s="521"/>
      <c r="U33" s="521"/>
      <c r="V33" s="521"/>
      <c r="W33" s="521"/>
    </row>
    <row r="34" spans="1:23">
      <c r="A34" s="11" t="s">
        <v>886</v>
      </c>
      <c r="B34" s="23"/>
      <c r="C34" s="19">
        <v>93540</v>
      </c>
      <c r="D34" s="17">
        <f t="shared" si="0"/>
        <v>15093.848665955175</v>
      </c>
      <c r="E34" s="514">
        <f t="shared" si="1"/>
        <v>35.108069755183983</v>
      </c>
      <c r="F34" s="18"/>
      <c r="G34" s="19">
        <v>101130</v>
      </c>
      <c r="H34" s="17">
        <f t="shared" si="2"/>
        <v>16318.59007470651</v>
      </c>
      <c r="I34" s="514">
        <f t="shared" si="3"/>
        <v>37.95680023884708</v>
      </c>
      <c r="J34" s="18"/>
      <c r="K34" s="22">
        <v>2811</v>
      </c>
      <c r="Q34" s="521"/>
      <c r="R34" s="521"/>
      <c r="S34" s="521"/>
      <c r="T34" s="521"/>
      <c r="U34" s="521"/>
      <c r="V34" s="521"/>
      <c r="W34" s="521"/>
    </row>
    <row r="35" spans="1:23">
      <c r="A35" s="11" t="s">
        <v>887</v>
      </c>
      <c r="B35" s="16"/>
      <c r="C35" s="19">
        <v>96720</v>
      </c>
      <c r="D35" s="17">
        <f t="shared" si="0"/>
        <v>15612.535516014234</v>
      </c>
      <c r="E35" s="514">
        <f t="shared" si="1"/>
        <v>36.314527731276172</v>
      </c>
      <c r="F35" s="18"/>
      <c r="G35" s="19">
        <v>104530</v>
      </c>
      <c r="H35" s="17">
        <f t="shared" si="2"/>
        <v>16873.225160142349</v>
      </c>
      <c r="I35" s="514">
        <f t="shared" si="3"/>
        <v>39.246873281123854</v>
      </c>
      <c r="J35" s="18"/>
      <c r="K35" s="21">
        <v>2810</v>
      </c>
      <c r="Q35" s="521"/>
      <c r="R35" s="521"/>
      <c r="S35" s="521"/>
      <c r="T35" s="521"/>
      <c r="U35" s="521"/>
      <c r="V35" s="521"/>
      <c r="W35" s="521"/>
    </row>
    <row r="36" spans="1:23">
      <c r="A36" s="11" t="s">
        <v>888</v>
      </c>
      <c r="B36" s="16"/>
      <c r="C36" s="19">
        <v>100480</v>
      </c>
      <c r="D36" s="17">
        <f t="shared" si="0"/>
        <v>15645.974322004806</v>
      </c>
      <c r="E36" s="514">
        <f t="shared" si="1"/>
        <v>36.392305901657274</v>
      </c>
      <c r="F36" s="18"/>
      <c r="G36" s="19">
        <v>108570</v>
      </c>
      <c r="H36" s="17">
        <f t="shared" si="2"/>
        <v>16905.687023686918</v>
      </c>
      <c r="I36" s="514">
        <f t="shared" si="3"/>
        <v>39.322379097760042</v>
      </c>
      <c r="J36" s="18"/>
      <c r="K36" s="21">
        <v>2913</v>
      </c>
      <c r="Q36" s="521"/>
      <c r="R36" s="521"/>
      <c r="S36" s="521"/>
      <c r="T36" s="521"/>
      <c r="U36" s="521"/>
      <c r="V36" s="521"/>
      <c r="W36" s="521"/>
    </row>
    <row r="37" spans="1:23">
      <c r="A37" s="11" t="s">
        <v>889</v>
      </c>
      <c r="B37" s="16"/>
      <c r="C37" s="19">
        <v>94970</v>
      </c>
      <c r="D37" s="17">
        <f t="shared" si="0"/>
        <v>19465.631405332126</v>
      </c>
      <c r="E37" s="514">
        <f t="shared" si="1"/>
        <v>45.27677203684572</v>
      </c>
      <c r="F37" s="18"/>
      <c r="G37" s="19">
        <v>103220</v>
      </c>
      <c r="H37" s="17">
        <f t="shared" si="2"/>
        <v>21156.601807501127</v>
      </c>
      <c r="I37" s="514">
        <f t="shared" si="3"/>
        <v>49.209944294442614</v>
      </c>
      <c r="J37" s="18"/>
      <c r="K37" s="21">
        <v>2213</v>
      </c>
      <c r="Q37" s="521"/>
      <c r="R37" s="521"/>
      <c r="S37" s="521"/>
      <c r="T37" s="521"/>
      <c r="U37" s="521"/>
      <c r="V37" s="521"/>
      <c r="W37" s="521"/>
    </row>
    <row r="38" spans="1:23">
      <c r="A38" s="11" t="s">
        <v>890</v>
      </c>
      <c r="B38" s="16"/>
      <c r="C38" s="19">
        <v>90060</v>
      </c>
      <c r="D38" s="17">
        <f t="shared" si="0"/>
        <v>19287.212181303115</v>
      </c>
      <c r="E38" s="514">
        <f t="shared" si="1"/>
        <v>44.861771548798892</v>
      </c>
      <c r="F38" s="18"/>
      <c r="G38" s="19">
        <v>98560</v>
      </c>
      <c r="H38" s="17">
        <f t="shared" si="2"/>
        <v>21107.568649669498</v>
      </c>
      <c r="I38" s="514">
        <f t="shared" si="3"/>
        <v>49.095893891290459</v>
      </c>
      <c r="J38" s="18"/>
      <c r="K38" s="21">
        <v>2118</v>
      </c>
      <c r="Q38" s="521"/>
      <c r="R38" s="521"/>
      <c r="S38" s="521"/>
      <c r="T38" s="521"/>
      <c r="U38" s="521"/>
      <c r="V38" s="521"/>
      <c r="W38" s="521"/>
    </row>
    <row r="39" spans="1:23">
      <c r="A39" s="11" t="s">
        <v>891</v>
      </c>
      <c r="B39" s="16"/>
      <c r="C39" s="19">
        <v>95720</v>
      </c>
      <c r="D39" s="17">
        <f t="shared" si="0"/>
        <v>19271.031868619615</v>
      </c>
      <c r="E39" s="514">
        <f t="shared" si="1"/>
        <v>44.824136379735997</v>
      </c>
      <c r="F39" s="18"/>
      <c r="G39" s="19">
        <v>103010</v>
      </c>
      <c r="H39" s="17">
        <f t="shared" si="2"/>
        <v>20738.706569019083</v>
      </c>
      <c r="I39" s="514">
        <f t="shared" si="3"/>
        <v>48.237926122822877</v>
      </c>
      <c r="J39" s="18"/>
      <c r="K39" s="21">
        <v>2253</v>
      </c>
      <c r="Q39" s="521"/>
      <c r="R39" s="521"/>
      <c r="S39" s="521"/>
      <c r="T39" s="521"/>
      <c r="U39" s="521"/>
      <c r="V39" s="521"/>
      <c r="W39" s="521"/>
    </row>
    <row r="40" spans="1:23">
      <c r="A40" s="11" t="s">
        <v>312</v>
      </c>
      <c r="B40" s="16"/>
      <c r="C40" s="19">
        <v>84250</v>
      </c>
      <c r="D40" s="17">
        <f t="shared" si="0"/>
        <v>19903.623697916668</v>
      </c>
      <c r="E40" s="514">
        <f t="shared" si="1"/>
        <v>46.295535660398848</v>
      </c>
      <c r="F40" s="18"/>
      <c r="G40" s="19">
        <v>91420</v>
      </c>
      <c r="H40" s="17">
        <f t="shared" si="2"/>
        <v>21597.498854166668</v>
      </c>
      <c r="I40" s="514">
        <f t="shared" si="3"/>
        <v>50.235464333218552</v>
      </c>
      <c r="J40" s="18"/>
      <c r="K40" s="21">
        <v>1920</v>
      </c>
      <c r="Q40" s="521"/>
      <c r="R40" s="521"/>
      <c r="S40" s="521"/>
      <c r="T40" s="521"/>
      <c r="U40" s="521"/>
      <c r="V40" s="521"/>
      <c r="W40" s="521"/>
    </row>
    <row r="41" spans="1:23">
      <c r="A41" s="7" t="s">
        <v>313</v>
      </c>
      <c r="B41" s="8"/>
      <c r="C41" s="9" t="s">
        <v>314</v>
      </c>
      <c r="D41" s="9" t="s">
        <v>315</v>
      </c>
      <c r="E41" s="9" t="s">
        <v>306</v>
      </c>
      <c r="F41" s="9"/>
      <c r="G41" s="9" t="s">
        <v>314</v>
      </c>
      <c r="H41" s="9" t="s">
        <v>315</v>
      </c>
      <c r="I41" s="9" t="s">
        <v>306</v>
      </c>
      <c r="J41" s="9"/>
      <c r="K41" s="10"/>
      <c r="Q41" s="521"/>
      <c r="R41" s="521"/>
      <c r="S41" s="521"/>
      <c r="T41" s="521"/>
      <c r="U41" s="521"/>
      <c r="V41" s="521"/>
      <c r="W41" s="521"/>
    </row>
    <row r="42" spans="1:23">
      <c r="A42" s="15" t="s">
        <v>892</v>
      </c>
      <c r="B42" s="16"/>
      <c r="C42" s="24">
        <v>19546300</v>
      </c>
      <c r="D42" s="17">
        <f t="shared" ref="D42:D50" si="4">C42/2000</f>
        <v>9773.15</v>
      </c>
      <c r="E42" s="514">
        <f t="shared" ref="E42:E50" si="5">D42*1.05506/1000*2.2046</f>
        <v>22.7322030001394</v>
      </c>
      <c r="F42" s="18"/>
      <c r="G42" s="19">
        <v>20608570</v>
      </c>
      <c r="H42" s="17">
        <f>G42/2000</f>
        <v>10304.285</v>
      </c>
      <c r="I42" s="514">
        <f t="shared" ref="I42:I50" si="6">H42*1.05506/1000*2.2046</f>
        <v>23.967615189707661</v>
      </c>
      <c r="J42" s="18"/>
      <c r="K42" s="22"/>
      <c r="Q42" s="521"/>
      <c r="R42" s="521"/>
      <c r="S42" s="521"/>
      <c r="T42" s="521"/>
      <c r="U42" s="521"/>
      <c r="V42" s="521"/>
      <c r="W42" s="521"/>
    </row>
    <row r="43" spans="1:23">
      <c r="A43" s="15" t="s">
        <v>893</v>
      </c>
      <c r="B43" s="16"/>
      <c r="C43" s="24">
        <v>22460600</v>
      </c>
      <c r="D43" s="17">
        <f t="shared" si="4"/>
        <v>11230.3</v>
      </c>
      <c r="E43" s="514">
        <f t="shared" si="5"/>
        <v>26.121512445062798</v>
      </c>
      <c r="F43" s="18"/>
      <c r="G43" s="19">
        <v>23445900</v>
      </c>
      <c r="H43" s="17">
        <f t="shared" ref="H43:H50" si="7">G43/2000</f>
        <v>11722.95</v>
      </c>
      <c r="I43" s="514">
        <f t="shared" si="6"/>
        <v>27.267409091284208</v>
      </c>
      <c r="J43" s="18"/>
      <c r="K43" s="22"/>
      <c r="Q43" s="521"/>
      <c r="R43" s="521"/>
      <c r="S43" s="521"/>
      <c r="T43" s="521"/>
      <c r="U43" s="521"/>
      <c r="V43" s="521"/>
      <c r="W43" s="521"/>
    </row>
    <row r="44" spans="1:23">
      <c r="A44" s="11" t="s">
        <v>894</v>
      </c>
      <c r="B44" s="12"/>
      <c r="C44" s="24">
        <v>24600497.144575384</v>
      </c>
      <c r="D44" s="17">
        <f t="shared" si="4"/>
        <v>12300.248572287692</v>
      </c>
      <c r="E44" s="514">
        <f t="shared" si="5"/>
        <v>28.610197070281195</v>
      </c>
      <c r="F44" s="18"/>
      <c r="G44" s="19">
        <v>25679670</v>
      </c>
      <c r="H44" s="17">
        <f t="shared" si="7"/>
        <v>12839.834999999999</v>
      </c>
      <c r="I44" s="514">
        <f t="shared" si="6"/>
        <v>29.865267156269461</v>
      </c>
      <c r="J44" s="18"/>
      <c r="K44" s="22"/>
    </row>
    <row r="45" spans="1:23">
      <c r="A45" s="15" t="s">
        <v>895</v>
      </c>
      <c r="B45" s="16"/>
      <c r="C45" s="24">
        <v>16811000</v>
      </c>
      <c r="D45" s="17">
        <f t="shared" si="4"/>
        <v>8405.5</v>
      </c>
      <c r="E45" s="514">
        <f t="shared" si="5"/>
        <v>19.551069237418005</v>
      </c>
      <c r="F45" s="18"/>
      <c r="G45" s="19">
        <v>17703170</v>
      </c>
      <c r="H45" s="17">
        <f t="shared" si="7"/>
        <v>8851.5849999999991</v>
      </c>
      <c r="I45" s="514">
        <f t="shared" si="6"/>
        <v>20.588656379262464</v>
      </c>
      <c r="J45" s="18"/>
      <c r="K45" s="22"/>
    </row>
    <row r="46" spans="1:23">
      <c r="A46" s="15" t="s">
        <v>896</v>
      </c>
      <c r="B46" s="16"/>
      <c r="C46" s="24">
        <v>14797554.763920812</v>
      </c>
      <c r="D46" s="17">
        <f t="shared" si="4"/>
        <v>7398.7773819604063</v>
      </c>
      <c r="E46" s="514">
        <f t="shared" si="5"/>
        <v>17.209447250841734</v>
      </c>
      <c r="F46" s="18"/>
      <c r="G46" s="19">
        <v>15582870</v>
      </c>
      <c r="H46" s="17">
        <f t="shared" si="7"/>
        <v>7791.4350000000004</v>
      </c>
      <c r="I46" s="514">
        <f t="shared" si="6"/>
        <v>18.122763088911064</v>
      </c>
      <c r="J46" s="18"/>
      <c r="K46" s="22"/>
    </row>
    <row r="47" spans="1:23">
      <c r="A47" s="15" t="s">
        <v>897</v>
      </c>
      <c r="B47" s="16"/>
      <c r="C47" s="24">
        <v>14075990</v>
      </c>
      <c r="D47" s="17">
        <f t="shared" si="4"/>
        <v>7037.9949999999999</v>
      </c>
      <c r="E47" s="514">
        <f t="shared" si="5"/>
        <v>16.370272742561625</v>
      </c>
      <c r="F47" s="18"/>
      <c r="G47" s="19">
        <v>14974460</v>
      </c>
      <c r="H47" s="17">
        <f t="shared" si="7"/>
        <v>7487.23</v>
      </c>
      <c r="I47" s="514">
        <f t="shared" si="6"/>
        <v>17.415186738025483</v>
      </c>
      <c r="J47" s="18"/>
      <c r="K47" s="22"/>
    </row>
    <row r="48" spans="1:23">
      <c r="A48" s="15" t="s">
        <v>898</v>
      </c>
      <c r="B48" s="16"/>
      <c r="C48" s="24">
        <v>13243490</v>
      </c>
      <c r="D48" s="17">
        <f t="shared" si="4"/>
        <v>6621.7449999999999</v>
      </c>
      <c r="E48" s="514">
        <f t="shared" si="5"/>
        <v>15.40208137142662</v>
      </c>
      <c r="F48" s="18"/>
      <c r="G48" s="19">
        <v>14164160</v>
      </c>
      <c r="H48" s="17">
        <f t="shared" si="7"/>
        <v>7082.08</v>
      </c>
      <c r="I48" s="514">
        <f t="shared" si="6"/>
        <v>16.472813803454081</v>
      </c>
      <c r="J48" s="18"/>
      <c r="K48" s="22"/>
    </row>
    <row r="49" spans="1:11">
      <c r="A49" s="15" t="s">
        <v>967</v>
      </c>
      <c r="B49" s="16"/>
      <c r="C49" s="24">
        <v>12947318</v>
      </c>
      <c r="D49" s="17">
        <f t="shared" si="4"/>
        <v>6473.6589999999997</v>
      </c>
      <c r="E49" s="514">
        <f t="shared" si="5"/>
        <v>15.057635515844886</v>
      </c>
      <c r="F49" s="18"/>
      <c r="G49" s="19">
        <v>14062678</v>
      </c>
      <c r="H49" s="17">
        <f t="shared" si="7"/>
        <v>7031.3389999999999</v>
      </c>
      <c r="I49" s="514">
        <f t="shared" si="6"/>
        <v>16.354790984564566</v>
      </c>
      <c r="J49" s="18"/>
      <c r="K49" s="22"/>
    </row>
    <row r="50" spans="1:11">
      <c r="A50" s="15" t="s">
        <v>968</v>
      </c>
      <c r="B50" s="16"/>
      <c r="C50" s="24">
        <v>25370000</v>
      </c>
      <c r="D50" s="17">
        <f t="shared" si="4"/>
        <v>12685</v>
      </c>
      <c r="E50" s="514">
        <f t="shared" si="5"/>
        <v>29.505123226060004</v>
      </c>
      <c r="F50" s="18"/>
      <c r="G50" s="19">
        <v>26920000</v>
      </c>
      <c r="H50" s="17">
        <f t="shared" si="7"/>
        <v>13460</v>
      </c>
      <c r="I50" s="514">
        <f t="shared" si="6"/>
        <v>31.307761814960006</v>
      </c>
      <c r="J50" s="18"/>
      <c r="K50" s="22"/>
    </row>
    <row r="51" spans="1:11">
      <c r="A51" s="1567" t="s">
        <v>316</v>
      </c>
      <c r="B51" s="1568"/>
      <c r="C51" s="1568"/>
      <c r="D51" s="1568"/>
      <c r="E51" s="1568"/>
      <c r="F51" s="1568"/>
      <c r="G51" s="1568"/>
      <c r="H51" s="1568"/>
      <c r="I51" s="1568"/>
      <c r="J51" s="1568"/>
      <c r="K51" s="1569"/>
    </row>
    <row r="52" spans="1:11">
      <c r="A52" s="1564" t="s">
        <v>899</v>
      </c>
      <c r="B52" s="1565"/>
      <c r="C52" s="1565"/>
      <c r="D52" s="1565"/>
      <c r="E52" s="1565"/>
      <c r="F52" s="1565"/>
      <c r="G52" s="1565"/>
      <c r="H52" s="1565"/>
      <c r="I52" s="1565"/>
      <c r="J52" s="1565"/>
      <c r="K52" s="1566"/>
    </row>
    <row r="53" spans="1:11">
      <c r="A53" s="1572" t="s">
        <v>900</v>
      </c>
      <c r="B53" s="1573"/>
      <c r="C53" s="1573"/>
      <c r="D53" s="1573"/>
      <c r="E53" s="1573"/>
      <c r="F53" s="1573"/>
      <c r="G53" s="1573"/>
      <c r="H53" s="1573"/>
      <c r="I53" s="1573"/>
      <c r="J53" s="1573"/>
      <c r="K53" s="1574"/>
    </row>
    <row r="54" spans="1:11">
      <c r="A54" s="1572" t="s">
        <v>901</v>
      </c>
      <c r="B54" s="1573"/>
      <c r="C54" s="1573"/>
      <c r="D54" s="1573"/>
      <c r="E54" s="1573"/>
      <c r="F54" s="1573"/>
      <c r="G54" s="1573"/>
      <c r="H54" s="1573"/>
      <c r="I54" s="1573"/>
      <c r="J54" s="1573"/>
      <c r="K54" s="1574"/>
    </row>
    <row r="55" spans="1:11">
      <c r="A55" s="1572" t="s">
        <v>902</v>
      </c>
      <c r="B55" s="1573"/>
      <c r="C55" s="1573"/>
      <c r="D55" s="1573"/>
      <c r="E55" s="1573"/>
      <c r="F55" s="1573"/>
      <c r="G55" s="1573"/>
      <c r="H55" s="1573"/>
      <c r="I55" s="1573"/>
      <c r="J55" s="1573"/>
      <c r="K55" s="1574"/>
    </row>
    <row r="56" spans="1:11">
      <c r="A56" s="1578" t="s">
        <v>317</v>
      </c>
      <c r="B56" s="1579"/>
      <c r="C56" s="1579"/>
      <c r="D56" s="1579"/>
      <c r="E56" s="1579"/>
      <c r="F56" s="1579"/>
      <c r="G56" s="1579"/>
      <c r="H56" s="1579"/>
      <c r="I56" s="1579"/>
      <c r="J56" s="1579"/>
      <c r="K56" s="1580"/>
    </row>
    <row r="57" spans="1:11">
      <c r="A57" s="1572" t="s">
        <v>318</v>
      </c>
      <c r="B57" s="1573"/>
      <c r="C57" s="1573"/>
      <c r="D57" s="1573"/>
      <c r="E57" s="1573"/>
      <c r="F57" s="1573"/>
      <c r="G57" s="1573"/>
      <c r="H57" s="1573"/>
      <c r="I57" s="1573"/>
      <c r="J57" s="1573"/>
      <c r="K57" s="1574"/>
    </row>
    <row r="58" spans="1:11">
      <c r="A58" s="1572" t="s">
        <v>903</v>
      </c>
      <c r="B58" s="1573"/>
      <c r="C58" s="1573"/>
      <c r="D58" s="1573"/>
      <c r="E58" s="1573"/>
      <c r="F58" s="1573"/>
      <c r="G58" s="1573"/>
      <c r="H58" s="1573"/>
      <c r="I58" s="1573"/>
      <c r="J58" s="1573"/>
      <c r="K58" s="1574"/>
    </row>
    <row r="59" spans="1:11">
      <c r="A59" s="1572" t="s">
        <v>904</v>
      </c>
      <c r="B59" s="1573"/>
      <c r="C59" s="1573"/>
      <c r="D59" s="1573"/>
      <c r="E59" s="1573"/>
      <c r="F59" s="1573"/>
      <c r="G59" s="1573"/>
      <c r="H59" s="1573"/>
      <c r="I59" s="1573"/>
      <c r="J59" s="1573"/>
      <c r="K59" s="1574"/>
    </row>
    <row r="60" spans="1:11">
      <c r="A60" s="25"/>
      <c r="B60" s="26"/>
      <c r="C60" s="26"/>
      <c r="D60" s="26"/>
      <c r="E60" s="26"/>
      <c r="F60" s="26"/>
      <c r="G60" s="26"/>
      <c r="H60" s="26"/>
      <c r="I60" s="26"/>
      <c r="J60" s="26"/>
      <c r="K60" s="27"/>
    </row>
    <row r="61" spans="1:11">
      <c r="A61" s="1572" t="s">
        <v>319</v>
      </c>
      <c r="B61" s="1573"/>
      <c r="C61" s="1573"/>
      <c r="D61" s="1573"/>
      <c r="E61" s="1573"/>
      <c r="F61" s="1573"/>
      <c r="G61" s="1573"/>
      <c r="H61" s="1573"/>
      <c r="I61" s="1573"/>
      <c r="J61" s="1573"/>
      <c r="K61" s="1574"/>
    </row>
    <row r="62" spans="1:11" ht="13.5" thickBot="1">
      <c r="A62" s="1586" t="s">
        <v>969</v>
      </c>
      <c r="B62" s="1587"/>
      <c r="C62" s="1587"/>
      <c r="D62" s="1587"/>
      <c r="E62" s="1587"/>
      <c r="F62" s="1587"/>
      <c r="G62" s="1587"/>
      <c r="H62" s="1587"/>
      <c r="I62" s="1587"/>
      <c r="J62" s="1587"/>
      <c r="K62" s="1588"/>
    </row>
    <row r="63" spans="1:11">
      <c r="A63" s="512"/>
      <c r="B63" s="513"/>
      <c r="C63" s="513"/>
      <c r="D63" s="513"/>
      <c r="E63" s="513"/>
      <c r="F63" s="513"/>
      <c r="G63" s="513"/>
      <c r="H63" s="513"/>
      <c r="I63" s="513"/>
      <c r="J63" s="513"/>
      <c r="K63" s="513"/>
    </row>
    <row r="64" spans="1:11">
      <c r="A64" s="512"/>
      <c r="B64" s="513"/>
      <c r="C64" s="513"/>
      <c r="D64" s="513"/>
      <c r="E64" s="513"/>
      <c r="F64" s="513"/>
      <c r="G64" s="513"/>
      <c r="H64" s="513"/>
      <c r="I64" s="513"/>
      <c r="J64" s="513"/>
      <c r="K64" s="513"/>
    </row>
    <row r="65" spans="1:14">
      <c r="A65" s="512"/>
      <c r="B65" s="513"/>
      <c r="C65" s="513"/>
      <c r="D65" s="513"/>
      <c r="E65" s="513"/>
      <c r="F65" s="513"/>
      <c r="G65" s="513"/>
      <c r="H65" s="513"/>
      <c r="I65" s="513"/>
      <c r="J65" s="513"/>
      <c r="K65" s="513"/>
    </row>
    <row r="66" spans="1:14">
      <c r="A66" s="512"/>
      <c r="B66" s="513"/>
      <c r="C66" s="513"/>
      <c r="D66" s="513"/>
      <c r="E66" s="513"/>
      <c r="F66" s="513"/>
      <c r="G66" s="513"/>
      <c r="H66" s="513"/>
      <c r="I66" s="513"/>
      <c r="J66" s="513"/>
      <c r="K66" s="513"/>
    </row>
    <row r="68" spans="1:14" ht="13.5" thickBot="1"/>
    <row r="69" spans="1:14" ht="43.5" customHeight="1" thickTop="1" thickBot="1">
      <c r="A69" s="351" t="s">
        <v>1079</v>
      </c>
      <c r="B69" s="352"/>
      <c r="C69" s="352"/>
      <c r="D69" s="352"/>
      <c r="E69" s="352"/>
      <c r="F69" s="352"/>
      <c r="G69" s="352"/>
      <c r="H69" s="352"/>
      <c r="I69" s="352"/>
      <c r="J69" s="352"/>
      <c r="K69" s="353"/>
      <c r="L69" s="353"/>
      <c r="M69" s="604"/>
      <c r="N69" s="47"/>
    </row>
    <row r="70" spans="1:14" ht="60.75" thickTop="1">
      <c r="A70" s="605" t="s">
        <v>1086</v>
      </c>
      <c r="B70" s="606" t="s">
        <v>1027</v>
      </c>
      <c r="C70" s="607" t="s">
        <v>1036</v>
      </c>
      <c r="D70" s="607" t="s">
        <v>1037</v>
      </c>
      <c r="E70" s="606" t="s">
        <v>190</v>
      </c>
      <c r="F70" s="606" t="s">
        <v>1035</v>
      </c>
      <c r="G70" s="608" t="s">
        <v>1034</v>
      </c>
      <c r="H70" s="609" t="s">
        <v>266</v>
      </c>
      <c r="I70" s="606" t="s">
        <v>702</v>
      </c>
      <c r="J70" s="606" t="s">
        <v>1052</v>
      </c>
      <c r="K70" s="610" t="s">
        <v>701</v>
      </c>
      <c r="L70" s="610" t="s">
        <v>927</v>
      </c>
      <c r="M70" s="605" t="s">
        <v>532</v>
      </c>
      <c r="N70" s="611" t="s">
        <v>533</v>
      </c>
    </row>
    <row r="71" spans="1:14" ht="51">
      <c r="A71" s="826" t="s">
        <v>1081</v>
      </c>
      <c r="B71" s="616" t="s">
        <v>861</v>
      </c>
      <c r="C71" s="827" t="s">
        <v>698</v>
      </c>
      <c r="D71" s="616">
        <v>2007</v>
      </c>
      <c r="E71" s="828" t="s">
        <v>699</v>
      </c>
      <c r="F71" s="617"/>
      <c r="G71" s="616"/>
      <c r="H71" s="828" t="s">
        <v>860</v>
      </c>
      <c r="I71" s="783">
        <f>mmBTU_to_GJ</f>
        <v>1.0549999999999999</v>
      </c>
      <c r="J71" s="612" t="s">
        <v>1054</v>
      </c>
      <c r="K71" s="613">
        <v>56.31533863997597</v>
      </c>
      <c r="L71" s="613" t="s">
        <v>928</v>
      </c>
      <c r="M71" s="614"/>
      <c r="N71" s="615"/>
    </row>
    <row r="72" spans="1:14" ht="51">
      <c r="A72" s="826" t="s">
        <v>282</v>
      </c>
      <c r="B72" s="616" t="s">
        <v>861</v>
      </c>
      <c r="C72" s="827" t="s">
        <v>698</v>
      </c>
      <c r="D72" s="616">
        <v>2007</v>
      </c>
      <c r="E72" s="828" t="s">
        <v>699</v>
      </c>
      <c r="F72" s="617"/>
      <c r="G72" s="616"/>
      <c r="H72" s="828" t="s">
        <v>860</v>
      </c>
      <c r="I72" s="783">
        <f>mmBTU_to_GJ</f>
        <v>1.0549999999999999</v>
      </c>
      <c r="J72" s="612" t="s">
        <v>1054</v>
      </c>
      <c r="K72" s="613">
        <v>56.31533863997597</v>
      </c>
      <c r="L72" s="613" t="s">
        <v>928</v>
      </c>
      <c r="M72" s="614"/>
      <c r="N72" s="615"/>
    </row>
    <row r="73" spans="1:14" ht="51">
      <c r="A73" s="826" t="s">
        <v>680</v>
      </c>
      <c r="B73" s="616" t="s">
        <v>861</v>
      </c>
      <c r="C73" s="827" t="s">
        <v>698</v>
      </c>
      <c r="D73" s="616">
        <v>2007</v>
      </c>
      <c r="E73" s="828" t="s">
        <v>699</v>
      </c>
      <c r="F73" s="617"/>
      <c r="G73" s="616"/>
      <c r="H73" s="828" t="s">
        <v>860</v>
      </c>
      <c r="I73" s="783">
        <f>mmBTU_to_GJ</f>
        <v>1.0549999999999999</v>
      </c>
      <c r="J73" s="612" t="s">
        <v>1054</v>
      </c>
      <c r="K73" s="613">
        <v>56.31533863997597</v>
      </c>
      <c r="L73" s="613" t="s">
        <v>928</v>
      </c>
      <c r="M73" s="614"/>
      <c r="N73" s="615"/>
    </row>
    <row r="74" spans="1:14" ht="51">
      <c r="A74" s="826" t="s">
        <v>1082</v>
      </c>
      <c r="B74" s="616" t="s">
        <v>861</v>
      </c>
      <c r="C74" s="827" t="s">
        <v>698</v>
      </c>
      <c r="D74" s="616">
        <v>2007</v>
      </c>
      <c r="E74" s="828" t="s">
        <v>699</v>
      </c>
      <c r="F74" s="617"/>
      <c r="G74" s="616"/>
      <c r="H74" s="828" t="s">
        <v>860</v>
      </c>
      <c r="I74" s="783">
        <f>mmBTU_to_GJ</f>
        <v>1.0549999999999999</v>
      </c>
      <c r="J74" s="612" t="s">
        <v>1054</v>
      </c>
      <c r="K74" s="613">
        <v>56.31533863997597</v>
      </c>
      <c r="L74" s="613" t="s">
        <v>928</v>
      </c>
      <c r="M74" s="614"/>
      <c r="N74" s="615"/>
    </row>
    <row r="75" spans="1:14" ht="25.5">
      <c r="A75" s="826" t="s">
        <v>681</v>
      </c>
      <c r="B75" s="616"/>
      <c r="C75" s="827" t="s">
        <v>698</v>
      </c>
      <c r="D75" s="616">
        <v>2007</v>
      </c>
      <c r="E75" s="828" t="s">
        <v>699</v>
      </c>
      <c r="F75" s="617"/>
      <c r="G75" s="616"/>
      <c r="H75" s="828" t="s">
        <v>860</v>
      </c>
      <c r="I75" s="783">
        <f>mmBTU_to_GJ</f>
        <v>1.0549999999999999</v>
      </c>
      <c r="J75" s="612" t="s">
        <v>1054</v>
      </c>
      <c r="K75" s="613">
        <v>56.31533863997597</v>
      </c>
      <c r="L75" s="613" t="s">
        <v>928</v>
      </c>
      <c r="M75" s="614"/>
      <c r="N75" s="615"/>
    </row>
    <row r="76" spans="1:14" ht="51">
      <c r="A76" s="826" t="s">
        <v>682</v>
      </c>
      <c r="B76" s="616" t="s">
        <v>861</v>
      </c>
      <c r="C76" s="827" t="s">
        <v>698</v>
      </c>
      <c r="D76" s="616">
        <v>2007</v>
      </c>
      <c r="E76" s="828" t="s">
        <v>700</v>
      </c>
      <c r="F76" s="616"/>
      <c r="G76" s="616"/>
      <c r="H76" s="612" t="s">
        <v>295</v>
      </c>
      <c r="I76" s="783">
        <f>1/MJ_to_kWh/1000</f>
        <v>3.5999999999999995E-3</v>
      </c>
      <c r="J76" s="612" t="s">
        <v>1067</v>
      </c>
      <c r="K76" s="613">
        <v>0</v>
      </c>
      <c r="L76" s="613" t="s">
        <v>928</v>
      </c>
      <c r="M76" s="614"/>
      <c r="N76" s="615"/>
    </row>
    <row r="77" spans="1:14" ht="51">
      <c r="A77" s="826" t="s">
        <v>697</v>
      </c>
      <c r="B77" s="616" t="s">
        <v>861</v>
      </c>
      <c r="C77" s="827" t="s">
        <v>698</v>
      </c>
      <c r="D77" s="616">
        <v>2007</v>
      </c>
      <c r="E77" s="828" t="s">
        <v>700</v>
      </c>
      <c r="F77" s="616"/>
      <c r="G77" s="616"/>
      <c r="H77" s="612" t="s">
        <v>295</v>
      </c>
      <c r="I77" s="783">
        <f>1/MJ_to_kWh/1000</f>
        <v>3.5999999999999995E-3</v>
      </c>
      <c r="J77" s="612" t="s">
        <v>1067</v>
      </c>
      <c r="K77" s="613">
        <v>0</v>
      </c>
      <c r="L77" s="613" t="s">
        <v>928</v>
      </c>
      <c r="M77" s="614"/>
      <c r="N77" s="615"/>
    </row>
    <row r="78" spans="1:14" ht="51">
      <c r="A78" s="826" t="s">
        <v>683</v>
      </c>
      <c r="B78" s="616" t="s">
        <v>861</v>
      </c>
      <c r="C78" s="827" t="s">
        <v>698</v>
      </c>
      <c r="D78" s="616">
        <v>2007</v>
      </c>
      <c r="E78" s="828" t="s">
        <v>700</v>
      </c>
      <c r="F78" s="616"/>
      <c r="G78" s="616"/>
      <c r="H78" s="612" t="s">
        <v>295</v>
      </c>
      <c r="I78" s="783">
        <f>1/MJ_to_kWh/1000</f>
        <v>3.5999999999999995E-3</v>
      </c>
      <c r="J78" s="612" t="s">
        <v>1067</v>
      </c>
      <c r="K78" s="613">
        <v>0</v>
      </c>
      <c r="L78" s="613" t="s">
        <v>928</v>
      </c>
      <c r="M78" s="614"/>
      <c r="N78" s="615"/>
    </row>
    <row r="79" spans="1:14" ht="51">
      <c r="A79" s="826" t="s">
        <v>1083</v>
      </c>
      <c r="B79" s="616" t="s">
        <v>861</v>
      </c>
      <c r="C79" s="827" t="s">
        <v>698</v>
      </c>
      <c r="D79" s="616">
        <v>2007</v>
      </c>
      <c r="E79" s="828" t="s">
        <v>699</v>
      </c>
      <c r="F79" s="617"/>
      <c r="G79" s="616"/>
      <c r="H79" s="612" t="s">
        <v>267</v>
      </c>
      <c r="I79" s="783">
        <f>$C$42/2000/lb_to_kg/1000000*mmBTU_to_GJ</f>
        <v>2.2735034516249999E-2</v>
      </c>
      <c r="J79" s="612" t="s">
        <v>1048</v>
      </c>
      <c r="K79" s="613">
        <v>102.75287348239476</v>
      </c>
      <c r="L79" s="613" t="s">
        <v>928</v>
      </c>
      <c r="M79" s="614"/>
      <c r="N79" s="615"/>
    </row>
    <row r="80" spans="1:14" ht="51">
      <c r="A80" s="826" t="s">
        <v>715</v>
      </c>
      <c r="B80" s="616" t="s">
        <v>861</v>
      </c>
      <c r="C80" s="827" t="s">
        <v>698</v>
      </c>
      <c r="D80" s="616">
        <v>2007</v>
      </c>
      <c r="E80" s="828" t="s">
        <v>699</v>
      </c>
      <c r="F80" s="617"/>
      <c r="G80" s="616"/>
      <c r="H80" s="612" t="s">
        <v>267</v>
      </c>
      <c r="I80" s="783">
        <f>$C$42/2000/lb_to_kg/1000000*mmBTU_to_GJ</f>
        <v>2.2735034516249999E-2</v>
      </c>
      <c r="J80" s="612" t="s">
        <v>1048</v>
      </c>
      <c r="K80" s="613">
        <v>102.75287348239476</v>
      </c>
      <c r="L80" s="613" t="s">
        <v>928</v>
      </c>
      <c r="M80" s="614"/>
      <c r="N80" s="615"/>
    </row>
    <row r="81" spans="1:14" ht="51">
      <c r="A81" s="826" t="s">
        <v>716</v>
      </c>
      <c r="B81" s="616" t="s">
        <v>861</v>
      </c>
      <c r="C81" s="827" t="s">
        <v>698</v>
      </c>
      <c r="D81" s="616">
        <v>2007</v>
      </c>
      <c r="E81" s="828" t="s">
        <v>699</v>
      </c>
      <c r="F81" s="617"/>
      <c r="G81" s="616"/>
      <c r="H81" s="612" t="s">
        <v>267</v>
      </c>
      <c r="I81" s="783">
        <f>$C$42/2000/lb_to_kg/1000000*mmBTU_to_GJ</f>
        <v>2.2735034516249999E-2</v>
      </c>
      <c r="J81" s="612" t="s">
        <v>1048</v>
      </c>
      <c r="K81" s="613">
        <v>102.75287348239476</v>
      </c>
      <c r="L81" s="613" t="s">
        <v>928</v>
      </c>
      <c r="M81" s="614"/>
      <c r="N81" s="615"/>
    </row>
    <row r="82" spans="1:14" ht="51">
      <c r="A82" s="826" t="s">
        <v>908</v>
      </c>
      <c r="B82" s="616" t="s">
        <v>861</v>
      </c>
      <c r="C82" s="827" t="s">
        <v>698</v>
      </c>
      <c r="D82" s="616">
        <v>2007</v>
      </c>
      <c r="E82" s="828" t="s">
        <v>699</v>
      </c>
      <c r="F82" s="617"/>
      <c r="G82" s="616"/>
      <c r="H82" s="612" t="s">
        <v>268</v>
      </c>
      <c r="I82" s="783">
        <f>$C$14/gal_to_liters*mmBTU_to_GJ/1000000</f>
        <v>3.5803104359313075E-2</v>
      </c>
      <c r="J82" s="612" t="s">
        <v>1054</v>
      </c>
      <c r="K82" s="613">
        <v>74.122324937568308</v>
      </c>
      <c r="L82" s="613" t="s">
        <v>928</v>
      </c>
      <c r="M82" s="614"/>
      <c r="N82" s="615"/>
    </row>
    <row r="83" spans="1:14" ht="51">
      <c r="A83" s="826" t="s">
        <v>906</v>
      </c>
      <c r="B83" s="616" t="s">
        <v>861</v>
      </c>
      <c r="C83" s="827" t="s">
        <v>698</v>
      </c>
      <c r="D83" s="616">
        <v>2007</v>
      </c>
      <c r="E83" s="828" t="s">
        <v>699</v>
      </c>
      <c r="F83" s="617"/>
      <c r="G83" s="616"/>
      <c r="H83" s="612" t="s">
        <v>268</v>
      </c>
      <c r="I83" s="783">
        <f>$Q$14/gal_to_liters*mmBTU_to_GJ/1000000</f>
        <v>2.4157130779392338E-2</v>
      </c>
      <c r="J83" s="612" t="s">
        <v>1048</v>
      </c>
      <c r="K83" s="613">
        <v>71.019041167591709</v>
      </c>
      <c r="L83" s="613" t="s">
        <v>928</v>
      </c>
      <c r="M83" s="614"/>
      <c r="N83" s="615"/>
    </row>
    <row r="84" spans="1:14" ht="51">
      <c r="A84" s="826" t="s">
        <v>909</v>
      </c>
      <c r="B84" s="616" t="s">
        <v>861</v>
      </c>
      <c r="C84" s="827" t="s">
        <v>698</v>
      </c>
      <c r="D84" s="616">
        <v>2007</v>
      </c>
      <c r="E84" s="828" t="s">
        <v>699</v>
      </c>
      <c r="F84" s="617"/>
      <c r="G84" s="616"/>
      <c r="H84" s="612" t="s">
        <v>268</v>
      </c>
      <c r="I84" s="783">
        <f>$C$11/gal_to_liters*mmBTU_to_GJ/1000000</f>
        <v>3.2357978863936591E-2</v>
      </c>
      <c r="J84" s="612" t="s">
        <v>1048</v>
      </c>
      <c r="K84" s="613">
        <v>72.833307273582633</v>
      </c>
      <c r="L84" s="613" t="s">
        <v>928</v>
      </c>
      <c r="M84" s="614"/>
      <c r="N84" s="615"/>
    </row>
    <row r="85" spans="1:14" ht="293.25">
      <c r="A85" s="826" t="s">
        <v>1077</v>
      </c>
      <c r="B85" s="616" t="s">
        <v>436</v>
      </c>
      <c r="C85" s="827" t="s">
        <v>698</v>
      </c>
      <c r="D85" s="616">
        <v>2007</v>
      </c>
      <c r="E85" s="828" t="s">
        <v>700</v>
      </c>
      <c r="F85" s="617"/>
      <c r="G85" s="616"/>
      <c r="H85" s="612" t="s">
        <v>267</v>
      </c>
      <c r="I85" s="783">
        <f>$E$45/1000</f>
        <v>1.9551069237418006E-2</v>
      </c>
      <c r="J85" s="612" t="s">
        <v>1048</v>
      </c>
      <c r="K85" s="613">
        <v>97.876597052612851</v>
      </c>
      <c r="L85" s="613" t="s">
        <v>928</v>
      </c>
      <c r="M85" s="614"/>
      <c r="N85" s="615"/>
    </row>
    <row r="86" spans="1:14">
      <c r="A86" s="826" t="s">
        <v>814</v>
      </c>
      <c r="B86" s="616"/>
      <c r="C86" s="827"/>
      <c r="D86" s="616"/>
      <c r="E86" s="828" t="s">
        <v>700</v>
      </c>
      <c r="F86" s="617"/>
      <c r="G86" s="616"/>
      <c r="H86" s="612" t="s">
        <v>267</v>
      </c>
      <c r="I86" s="783">
        <f>$E$45/1000</f>
        <v>1.9551069237418006E-2</v>
      </c>
      <c r="J86" s="612" t="s">
        <v>1048</v>
      </c>
      <c r="K86" s="613">
        <v>97.876597052612851</v>
      </c>
      <c r="L86" s="613" t="s">
        <v>928</v>
      </c>
      <c r="M86" s="614"/>
      <c r="N86" s="615"/>
    </row>
    <row r="87" spans="1:14" ht="76.5">
      <c r="A87" s="826" t="s">
        <v>823</v>
      </c>
      <c r="B87" s="827" t="s">
        <v>831</v>
      </c>
      <c r="C87" s="827"/>
      <c r="D87" s="616"/>
      <c r="E87" s="828" t="s">
        <v>700</v>
      </c>
      <c r="F87" s="617"/>
      <c r="G87" s="616"/>
      <c r="H87" s="612" t="s">
        <v>267</v>
      </c>
      <c r="I87" s="783">
        <f>18.608/1000</f>
        <v>1.8608E-2</v>
      </c>
      <c r="J87" s="612" t="s">
        <v>1048</v>
      </c>
      <c r="K87" s="613">
        <v>97.876597052612851</v>
      </c>
      <c r="L87" s="613" t="s">
        <v>928</v>
      </c>
      <c r="M87" s="614"/>
      <c r="N87" s="615"/>
    </row>
    <row r="88" spans="1:14" ht="76.5">
      <c r="A88" s="826" t="s">
        <v>1084</v>
      </c>
      <c r="B88" s="616" t="s">
        <v>1085</v>
      </c>
      <c r="C88" s="827" t="s">
        <v>698</v>
      </c>
      <c r="D88" s="616">
        <v>2007</v>
      </c>
      <c r="E88" s="828" t="s">
        <v>700</v>
      </c>
      <c r="F88" s="617"/>
      <c r="G88" s="616"/>
      <c r="H88" s="612" t="s">
        <v>267</v>
      </c>
      <c r="I88" s="783">
        <v>2.8300000000000001E-3</v>
      </c>
      <c r="J88" s="612" t="s">
        <v>1067</v>
      </c>
      <c r="K88" s="613">
        <v>0</v>
      </c>
      <c r="L88" s="613" t="s">
        <v>928</v>
      </c>
      <c r="M88" s="614"/>
      <c r="N88" s="615"/>
    </row>
    <row r="90" spans="1:14" ht="13.5" thickBot="1"/>
    <row r="91" spans="1:14" ht="33.75" customHeight="1" thickTop="1">
      <c r="A91" s="1570" t="s">
        <v>988</v>
      </c>
      <c r="B91" s="1571"/>
      <c r="D91" s="1570" t="s">
        <v>684</v>
      </c>
      <c r="E91" s="1571"/>
      <c r="G91" s="1570" t="s">
        <v>685</v>
      </c>
      <c r="H91" s="1571"/>
      <c r="K91" s="1589" t="s">
        <v>687</v>
      </c>
      <c r="L91" s="1590"/>
    </row>
    <row r="92" spans="1:14" ht="41.25" customHeight="1" thickBot="1">
      <c r="A92" s="1143" t="s">
        <v>1096</v>
      </c>
      <c r="B92" s="965"/>
      <c r="D92" s="1581" t="s">
        <v>686</v>
      </c>
      <c r="E92" s="1582"/>
      <c r="G92" s="1143" t="s">
        <v>1097</v>
      </c>
      <c r="H92" s="965"/>
      <c r="K92" s="1581" t="s">
        <v>688</v>
      </c>
      <c r="L92" s="1582"/>
      <c r="N92" s="1206"/>
    </row>
    <row r="93" spans="1:14" ht="15">
      <c r="A93" s="30" t="s">
        <v>1080</v>
      </c>
      <c r="B93" s="31" t="s">
        <v>1088</v>
      </c>
      <c r="D93" s="30" t="s">
        <v>1080</v>
      </c>
      <c r="E93" s="31" t="s">
        <v>1088</v>
      </c>
      <c r="G93" s="30" t="s">
        <v>1080</v>
      </c>
      <c r="H93" s="31" t="s">
        <v>1088</v>
      </c>
      <c r="K93" s="30" t="s">
        <v>1080</v>
      </c>
      <c r="L93" s="31" t="s">
        <v>1088</v>
      </c>
    </row>
    <row r="94" spans="1:14" ht="28.5" customHeight="1">
      <c r="A94" s="962">
        <v>1992</v>
      </c>
      <c r="B94" s="963">
        <v>70.563999999999993</v>
      </c>
      <c r="C94" s="803"/>
      <c r="D94" s="1146">
        <v>1992</v>
      </c>
      <c r="E94" s="1147">
        <v>358.2</v>
      </c>
      <c r="F94" s="1208"/>
      <c r="G94" s="1146">
        <v>1992</v>
      </c>
      <c r="H94" s="1149">
        <v>13.7</v>
      </c>
      <c r="K94" s="1146">
        <v>1980</v>
      </c>
      <c r="L94" s="1150">
        <v>55.195749555178075</v>
      </c>
    </row>
    <row r="95" spans="1:14">
      <c r="A95" s="962">
        <v>1993</v>
      </c>
      <c r="B95" s="963">
        <v>72.244</v>
      </c>
      <c r="D95" s="1146">
        <v>1993</v>
      </c>
      <c r="E95" s="1147">
        <v>359.2</v>
      </c>
      <c r="F95" s="1208"/>
      <c r="G95" s="1146">
        <v>1993</v>
      </c>
      <c r="H95" s="1149">
        <v>13.97</v>
      </c>
      <c r="K95" s="1146">
        <v>1981</v>
      </c>
      <c r="L95" s="1150">
        <v>61.025412991342954</v>
      </c>
    </row>
    <row r="96" spans="1:14">
      <c r="A96" s="962">
        <v>1994</v>
      </c>
      <c r="B96" s="963">
        <v>73.781000000000006</v>
      </c>
      <c r="D96" s="1146">
        <v>1994</v>
      </c>
      <c r="E96" s="1147">
        <v>368.1</v>
      </c>
      <c r="F96" s="1208"/>
      <c r="G96" s="1146">
        <v>1994</v>
      </c>
      <c r="H96" s="1149">
        <v>14.33</v>
      </c>
      <c r="K96" s="1146">
        <v>1982</v>
      </c>
      <c r="L96" s="1150">
        <v>62.017696129413558</v>
      </c>
    </row>
    <row r="97" spans="1:15">
      <c r="A97" s="962">
        <v>1995</v>
      </c>
      <c r="B97" s="963">
        <v>75.320999999999998</v>
      </c>
      <c r="D97" s="1146">
        <v>1995</v>
      </c>
      <c r="E97" s="1147">
        <v>381.1</v>
      </c>
      <c r="F97" s="1208"/>
      <c r="G97" s="1146">
        <v>1995</v>
      </c>
      <c r="H97" s="1149">
        <v>14.86</v>
      </c>
      <c r="K97" s="1146">
        <v>1983</v>
      </c>
      <c r="L97" s="1150">
        <v>62.203749217801807</v>
      </c>
    </row>
    <row r="98" spans="1:15">
      <c r="A98" s="962">
        <v>1996</v>
      </c>
      <c r="B98" s="963">
        <v>76.694999999999993</v>
      </c>
      <c r="D98" s="1146">
        <v>1996</v>
      </c>
      <c r="E98" s="1147">
        <v>381.7</v>
      </c>
      <c r="F98" s="1208"/>
      <c r="G98" s="1146">
        <v>1996</v>
      </c>
      <c r="H98" s="1149">
        <v>15.37</v>
      </c>
      <c r="K98" s="1146">
        <v>1984</v>
      </c>
      <c r="L98" s="1150">
        <v>63.81620931716656</v>
      </c>
    </row>
    <row r="99" spans="1:15">
      <c r="A99" s="962">
        <v>1997</v>
      </c>
      <c r="B99" s="963">
        <v>78.009</v>
      </c>
      <c r="D99" s="1146">
        <v>1997</v>
      </c>
      <c r="E99" s="1147">
        <v>386.5</v>
      </c>
      <c r="F99" s="1208"/>
      <c r="G99" s="1146">
        <v>1997</v>
      </c>
      <c r="H99" s="1149">
        <v>15.78</v>
      </c>
      <c r="K99" s="1146">
        <v>1985</v>
      </c>
      <c r="L99" s="1150">
        <v>64.262922782386738</v>
      </c>
      <c r="M99" s="1208"/>
    </row>
    <row r="100" spans="1:15">
      <c r="A100" s="962">
        <v>1998</v>
      </c>
      <c r="B100" s="963">
        <v>78.855000000000004</v>
      </c>
      <c r="D100" s="1146">
        <v>1998</v>
      </c>
      <c r="E100" s="1147">
        <v>389.5</v>
      </c>
      <c r="F100" s="1208"/>
      <c r="G100" s="1146">
        <v>1998</v>
      </c>
      <c r="H100" s="1149">
        <v>16.23</v>
      </c>
      <c r="K100" s="1146">
        <v>1986</v>
      </c>
      <c r="L100" s="1150">
        <v>64.135290363752389</v>
      </c>
      <c r="M100" s="1208"/>
      <c r="N100" s="1209"/>
      <c r="O100" s="1209"/>
    </row>
    <row r="101" spans="1:15">
      <c r="A101" s="962">
        <v>1999</v>
      </c>
      <c r="B101" s="963">
        <v>80.061000000000007</v>
      </c>
      <c r="D101" s="1146">
        <v>1999</v>
      </c>
      <c r="E101" s="1147">
        <v>390.6</v>
      </c>
      <c r="F101" s="1208"/>
      <c r="G101" s="1146">
        <v>1999</v>
      </c>
      <c r="H101" s="1149">
        <v>16.399999999999999</v>
      </c>
      <c r="K101" s="1146">
        <v>1987</v>
      </c>
      <c r="L101" s="1150">
        <v>66.11359285258456</v>
      </c>
      <c r="M101" s="1208"/>
      <c r="N101" s="1209"/>
      <c r="O101" s="1209"/>
    </row>
    <row r="102" spans="1:15">
      <c r="A102" s="962">
        <v>2000</v>
      </c>
      <c r="B102" s="963">
        <v>81.882999999999996</v>
      </c>
      <c r="D102" s="1146">
        <v>2000</v>
      </c>
      <c r="E102" s="1147">
        <v>394.1</v>
      </c>
      <c r="F102" s="1208"/>
      <c r="G102" s="1146">
        <v>2000</v>
      </c>
      <c r="H102" s="1149">
        <v>17.09</v>
      </c>
      <c r="K102" s="1146">
        <v>1988</v>
      </c>
      <c r="L102" s="1150">
        <v>72.112316528398225</v>
      </c>
      <c r="M102" s="1208"/>
      <c r="N102" s="1209"/>
      <c r="O102" s="1209"/>
    </row>
    <row r="103" spans="1:15">
      <c r="A103" s="962">
        <v>2001</v>
      </c>
      <c r="B103" s="963">
        <v>83.753</v>
      </c>
      <c r="D103" s="1146">
        <v>2001</v>
      </c>
      <c r="E103" s="1147">
        <v>394.3</v>
      </c>
      <c r="F103" s="1208"/>
      <c r="G103" s="1146">
        <v>2001</v>
      </c>
      <c r="H103" s="1149">
        <v>17.57</v>
      </c>
      <c r="K103" s="1146">
        <v>1989</v>
      </c>
      <c r="L103" s="1150">
        <v>76.324186343331206</v>
      </c>
      <c r="M103" s="1208"/>
      <c r="N103" s="1209"/>
      <c r="O103" s="1209"/>
    </row>
    <row r="104" spans="1:15">
      <c r="A104" s="962">
        <v>2002</v>
      </c>
      <c r="B104" s="963">
        <v>85.037999999999997</v>
      </c>
      <c r="D104" s="1146">
        <v>2002</v>
      </c>
      <c r="E104" s="1147">
        <v>395.6</v>
      </c>
      <c r="F104" s="1208"/>
      <c r="G104" s="1146">
        <v>2002</v>
      </c>
      <c r="H104" s="1149">
        <v>17.97</v>
      </c>
      <c r="K104" s="1146">
        <v>1990</v>
      </c>
      <c r="L104" s="1150">
        <v>77.217613273771548</v>
      </c>
      <c r="M104" s="1208"/>
      <c r="N104" s="1209"/>
      <c r="O104" s="1209"/>
    </row>
    <row r="105" spans="1:15">
      <c r="A105" s="962">
        <v>2003</v>
      </c>
      <c r="B105" s="963">
        <v>86.728999999999999</v>
      </c>
      <c r="D105" s="1146">
        <v>2003</v>
      </c>
      <c r="E105" s="1147">
        <v>402</v>
      </c>
      <c r="F105" s="1208"/>
      <c r="G105" s="1146">
        <v>2003</v>
      </c>
      <c r="H105" s="1149">
        <v>18.5</v>
      </c>
      <c r="K105" s="1146">
        <v>1991</v>
      </c>
      <c r="L105" s="1150">
        <v>79.38736439055522</v>
      </c>
      <c r="M105" s="1208"/>
      <c r="N105" s="1209"/>
      <c r="O105" s="1209"/>
    </row>
    <row r="106" spans="1:15">
      <c r="A106" s="962">
        <v>2004</v>
      </c>
      <c r="B106" s="963">
        <v>89.114000000000004</v>
      </c>
      <c r="D106" s="1146">
        <v>2004</v>
      </c>
      <c r="E106" s="1147">
        <v>444.2</v>
      </c>
      <c r="F106" s="1208"/>
      <c r="G106" s="1146">
        <v>2004</v>
      </c>
      <c r="H106" s="1149">
        <v>19.170000000000002</v>
      </c>
      <c r="K106" s="1146">
        <v>1992</v>
      </c>
      <c r="L106" s="1151">
        <v>80.280791320995533</v>
      </c>
      <c r="M106" s="1208"/>
      <c r="N106" s="1209"/>
      <c r="O106" s="1209"/>
    </row>
    <row r="107" spans="1:15">
      <c r="A107" s="962">
        <v>2005</v>
      </c>
      <c r="B107" s="963">
        <v>91.980999999999995</v>
      </c>
      <c r="D107" s="1146">
        <v>2005</v>
      </c>
      <c r="E107" s="1147">
        <v>468.2</v>
      </c>
      <c r="F107" s="1208"/>
      <c r="G107" s="1146">
        <v>2005</v>
      </c>
      <c r="H107" s="1297">
        <v>19.670000000000002</v>
      </c>
      <c r="K107" s="1146">
        <v>1993</v>
      </c>
      <c r="L107" s="1151">
        <v>81.174218251435875</v>
      </c>
      <c r="M107" s="1208"/>
      <c r="N107" s="1209"/>
      <c r="O107" s="1209"/>
    </row>
    <row r="108" spans="1:15">
      <c r="A108" s="962">
        <v>2006</v>
      </c>
      <c r="B108" s="963">
        <v>94.811999999999998</v>
      </c>
      <c r="D108" s="1146">
        <v>2006</v>
      </c>
      <c r="E108" s="1147">
        <v>499.6</v>
      </c>
      <c r="F108" s="1208"/>
      <c r="G108" s="1146">
        <v>2006</v>
      </c>
      <c r="H108" s="1149">
        <v>19.600000000000001</v>
      </c>
      <c r="K108" s="1146">
        <v>1994</v>
      </c>
      <c r="L108" s="1151">
        <v>82.961072112316543</v>
      </c>
      <c r="M108" s="1208"/>
      <c r="N108" s="1209"/>
      <c r="O108" s="1209"/>
    </row>
    <row r="109" spans="1:15">
      <c r="A109" s="962">
        <v>2007</v>
      </c>
      <c r="B109" s="963">
        <v>97.334000000000003</v>
      </c>
      <c r="D109" s="1146">
        <v>2007</v>
      </c>
      <c r="E109" s="1147">
        <v>525.4</v>
      </c>
      <c r="F109" s="1238"/>
      <c r="G109" s="1146">
        <v>2007</v>
      </c>
      <c r="H109" s="1149">
        <v>19.55</v>
      </c>
      <c r="K109" s="1146">
        <v>1995</v>
      </c>
      <c r="L109" s="1151">
        <v>91.512444160816855</v>
      </c>
      <c r="M109" s="1208"/>
      <c r="N109" s="1209"/>
      <c r="O109" s="1209"/>
    </row>
    <row r="110" spans="1:15">
      <c r="A110" s="962">
        <v>2008</v>
      </c>
      <c r="B110" s="963">
        <v>99.25</v>
      </c>
      <c r="D110" s="1146">
        <v>2008</v>
      </c>
      <c r="E110" s="1147">
        <v>575.4</v>
      </c>
      <c r="F110" s="1208"/>
      <c r="G110" s="1146">
        <v>2008</v>
      </c>
      <c r="H110" s="1149">
        <v>19.5</v>
      </c>
      <c r="K110" s="1146">
        <v>1996</v>
      </c>
      <c r="L110" s="1151">
        <v>93.044033184428855</v>
      </c>
      <c r="M110" s="1208"/>
      <c r="N110" s="1209"/>
      <c r="O110" s="1209"/>
    </row>
    <row r="111" spans="1:15" ht="15">
      <c r="A111" s="962">
        <v>2009</v>
      </c>
      <c r="B111" s="1144">
        <v>100</v>
      </c>
      <c r="D111" s="802">
        <v>2009</v>
      </c>
      <c r="E111" s="1147">
        <v>521.9</v>
      </c>
      <c r="F111" s="1208"/>
      <c r="G111" s="802">
        <v>2009</v>
      </c>
      <c r="H111" s="966">
        <v>20.3</v>
      </c>
      <c r="K111" s="1146">
        <v>1997</v>
      </c>
      <c r="L111" s="1151">
        <v>93.873643905552015</v>
      </c>
      <c r="M111" s="1208"/>
      <c r="N111" s="1209"/>
      <c r="O111" s="1209"/>
    </row>
    <row r="112" spans="1:15" ht="15">
      <c r="A112" s="962">
        <v>2010</v>
      </c>
      <c r="B112" s="1144">
        <v>101.217</v>
      </c>
      <c r="D112" s="802">
        <v>2010</v>
      </c>
      <c r="E112" s="1147">
        <v>550.79999999999995</v>
      </c>
      <c r="F112" s="1208"/>
      <c r="G112" s="802">
        <v>2010</v>
      </c>
      <c r="H112" s="966">
        <v>21.07</v>
      </c>
      <c r="K112" s="1146">
        <v>1998</v>
      </c>
      <c r="L112" s="1151">
        <v>94.894703254626677</v>
      </c>
      <c r="M112" s="1208"/>
      <c r="N112" s="1209"/>
      <c r="O112" s="1209"/>
    </row>
    <row r="113" spans="1:15" ht="15">
      <c r="A113" s="962">
        <v>2011</v>
      </c>
      <c r="B113" s="1144">
        <v>103.307</v>
      </c>
      <c r="D113" s="802">
        <v>2011</v>
      </c>
      <c r="E113" s="1147">
        <v>585.70000000000005</v>
      </c>
      <c r="F113" s="1208"/>
      <c r="G113" s="802">
        <v>2011</v>
      </c>
      <c r="H113" s="966">
        <v>21.45</v>
      </c>
      <c r="K113" s="1146">
        <v>1999</v>
      </c>
      <c r="L113" s="1151">
        <v>95.532865347798349</v>
      </c>
      <c r="M113" s="1208"/>
      <c r="N113" s="1209"/>
      <c r="O113" s="1209"/>
    </row>
    <row r="114" spans="1:15" ht="15">
      <c r="A114" s="962">
        <v>2012</v>
      </c>
      <c r="B114" s="1144">
        <v>105.21299999999999</v>
      </c>
      <c r="D114" s="802">
        <v>2012</v>
      </c>
      <c r="E114" s="1147">
        <v>584.6</v>
      </c>
      <c r="F114" s="1208"/>
      <c r="G114" s="802">
        <v>2012</v>
      </c>
      <c r="H114" s="966">
        <v>21.45</v>
      </c>
      <c r="K114" s="1146">
        <v>2000</v>
      </c>
      <c r="L114" s="1151">
        <v>100</v>
      </c>
      <c r="M114" s="1208"/>
      <c r="N114" s="1209"/>
      <c r="O114" s="1209"/>
    </row>
    <row r="115" spans="1:15" ht="15">
      <c r="A115" s="962">
        <v>2013</v>
      </c>
      <c r="B115" s="1144">
        <v>106.91</v>
      </c>
      <c r="D115" s="802">
        <v>2013</v>
      </c>
      <c r="E115" s="1147">
        <v>567.29999999999995</v>
      </c>
      <c r="F115" s="1208"/>
      <c r="G115" s="802">
        <v>2013</v>
      </c>
      <c r="H115" s="966">
        <v>21.4</v>
      </c>
      <c r="K115" s="1146">
        <v>2001</v>
      </c>
      <c r="L115" s="1151">
        <v>101.08487555839186</v>
      </c>
      <c r="M115" s="1208"/>
      <c r="N115" s="1209"/>
      <c r="O115" s="1209"/>
    </row>
    <row r="116" spans="1:15" ht="15">
      <c r="A116" s="962">
        <v>2014</v>
      </c>
      <c r="B116" s="1144">
        <v>108.827</v>
      </c>
      <c r="D116" s="802">
        <v>2014</v>
      </c>
      <c r="E116" s="1147">
        <v>576.1</v>
      </c>
      <c r="F116" s="1208"/>
      <c r="G116" s="802">
        <v>2014</v>
      </c>
      <c r="H116" s="966">
        <v>21.488333333333333</v>
      </c>
      <c r="K116" s="1146">
        <v>2002</v>
      </c>
      <c r="L116" s="1151">
        <v>100.38289725590302</v>
      </c>
      <c r="M116" s="1208"/>
      <c r="N116" s="1209"/>
      <c r="O116" s="1209"/>
    </row>
    <row r="117" spans="1:15" ht="15">
      <c r="A117" s="962">
        <v>2015</v>
      </c>
      <c r="B117" s="1144">
        <v>110.01</v>
      </c>
      <c r="D117" s="802">
        <v>2015</v>
      </c>
      <c r="E117" s="1147">
        <v>556.79999999999995</v>
      </c>
      <c r="F117" s="1208"/>
      <c r="G117" s="802">
        <v>2015</v>
      </c>
      <c r="H117" s="966">
        <v>21.754999999999999</v>
      </c>
      <c r="K117" s="1146">
        <v>2003</v>
      </c>
      <c r="L117" s="1151">
        <v>105.04148053605616</v>
      </c>
      <c r="M117" s="1208"/>
      <c r="N117" s="1209"/>
      <c r="O117" s="1209"/>
    </row>
    <row r="118" spans="1:15" ht="15.75" thickBot="1">
      <c r="A118" s="962">
        <v>2016</v>
      </c>
      <c r="B118" s="1144">
        <v>111.41200000000001</v>
      </c>
      <c r="D118" s="804">
        <v>2016</v>
      </c>
      <c r="E118" s="1148">
        <v>541.70000000000005</v>
      </c>
      <c r="F118" s="1208"/>
      <c r="G118" s="804">
        <v>2016</v>
      </c>
      <c r="H118" s="967">
        <v>22.714999999999993</v>
      </c>
      <c r="K118" s="1146">
        <v>2004</v>
      </c>
      <c r="L118" s="1151">
        <v>110.27440970006384</v>
      </c>
      <c r="M118" s="1208"/>
      <c r="N118" s="1209"/>
      <c r="O118" s="1209"/>
    </row>
    <row r="119" spans="1:15" ht="14.25" thickTop="1" thickBot="1">
      <c r="A119" s="964">
        <v>2017</v>
      </c>
      <c r="B119" s="1145">
        <v>112.854</v>
      </c>
      <c r="G119" s="286" t="s">
        <v>1098</v>
      </c>
      <c r="H119" s="286"/>
      <c r="K119" s="1146">
        <v>2005</v>
      </c>
      <c r="L119" s="1151">
        <v>119.52776005105299</v>
      </c>
      <c r="M119" s="1208"/>
      <c r="N119" s="1209"/>
      <c r="O119" s="1209"/>
    </row>
    <row r="120" spans="1:15" ht="13.5" thickTop="1">
      <c r="K120" s="1146">
        <v>2006</v>
      </c>
      <c r="L120" s="1151">
        <v>125.5902999361838</v>
      </c>
      <c r="M120" s="1208"/>
      <c r="N120" s="1209"/>
      <c r="O120" s="1209"/>
    </row>
    <row r="121" spans="1:15">
      <c r="K121" s="1146">
        <v>2007</v>
      </c>
      <c r="L121" s="1151">
        <v>129.73835354179963</v>
      </c>
      <c r="M121" s="1208"/>
      <c r="N121" s="1209"/>
      <c r="O121" s="1209"/>
    </row>
    <row r="122" spans="1:15">
      <c r="K122" s="1146">
        <v>2008</v>
      </c>
      <c r="L122" s="1151">
        <v>145.6285896617741</v>
      </c>
      <c r="M122" s="1208"/>
      <c r="N122" s="1209"/>
      <c r="O122" s="1209"/>
    </row>
    <row r="123" spans="1:15">
      <c r="K123" s="1146">
        <v>2009</v>
      </c>
      <c r="L123" s="1152">
        <v>143.39502233567327</v>
      </c>
      <c r="M123" s="1208"/>
      <c r="N123" s="1209"/>
      <c r="O123" s="1209"/>
    </row>
    <row r="124" spans="1:15">
      <c r="K124" s="1146">
        <v>2010</v>
      </c>
      <c r="L124" s="1152">
        <v>149.13848117421827</v>
      </c>
      <c r="M124" s="1208"/>
      <c r="N124" s="1209"/>
      <c r="O124" s="1209"/>
    </row>
    <row r="125" spans="1:15">
      <c r="K125" s="1146">
        <v>2011</v>
      </c>
      <c r="L125" s="1152">
        <v>160.8806636885769</v>
      </c>
      <c r="M125" s="1208"/>
      <c r="N125" s="1209"/>
      <c r="O125" s="1209"/>
    </row>
    <row r="126" spans="1:15">
      <c r="K126" s="1146">
        <v>2012</v>
      </c>
      <c r="L126" s="1152">
        <v>166.11359285258459</v>
      </c>
      <c r="M126" s="1208"/>
      <c r="N126" s="1209"/>
      <c r="O126" s="1209"/>
    </row>
    <row r="127" spans="1:15">
      <c r="K127" s="1146">
        <v>2013</v>
      </c>
      <c r="L127" s="1152">
        <v>168.41097638800255</v>
      </c>
      <c r="M127" s="1208"/>
      <c r="N127" s="1209"/>
      <c r="O127" s="1209"/>
    </row>
    <row r="128" spans="1:15">
      <c r="K128" s="1146">
        <v>2014</v>
      </c>
      <c r="L128" s="1152">
        <v>171.79323548181239</v>
      </c>
      <c r="N128" s="1209"/>
      <c r="O128" s="1209"/>
    </row>
    <row r="129" spans="1:15">
      <c r="K129" s="1146">
        <v>2015</v>
      </c>
      <c r="L129" s="1152">
        <v>168.98532227185709</v>
      </c>
      <c r="N129" s="1209"/>
      <c r="O129" s="1209"/>
    </row>
    <row r="130" spans="1:15" ht="13.5" thickBot="1">
      <c r="K130" s="1153">
        <v>2016</v>
      </c>
      <c r="L130" s="1154">
        <v>170.4530950861519</v>
      </c>
      <c r="M130" s="1208"/>
      <c r="N130" s="1209"/>
      <c r="O130" s="1209"/>
    </row>
    <row r="131" spans="1:15" ht="13.5" thickTop="1">
      <c r="K131" s="286" t="s">
        <v>1200</v>
      </c>
    </row>
    <row r="132" spans="1:15" ht="13.5" thickBot="1">
      <c r="K132" s="286" t="s">
        <v>1227</v>
      </c>
    </row>
    <row r="133" spans="1:15" ht="30.75" thickBot="1">
      <c r="A133" s="1336" t="s">
        <v>1099</v>
      </c>
      <c r="B133" s="1337"/>
      <c r="C133" s="1337"/>
      <c r="D133" s="1337"/>
      <c r="E133" s="1337"/>
      <c r="F133" s="1337"/>
      <c r="G133" s="1337"/>
      <c r="H133" s="1337"/>
      <c r="I133" s="1338"/>
    </row>
    <row r="134" spans="1:15" ht="51">
      <c r="A134" s="1320"/>
      <c r="B134" s="578"/>
      <c r="C134" s="1583" t="s">
        <v>124</v>
      </c>
      <c r="D134" s="1583"/>
      <c r="E134" s="1583"/>
      <c r="F134" s="1584" t="s">
        <v>125</v>
      </c>
      <c r="G134" s="1583"/>
      <c r="H134" s="1585"/>
      <c r="I134" s="1321" t="s">
        <v>126</v>
      </c>
    </row>
    <row r="135" spans="1:15" ht="30" customHeight="1" thickBot="1">
      <c r="A135" s="553" t="s">
        <v>127</v>
      </c>
      <c r="B135" s="555" t="s">
        <v>128</v>
      </c>
      <c r="C135" s="554" t="s">
        <v>129</v>
      </c>
      <c r="D135" s="554" t="s">
        <v>397</v>
      </c>
      <c r="E135" s="554" t="s">
        <v>398</v>
      </c>
      <c r="F135" s="553" t="s">
        <v>402</v>
      </c>
      <c r="G135" s="554" t="s">
        <v>403</v>
      </c>
      <c r="H135" s="555" t="s">
        <v>404</v>
      </c>
      <c r="I135" s="1322" t="s">
        <v>130</v>
      </c>
    </row>
    <row r="136" spans="1:15">
      <c r="A136" s="1323" t="s">
        <v>1081</v>
      </c>
      <c r="B136" s="579" t="s">
        <v>131</v>
      </c>
      <c r="C136" s="784">
        <f t="shared" ref="C136:I145" si="8">+AVERAGEIFS(D$165:D$524,$B$165:$B$524,$A136,$C$165:$C$524,"&gt;="&amp;startup_year,$C$165:$C$524,"&lt;="&amp;(startup_year+anal_period))</f>
        <v>1092333.3333333333</v>
      </c>
      <c r="D136" s="785">
        <f t="shared" si="8"/>
        <v>1092000</v>
      </c>
      <c r="E136" s="786">
        <f t="shared" si="8"/>
        <v>3983.1111111111113</v>
      </c>
      <c r="F136" s="787">
        <f t="shared" si="8"/>
        <v>5.7637</v>
      </c>
      <c r="G136" s="787">
        <f t="shared" si="8"/>
        <v>0.18463255555555558</v>
      </c>
      <c r="H136" s="787">
        <f t="shared" si="8"/>
        <v>8.6144444444444441E-4</v>
      </c>
      <c r="I136" s="1324">
        <f t="shared" si="8"/>
        <v>11.590077777777779</v>
      </c>
    </row>
    <row r="137" spans="1:15" ht="16.5" customHeight="1">
      <c r="A137" s="1325" t="s">
        <v>282</v>
      </c>
      <c r="B137" s="580" t="s">
        <v>131</v>
      </c>
      <c r="C137" s="788">
        <f t="shared" si="8"/>
        <v>1092333.3333333333</v>
      </c>
      <c r="D137" s="789">
        <f t="shared" si="8"/>
        <v>1092000</v>
      </c>
      <c r="E137" s="790">
        <f t="shared" si="8"/>
        <v>3983.1111111111113</v>
      </c>
      <c r="F137" s="791">
        <f t="shared" si="8"/>
        <v>5.7637</v>
      </c>
      <c r="G137" s="791">
        <f t="shared" si="8"/>
        <v>0.18463255555555558</v>
      </c>
      <c r="H137" s="791">
        <f t="shared" si="8"/>
        <v>8.6144444444444441E-4</v>
      </c>
      <c r="I137" s="1326">
        <f t="shared" si="8"/>
        <v>11.590077777777779</v>
      </c>
    </row>
    <row r="138" spans="1:15">
      <c r="A138" s="1327" t="s">
        <v>1082</v>
      </c>
      <c r="B138" s="1315" t="s">
        <v>131</v>
      </c>
      <c r="C138" s="1316">
        <f t="shared" si="8"/>
        <v>1092333.3333333333</v>
      </c>
      <c r="D138" s="1317">
        <f t="shared" si="8"/>
        <v>1092000</v>
      </c>
      <c r="E138" s="1318">
        <f t="shared" si="8"/>
        <v>3983.1111111111113</v>
      </c>
      <c r="F138" s="1319">
        <f t="shared" si="8"/>
        <v>5.7637</v>
      </c>
      <c r="G138" s="1319">
        <f t="shared" si="8"/>
        <v>0.18463255555555558</v>
      </c>
      <c r="H138" s="1319">
        <f t="shared" si="8"/>
        <v>8.6144444444444441E-4</v>
      </c>
      <c r="I138" s="1328">
        <f t="shared" si="8"/>
        <v>11.590077777777779</v>
      </c>
    </row>
    <row r="139" spans="1:15">
      <c r="A139" s="1325" t="s">
        <v>680</v>
      </c>
      <c r="B139" s="581" t="s">
        <v>131</v>
      </c>
      <c r="C139" s="789">
        <f t="shared" si="8"/>
        <v>1092333.3333333333</v>
      </c>
      <c r="D139" s="789">
        <f t="shared" si="8"/>
        <v>1092000</v>
      </c>
      <c r="E139" s="789">
        <f t="shared" si="8"/>
        <v>3983.1111111111113</v>
      </c>
      <c r="F139" s="792">
        <f t="shared" si="8"/>
        <v>5.7637</v>
      </c>
      <c r="G139" s="791">
        <f t="shared" si="8"/>
        <v>0.18463255555555558</v>
      </c>
      <c r="H139" s="793">
        <f t="shared" si="8"/>
        <v>8.6144444444444441E-4</v>
      </c>
      <c r="I139" s="1326">
        <f t="shared" si="8"/>
        <v>11.590077777777779</v>
      </c>
    </row>
    <row r="140" spans="1:15">
      <c r="A140" s="1325" t="s">
        <v>681</v>
      </c>
      <c r="B140" s="581" t="s">
        <v>1292</v>
      </c>
      <c r="C140" s="789">
        <f t="shared" si="8"/>
        <v>-1186000</v>
      </c>
      <c r="D140" s="789">
        <f t="shared" si="8"/>
        <v>0</v>
      </c>
      <c r="E140" s="789">
        <f t="shared" si="8"/>
        <v>0</v>
      </c>
      <c r="F140" s="792">
        <f t="shared" si="8"/>
        <v>-85.798888888888868</v>
      </c>
      <c r="G140" s="791">
        <f t="shared" si="8"/>
        <v>0.54695555555555553</v>
      </c>
      <c r="H140" s="793">
        <f t="shared" si="8"/>
        <v>-1.8301999999999997E-3</v>
      </c>
      <c r="I140" s="1326">
        <f t="shared" si="8"/>
        <v>-70.082222222222228</v>
      </c>
    </row>
    <row r="141" spans="1:15">
      <c r="A141" s="1325" t="s">
        <v>682</v>
      </c>
      <c r="B141" s="581" t="s">
        <v>132</v>
      </c>
      <c r="C141" s="789">
        <f t="shared" si="8"/>
        <v>1787000</v>
      </c>
      <c r="D141" s="789">
        <f t="shared" si="8"/>
        <v>1370111.111111111</v>
      </c>
      <c r="E141" s="789">
        <f t="shared" si="8"/>
        <v>21116.666666666668</v>
      </c>
      <c r="F141" s="792">
        <f t="shared" si="8"/>
        <v>140.12111111111111</v>
      </c>
      <c r="G141" s="791">
        <f t="shared" si="8"/>
        <v>0.2125671111111111</v>
      </c>
      <c r="H141" s="793">
        <f t="shared" si="8"/>
        <v>2.0498222222222226E-3</v>
      </c>
      <c r="I141" s="1326">
        <f t="shared" si="8"/>
        <v>145.54777777777775</v>
      </c>
    </row>
    <row r="142" spans="1:15">
      <c r="A142" s="1325" t="s">
        <v>697</v>
      </c>
      <c r="B142" s="581" t="s">
        <v>132</v>
      </c>
      <c r="C142" s="789">
        <f t="shared" si="8"/>
        <v>1787000</v>
      </c>
      <c r="D142" s="789">
        <f t="shared" si="8"/>
        <v>1370111.111111111</v>
      </c>
      <c r="E142" s="789">
        <f t="shared" si="8"/>
        <v>21116.666666666668</v>
      </c>
      <c r="F142" s="792">
        <f t="shared" si="8"/>
        <v>140.12111111111111</v>
      </c>
      <c r="G142" s="791">
        <f t="shared" si="8"/>
        <v>0.2125671111111111</v>
      </c>
      <c r="H142" s="793">
        <f t="shared" si="8"/>
        <v>2.0498222222222226E-3</v>
      </c>
      <c r="I142" s="1326">
        <f t="shared" si="8"/>
        <v>145.54777777777775</v>
      </c>
    </row>
    <row r="143" spans="1:15">
      <c r="A143" s="1325" t="s">
        <v>683</v>
      </c>
      <c r="B143" s="581" t="s">
        <v>132</v>
      </c>
      <c r="C143" s="789">
        <f t="shared" si="8"/>
        <v>1787000</v>
      </c>
      <c r="D143" s="789">
        <f t="shared" si="8"/>
        <v>1370111.111111111</v>
      </c>
      <c r="E143" s="789">
        <f t="shared" si="8"/>
        <v>21116.666666666668</v>
      </c>
      <c r="F143" s="792">
        <f t="shared" si="8"/>
        <v>140.12111111111111</v>
      </c>
      <c r="G143" s="791">
        <f t="shared" si="8"/>
        <v>0.2125671111111111</v>
      </c>
      <c r="H143" s="793">
        <f t="shared" si="8"/>
        <v>2.0498222222222226E-3</v>
      </c>
      <c r="I143" s="1326">
        <f t="shared" si="8"/>
        <v>145.54777777777775</v>
      </c>
    </row>
    <row r="144" spans="1:15">
      <c r="A144" s="1325" t="s">
        <v>1083</v>
      </c>
      <c r="B144" s="581" t="s">
        <v>133</v>
      </c>
      <c r="C144" s="789">
        <f t="shared" si="8"/>
        <v>1022000</v>
      </c>
      <c r="D144" s="789">
        <f t="shared" si="8"/>
        <v>1021000</v>
      </c>
      <c r="E144" s="789">
        <f t="shared" si="8"/>
        <v>15525.555555555555</v>
      </c>
      <c r="F144" s="792">
        <f t="shared" si="8"/>
        <v>1.7266111111111111</v>
      </c>
      <c r="G144" s="791">
        <f t="shared" si="8"/>
        <v>0.1409730933333333</v>
      </c>
      <c r="H144" s="793">
        <f t="shared" si="8"/>
        <v>3.3298666666666667E-5</v>
      </c>
      <c r="I144" s="1326">
        <f t="shared" si="8"/>
        <v>5.9858888888888888</v>
      </c>
    </row>
    <row r="145" spans="1:9">
      <c r="A145" s="1325" t="s">
        <v>715</v>
      </c>
      <c r="B145" s="581" t="s">
        <v>133</v>
      </c>
      <c r="C145" s="789">
        <f t="shared" si="8"/>
        <v>1022000</v>
      </c>
      <c r="D145" s="789">
        <f t="shared" si="8"/>
        <v>1021000</v>
      </c>
      <c r="E145" s="789">
        <f t="shared" si="8"/>
        <v>15525.555555555555</v>
      </c>
      <c r="F145" s="792">
        <f t="shared" si="8"/>
        <v>1.7266111111111111</v>
      </c>
      <c r="G145" s="791">
        <f t="shared" si="8"/>
        <v>0.1409730933333333</v>
      </c>
      <c r="H145" s="793">
        <f t="shared" si="8"/>
        <v>3.3298666666666667E-5</v>
      </c>
      <c r="I145" s="1326">
        <f t="shared" si="8"/>
        <v>5.9858888888888888</v>
      </c>
    </row>
    <row r="146" spans="1:9">
      <c r="A146" s="1325" t="s">
        <v>716</v>
      </c>
      <c r="B146" s="581" t="s">
        <v>133</v>
      </c>
      <c r="C146" s="789">
        <f t="shared" ref="C146:I153" si="9">+AVERAGEIFS(D$165:D$524,$B$165:$B$524,$A146,$C$165:$C$524,"&gt;="&amp;startup_year,$C$165:$C$524,"&lt;="&amp;(startup_year+anal_period))</f>
        <v>1022000</v>
      </c>
      <c r="D146" s="789">
        <f t="shared" si="9"/>
        <v>1021000</v>
      </c>
      <c r="E146" s="789">
        <f t="shared" si="9"/>
        <v>15525.555555555555</v>
      </c>
      <c r="F146" s="792">
        <f t="shared" si="9"/>
        <v>1.7266111111111111</v>
      </c>
      <c r="G146" s="791">
        <f t="shared" si="9"/>
        <v>0.1409730933333333</v>
      </c>
      <c r="H146" s="793">
        <f t="shared" si="9"/>
        <v>3.3298666666666667E-5</v>
      </c>
      <c r="I146" s="1326">
        <f t="shared" si="9"/>
        <v>5.9858888888888888</v>
      </c>
    </row>
    <row r="147" spans="1:9">
      <c r="A147" s="1325" t="s">
        <v>908</v>
      </c>
      <c r="B147" s="581" t="s">
        <v>134</v>
      </c>
      <c r="C147" s="789">
        <f t="shared" si="9"/>
        <v>1209444.4444444445</v>
      </c>
      <c r="D147" s="789">
        <f t="shared" si="9"/>
        <v>1202666.6666666667</v>
      </c>
      <c r="E147" s="789">
        <f t="shared" si="9"/>
        <v>1052111.111111111</v>
      </c>
      <c r="F147" s="792">
        <f t="shared" si="9"/>
        <v>18.180666666666667</v>
      </c>
      <c r="G147" s="791">
        <f t="shared" si="9"/>
        <v>0.16397644444444445</v>
      </c>
      <c r="H147" s="793">
        <f t="shared" si="9"/>
        <v>2.936588888888889E-4</v>
      </c>
      <c r="I147" s="1326">
        <f t="shared" si="9"/>
        <v>23.206555555555557</v>
      </c>
    </row>
    <row r="148" spans="1:9">
      <c r="A148" s="1325" t="s">
        <v>906</v>
      </c>
      <c r="B148" s="581" t="s">
        <v>1100</v>
      </c>
      <c r="C148" s="789">
        <f t="shared" si="9"/>
        <v>1592777.7777777778</v>
      </c>
      <c r="D148" s="789">
        <f t="shared" si="9"/>
        <v>700588.88888888888</v>
      </c>
      <c r="E148" s="789">
        <f t="shared" si="9"/>
        <v>286633.33333333331</v>
      </c>
      <c r="F148" s="792">
        <f t="shared" si="9"/>
        <v>38.703111111111113</v>
      </c>
      <c r="G148" s="791">
        <f t="shared" si="9"/>
        <v>0.1123</v>
      </c>
      <c r="H148" s="793">
        <f t="shared" si="9"/>
        <v>2.5603333333333339E-2</v>
      </c>
      <c r="I148" s="1326">
        <f t="shared" si="9"/>
        <v>45.774444444444448</v>
      </c>
    </row>
    <row r="149" spans="1:9">
      <c r="A149" s="1325" t="s">
        <v>909</v>
      </c>
      <c r="B149" s="581" t="s">
        <v>134</v>
      </c>
      <c r="C149" s="789">
        <f t="shared" si="9"/>
        <v>1250222.2222222222</v>
      </c>
      <c r="D149" s="789">
        <f t="shared" si="9"/>
        <v>1242777.7777777778</v>
      </c>
      <c r="E149" s="789">
        <f t="shared" si="9"/>
        <v>1078333.3333333333</v>
      </c>
      <c r="F149" s="792">
        <f t="shared" si="9"/>
        <v>24.072999999999997</v>
      </c>
      <c r="G149" s="791">
        <f t="shared" si="9"/>
        <v>0.16967222222222225</v>
      </c>
      <c r="H149" s="793">
        <f t="shared" si="9"/>
        <v>3.8183666666666668E-4</v>
      </c>
      <c r="I149" s="1326">
        <f t="shared" si="9"/>
        <v>29.393666666666668</v>
      </c>
    </row>
    <row r="150" spans="1:9">
      <c r="A150" s="1325" t="s">
        <v>1077</v>
      </c>
      <c r="B150" s="581" t="s">
        <v>1293</v>
      </c>
      <c r="C150" s="789">
        <f t="shared" si="9"/>
        <v>1190111.111111111</v>
      </c>
      <c r="D150" s="789">
        <f t="shared" si="9"/>
        <v>51895.555555555555</v>
      </c>
      <c r="E150" s="789">
        <f t="shared" si="9"/>
        <v>29306.666666666668</v>
      </c>
      <c r="F150" s="792">
        <f t="shared" si="9"/>
        <v>3.8090555555555556</v>
      </c>
      <c r="G150" s="791">
        <f t="shared" si="9"/>
        <v>8.4619555555555549E-3</v>
      </c>
      <c r="H150" s="793">
        <f t="shared" si="9"/>
        <v>-3.8254046666666669E-3</v>
      </c>
      <c r="I150" s="1326">
        <f t="shared" si="9"/>
        <v>3.0600888888888895</v>
      </c>
    </row>
    <row r="151" spans="1:9">
      <c r="A151" s="1325" t="s">
        <v>814</v>
      </c>
      <c r="B151" s="581" t="s">
        <v>1293</v>
      </c>
      <c r="C151" s="789">
        <f t="shared" si="9"/>
        <v>1190111.111111111</v>
      </c>
      <c r="D151" s="789">
        <f t="shared" si="9"/>
        <v>51895.555555555555</v>
      </c>
      <c r="E151" s="789">
        <f t="shared" si="9"/>
        <v>29306.666666666668</v>
      </c>
      <c r="F151" s="792">
        <f t="shared" si="9"/>
        <v>3.8090555555555556</v>
      </c>
      <c r="G151" s="791">
        <f t="shared" si="9"/>
        <v>8.4619555555555549E-3</v>
      </c>
      <c r="H151" s="793">
        <f t="shared" si="9"/>
        <v>-3.8254046666666669E-3</v>
      </c>
      <c r="I151" s="1326">
        <f t="shared" si="9"/>
        <v>3.0600888888888895</v>
      </c>
    </row>
    <row r="152" spans="1:9">
      <c r="A152" s="1325" t="s">
        <v>823</v>
      </c>
      <c r="B152" s="581" t="s">
        <v>1293</v>
      </c>
      <c r="C152" s="789">
        <f t="shared" si="9"/>
        <v>1190111.111111111</v>
      </c>
      <c r="D152" s="789">
        <f t="shared" si="9"/>
        <v>51895.555555555555</v>
      </c>
      <c r="E152" s="789">
        <f t="shared" si="9"/>
        <v>29306.666666666668</v>
      </c>
      <c r="F152" s="792">
        <f t="shared" si="9"/>
        <v>3.8090555555555556</v>
      </c>
      <c r="G152" s="791">
        <f t="shared" si="9"/>
        <v>8.4619555555555549E-3</v>
      </c>
      <c r="H152" s="793">
        <f t="shared" si="9"/>
        <v>-3.8254046666666669E-3</v>
      </c>
      <c r="I152" s="1326">
        <f t="shared" si="9"/>
        <v>3.0600888888888895</v>
      </c>
    </row>
    <row r="153" spans="1:9" ht="13.5" thickBot="1">
      <c r="A153" s="1329" t="s">
        <v>1084</v>
      </c>
      <c r="B153" s="1330" t="s">
        <v>1294</v>
      </c>
      <c r="C153" s="1331">
        <f t="shared" si="9"/>
        <v>1384111.111111111</v>
      </c>
      <c r="D153" s="1331">
        <f t="shared" si="9"/>
        <v>1383222.2222222222</v>
      </c>
      <c r="E153" s="1331">
        <f t="shared" si="9"/>
        <v>5049.1111111111113</v>
      </c>
      <c r="F153" s="1332">
        <f t="shared" si="9"/>
        <v>78.603844444444448</v>
      </c>
      <c r="G153" s="1333">
        <f t="shared" si="9"/>
        <v>0.27492888888888889</v>
      </c>
      <c r="H153" s="1334">
        <f t="shared" si="9"/>
        <v>2.3310333333333333E-3</v>
      </c>
      <c r="I153" s="1335">
        <f t="shared" si="9"/>
        <v>87.627188888888881</v>
      </c>
    </row>
    <row r="162" spans="2:10" ht="13.5" thickBot="1">
      <c r="B162" s="286" t="s">
        <v>1291</v>
      </c>
    </row>
    <row r="163" spans="2:10" ht="51">
      <c r="D163" s="1300" t="s">
        <v>124</v>
      </c>
      <c r="E163" s="1301"/>
      <c r="F163" s="1302"/>
      <c r="G163" s="1300" t="s">
        <v>125</v>
      </c>
      <c r="H163" s="1301"/>
      <c r="I163" s="1301"/>
      <c r="J163" s="1302" t="s">
        <v>126</v>
      </c>
    </row>
    <row r="164" spans="2:10" ht="13.5" thickBot="1">
      <c r="B164" s="1" t="s">
        <v>247</v>
      </c>
      <c r="C164" s="1" t="s">
        <v>1080</v>
      </c>
      <c r="D164" s="1290" t="s">
        <v>129</v>
      </c>
      <c r="E164" s="1" t="s">
        <v>397</v>
      </c>
      <c r="F164" s="1287" t="s">
        <v>398</v>
      </c>
      <c r="G164" s="1290" t="s">
        <v>402</v>
      </c>
      <c r="H164" s="1" t="s">
        <v>403</v>
      </c>
      <c r="I164" s="1" t="s">
        <v>404</v>
      </c>
      <c r="J164" s="1287" t="s">
        <v>130</v>
      </c>
    </row>
    <row r="165" spans="2:10">
      <c r="B165" s="1303" t="s">
        <v>1081</v>
      </c>
      <c r="C165" s="1304">
        <v>2005</v>
      </c>
      <c r="D165" s="1303">
        <v>1094000</v>
      </c>
      <c r="E165" s="1305">
        <v>1094000</v>
      </c>
      <c r="F165" s="1306">
        <v>4252</v>
      </c>
      <c r="G165" s="1303">
        <v>5.9984999999999999</v>
      </c>
      <c r="H165" s="1305">
        <v>0.18232600000000002</v>
      </c>
      <c r="I165" s="1305">
        <v>8.8801999999999994E-5</v>
      </c>
      <c r="J165" s="1306">
        <v>11.536999999999999</v>
      </c>
    </row>
    <row r="166" spans="2:10">
      <c r="B166" s="1307" t="s">
        <v>282</v>
      </c>
      <c r="C166" s="1308">
        <v>2005</v>
      </c>
      <c r="D166" s="1307">
        <v>1094000</v>
      </c>
      <c r="E166" s="1309">
        <v>1094000</v>
      </c>
      <c r="F166" s="1310">
        <v>4252</v>
      </c>
      <c r="G166" s="1307">
        <v>5.9984999999999999</v>
      </c>
      <c r="H166" s="1309">
        <v>0.18232600000000002</v>
      </c>
      <c r="I166" s="1309">
        <v>8.8801999999999994E-5</v>
      </c>
      <c r="J166" s="1310">
        <v>11.536999999999999</v>
      </c>
    </row>
    <row r="167" spans="2:10">
      <c r="B167" s="1307" t="s">
        <v>1082</v>
      </c>
      <c r="C167" s="1308">
        <v>2005</v>
      </c>
      <c r="D167" s="1307">
        <v>1094000</v>
      </c>
      <c r="E167" s="1309">
        <v>1094000</v>
      </c>
      <c r="F167" s="1310">
        <v>4252</v>
      </c>
      <c r="G167" s="1307">
        <v>5.9984999999999999</v>
      </c>
      <c r="H167" s="1309">
        <v>0.18232600000000002</v>
      </c>
      <c r="I167" s="1309">
        <v>8.8801999999999994E-5</v>
      </c>
      <c r="J167" s="1310">
        <v>11.536999999999999</v>
      </c>
    </row>
    <row r="168" spans="2:10">
      <c r="B168" s="1307" t="s">
        <v>680</v>
      </c>
      <c r="C168" s="1308">
        <v>2005</v>
      </c>
      <c r="D168" s="1307">
        <v>1094000</v>
      </c>
      <c r="E168" s="1309">
        <v>1094000</v>
      </c>
      <c r="F168" s="1310">
        <v>4252</v>
      </c>
      <c r="G168" s="1307">
        <v>5.9984999999999999</v>
      </c>
      <c r="H168" s="1309">
        <v>0.18232600000000002</v>
      </c>
      <c r="I168" s="1309">
        <v>8.8801999999999994E-5</v>
      </c>
      <c r="J168" s="1310">
        <v>11.536999999999999</v>
      </c>
    </row>
    <row r="169" spans="2:10">
      <c r="B169" s="1307" t="s">
        <v>681</v>
      </c>
      <c r="C169" s="1308">
        <v>2005</v>
      </c>
      <c r="D169" s="1307">
        <v>-1208000</v>
      </c>
      <c r="E169" s="1309">
        <v>0</v>
      </c>
      <c r="F169" s="1310">
        <v>0</v>
      </c>
      <c r="G169" s="1307">
        <v>-85.789999999999992</v>
      </c>
      <c r="H169" s="1309">
        <v>0.54689999999999994</v>
      </c>
      <c r="I169" s="1309">
        <v>-1.4884E-3</v>
      </c>
      <c r="J169" s="1310">
        <v>-70</v>
      </c>
    </row>
    <row r="170" spans="2:10">
      <c r="B170" s="1307" t="s">
        <v>682</v>
      </c>
      <c r="C170" s="1308">
        <v>2005</v>
      </c>
      <c r="D170" s="1307">
        <v>2475000</v>
      </c>
      <c r="E170" s="1309">
        <v>2129000</v>
      </c>
      <c r="F170" s="1310">
        <v>124000</v>
      </c>
      <c r="G170" s="1307">
        <v>251.83</v>
      </c>
      <c r="H170" s="1309">
        <v>0.31369799999999998</v>
      </c>
      <c r="I170" s="1309">
        <v>3.6604999999999997E-3</v>
      </c>
      <c r="J170" s="1310">
        <v>255.85999999999999</v>
      </c>
    </row>
    <row r="171" spans="2:10">
      <c r="B171" s="1307" t="s">
        <v>697</v>
      </c>
      <c r="C171" s="1308">
        <v>2005</v>
      </c>
      <c r="D171" s="1307">
        <v>2475000</v>
      </c>
      <c r="E171" s="1309">
        <v>2129000</v>
      </c>
      <c r="F171" s="1310">
        <v>124000</v>
      </c>
      <c r="G171" s="1307">
        <v>251.83</v>
      </c>
      <c r="H171" s="1309">
        <v>0.31369799999999998</v>
      </c>
      <c r="I171" s="1309">
        <v>3.6604999999999997E-3</v>
      </c>
      <c r="J171" s="1310">
        <v>255.85999999999999</v>
      </c>
    </row>
    <row r="172" spans="2:10">
      <c r="B172" s="1307" t="s">
        <v>683</v>
      </c>
      <c r="C172" s="1308">
        <v>2005</v>
      </c>
      <c r="D172" s="1307">
        <v>2475000</v>
      </c>
      <c r="E172" s="1309">
        <v>2129000</v>
      </c>
      <c r="F172" s="1310">
        <v>124000</v>
      </c>
      <c r="G172" s="1307">
        <v>251.83</v>
      </c>
      <c r="H172" s="1309">
        <v>0.31369799999999998</v>
      </c>
      <c r="I172" s="1309">
        <v>3.6604999999999997E-3</v>
      </c>
      <c r="J172" s="1310">
        <v>255.85999999999999</v>
      </c>
    </row>
    <row r="173" spans="2:10">
      <c r="B173" s="1307" t="s">
        <v>1083</v>
      </c>
      <c r="C173" s="1308">
        <v>2005</v>
      </c>
      <c r="D173" s="1307">
        <v>1023000</v>
      </c>
      <c r="E173" s="1309">
        <v>1022000</v>
      </c>
      <c r="F173" s="1310">
        <v>15840</v>
      </c>
      <c r="G173" s="1307">
        <v>1.9352</v>
      </c>
      <c r="H173" s="1309">
        <v>0.14136591000000001</v>
      </c>
      <c r="I173" s="1309">
        <v>3.6392E-5</v>
      </c>
      <c r="J173" s="1310">
        <v>6.2023000000000001</v>
      </c>
    </row>
    <row r="174" spans="2:10">
      <c r="B174" s="1307" t="s">
        <v>715</v>
      </c>
      <c r="C174" s="1308">
        <v>2005</v>
      </c>
      <c r="D174" s="1307">
        <v>1023000</v>
      </c>
      <c r="E174" s="1309">
        <v>1022000</v>
      </c>
      <c r="F174" s="1310">
        <v>15840</v>
      </c>
      <c r="G174" s="1307">
        <v>1.9352</v>
      </c>
      <c r="H174" s="1309">
        <v>0.14136591000000001</v>
      </c>
      <c r="I174" s="1309">
        <v>3.6392E-5</v>
      </c>
      <c r="J174" s="1310">
        <v>6.2023000000000001</v>
      </c>
    </row>
    <row r="175" spans="2:10">
      <c r="B175" s="1307" t="s">
        <v>716</v>
      </c>
      <c r="C175" s="1308">
        <v>2005</v>
      </c>
      <c r="D175" s="1307">
        <v>1023000</v>
      </c>
      <c r="E175" s="1309">
        <v>1022000</v>
      </c>
      <c r="F175" s="1310">
        <v>15840</v>
      </c>
      <c r="G175" s="1307">
        <v>1.9352</v>
      </c>
      <c r="H175" s="1309">
        <v>0.14136591000000001</v>
      </c>
      <c r="I175" s="1309">
        <v>3.6392E-5</v>
      </c>
      <c r="J175" s="1310">
        <v>6.2023000000000001</v>
      </c>
    </row>
    <row r="176" spans="2:10">
      <c r="B176" s="1307" t="s">
        <v>908</v>
      </c>
      <c r="C176" s="1308">
        <v>2005</v>
      </c>
      <c r="D176" s="1307">
        <v>1205000</v>
      </c>
      <c r="E176" s="1309">
        <v>1200000</v>
      </c>
      <c r="F176" s="1310">
        <v>1056000</v>
      </c>
      <c r="G176" s="1307">
        <v>18.433</v>
      </c>
      <c r="H176" s="1309">
        <v>0.18217</v>
      </c>
      <c r="I176" s="1309">
        <v>2.0549999999999998E-4</v>
      </c>
      <c r="J176" s="1310">
        <v>23.908999999999999</v>
      </c>
    </row>
    <row r="177" spans="2:10">
      <c r="B177" s="1307" t="s">
        <v>906</v>
      </c>
      <c r="C177" s="1308">
        <v>2005</v>
      </c>
      <c r="D177" s="1307">
        <v>1760000</v>
      </c>
      <c r="E177" s="1309">
        <v>783400</v>
      </c>
      <c r="F177" s="1310">
        <v>307400</v>
      </c>
      <c r="G177" s="1307">
        <v>47.923999999999999</v>
      </c>
      <c r="H177" s="1309">
        <v>0.13161500000000001</v>
      </c>
      <c r="I177" s="1309">
        <v>3.3619999999999997E-2</v>
      </c>
      <c r="J177" s="1310">
        <v>56.43</v>
      </c>
    </row>
    <row r="178" spans="2:10">
      <c r="B178" s="1307" t="s">
        <v>909</v>
      </c>
      <c r="C178" s="1308">
        <v>2005</v>
      </c>
      <c r="D178" s="1307">
        <v>1248000</v>
      </c>
      <c r="E178" s="1309">
        <v>1242000</v>
      </c>
      <c r="F178" s="1310">
        <v>1084000</v>
      </c>
      <c r="G178" s="1307">
        <v>24.465</v>
      </c>
      <c r="H178" s="1309">
        <v>0.18840200000000001</v>
      </c>
      <c r="I178" s="1309">
        <v>2.7361999999999997E-4</v>
      </c>
      <c r="J178" s="1310">
        <v>30.237000000000002</v>
      </c>
    </row>
    <row r="179" spans="2:10">
      <c r="B179" s="1307" t="s">
        <v>1077</v>
      </c>
      <c r="C179" s="1308">
        <v>2005</v>
      </c>
      <c r="D179" s="1307">
        <v>1195000</v>
      </c>
      <c r="E179" s="1309">
        <v>56800</v>
      </c>
      <c r="F179" s="1310">
        <v>32280</v>
      </c>
      <c r="G179" s="1307">
        <v>4.3339999999999996</v>
      </c>
      <c r="H179" s="1309">
        <v>9.434399999999999E-3</v>
      </c>
      <c r="I179" s="1309">
        <v>-3.8369229999999999E-3</v>
      </c>
      <c r="J179" s="1310">
        <v>3.6147</v>
      </c>
    </row>
    <row r="180" spans="2:10">
      <c r="B180" s="1307" t="s">
        <v>814</v>
      </c>
      <c r="C180" s="1308">
        <v>2005</v>
      </c>
      <c r="D180" s="1307">
        <v>1195000</v>
      </c>
      <c r="E180" s="1309">
        <v>56800</v>
      </c>
      <c r="F180" s="1310">
        <v>32280</v>
      </c>
      <c r="G180" s="1307">
        <v>4.3339999999999996</v>
      </c>
      <c r="H180" s="1309">
        <v>9.434399999999999E-3</v>
      </c>
      <c r="I180" s="1309">
        <v>-3.8369229999999999E-3</v>
      </c>
      <c r="J180" s="1310">
        <v>3.6147</v>
      </c>
    </row>
    <row r="181" spans="2:10">
      <c r="B181" s="1307" t="s">
        <v>823</v>
      </c>
      <c r="C181" s="1308">
        <v>2005</v>
      </c>
      <c r="D181" s="1307">
        <v>1195000</v>
      </c>
      <c r="E181" s="1309">
        <v>56800</v>
      </c>
      <c r="F181" s="1310">
        <v>32280</v>
      </c>
      <c r="G181" s="1307">
        <v>4.3339999999999996</v>
      </c>
      <c r="H181" s="1309">
        <v>9.434399999999999E-3</v>
      </c>
      <c r="I181" s="1309">
        <v>-3.8369229999999999E-3</v>
      </c>
      <c r="J181" s="1310">
        <v>3.6147</v>
      </c>
    </row>
    <row r="182" spans="2:10" ht="13.5" thickBot="1">
      <c r="B182" s="1311" t="s">
        <v>1084</v>
      </c>
      <c r="C182" s="1312">
        <v>2005</v>
      </c>
      <c r="D182" s="1311">
        <v>1387000</v>
      </c>
      <c r="E182" s="1313">
        <v>1386000</v>
      </c>
      <c r="F182" s="1314">
        <v>5427</v>
      </c>
      <c r="G182" s="1311">
        <v>78.934799999999996</v>
      </c>
      <c r="H182" s="1313">
        <v>0.27050000000000002</v>
      </c>
      <c r="I182" s="1313">
        <v>1.418723E-3</v>
      </c>
      <c r="J182" s="1314">
        <v>87.571399999999997</v>
      </c>
    </row>
    <row r="183" spans="2:10">
      <c r="B183" s="1303" t="s">
        <v>1081</v>
      </c>
      <c r="C183" s="1304">
        <v>2010</v>
      </c>
      <c r="D183" s="1303">
        <v>1094000</v>
      </c>
      <c r="E183" s="1305">
        <v>1093000</v>
      </c>
      <c r="F183" s="1306">
        <v>4104</v>
      </c>
      <c r="G183" s="1303">
        <v>5.9177</v>
      </c>
      <c r="H183" s="1305">
        <v>0.18431800000000001</v>
      </c>
      <c r="I183" s="1305">
        <v>8.6370000000000001E-4</v>
      </c>
      <c r="J183" s="1306">
        <v>11.7387</v>
      </c>
    </row>
    <row r="184" spans="2:10">
      <c r="B184" s="1307" t="s">
        <v>282</v>
      </c>
      <c r="C184" s="1308">
        <v>2010</v>
      </c>
      <c r="D184" s="1307">
        <v>1094000</v>
      </c>
      <c r="E184" s="1309">
        <v>1093000</v>
      </c>
      <c r="F184" s="1310">
        <v>4104</v>
      </c>
      <c r="G184" s="1307">
        <v>5.9177</v>
      </c>
      <c r="H184" s="1309">
        <v>0.18431800000000001</v>
      </c>
      <c r="I184" s="1309">
        <v>8.6370000000000001E-4</v>
      </c>
      <c r="J184" s="1310">
        <v>11.7387</v>
      </c>
    </row>
    <row r="185" spans="2:10">
      <c r="B185" s="1307" t="s">
        <v>1082</v>
      </c>
      <c r="C185" s="1308">
        <v>2010</v>
      </c>
      <c r="D185" s="1307">
        <v>1094000</v>
      </c>
      <c r="E185" s="1309">
        <v>1093000</v>
      </c>
      <c r="F185" s="1310">
        <v>4104</v>
      </c>
      <c r="G185" s="1307">
        <v>5.9177</v>
      </c>
      <c r="H185" s="1309">
        <v>0.18431800000000001</v>
      </c>
      <c r="I185" s="1309">
        <v>8.6370000000000001E-4</v>
      </c>
      <c r="J185" s="1310">
        <v>11.7387</v>
      </c>
    </row>
    <row r="186" spans="2:10">
      <c r="B186" s="1307" t="s">
        <v>680</v>
      </c>
      <c r="C186" s="1308">
        <v>2010</v>
      </c>
      <c r="D186" s="1307">
        <v>1094000</v>
      </c>
      <c r="E186" s="1309">
        <v>1093000</v>
      </c>
      <c r="F186" s="1310">
        <v>4104</v>
      </c>
      <c r="G186" s="1307">
        <v>5.9177</v>
      </c>
      <c r="H186" s="1309">
        <v>0.18431800000000001</v>
      </c>
      <c r="I186" s="1309">
        <v>8.6370000000000001E-4</v>
      </c>
      <c r="J186" s="1310">
        <v>11.7387</v>
      </c>
    </row>
    <row r="187" spans="2:10">
      <c r="B187" s="1307" t="s">
        <v>681</v>
      </c>
      <c r="C187" s="1308">
        <v>2010</v>
      </c>
      <c r="D187" s="1307">
        <v>-1208000</v>
      </c>
      <c r="E187" s="1309">
        <v>0</v>
      </c>
      <c r="F187" s="1310">
        <v>0</v>
      </c>
      <c r="G187" s="1307">
        <v>-85.789999999999992</v>
      </c>
      <c r="H187" s="1309">
        <v>0.54600000000000004</v>
      </c>
      <c r="I187" s="1309">
        <v>-1.8614999999999999E-3</v>
      </c>
      <c r="J187" s="1310">
        <v>-70.12</v>
      </c>
    </row>
    <row r="188" spans="2:10">
      <c r="B188" s="1307" t="s">
        <v>682</v>
      </c>
      <c r="C188" s="1308">
        <v>2010</v>
      </c>
      <c r="D188" s="1307">
        <v>2254000</v>
      </c>
      <c r="E188" s="1309">
        <v>1938000</v>
      </c>
      <c r="F188" s="1310">
        <v>52730</v>
      </c>
      <c r="G188" s="1307">
        <v>220.67</v>
      </c>
      <c r="H188" s="1309">
        <v>0.288267</v>
      </c>
      <c r="I188" s="1309">
        <v>3.4012000000000001E-3</v>
      </c>
      <c r="J188" s="1310">
        <v>228.91000000000003</v>
      </c>
    </row>
    <row r="189" spans="2:10">
      <c r="B189" s="1307" t="s">
        <v>697</v>
      </c>
      <c r="C189" s="1308">
        <v>2010</v>
      </c>
      <c r="D189" s="1307">
        <v>2254000</v>
      </c>
      <c r="E189" s="1309">
        <v>1938000</v>
      </c>
      <c r="F189" s="1310">
        <v>52730</v>
      </c>
      <c r="G189" s="1307">
        <v>220.67</v>
      </c>
      <c r="H189" s="1309">
        <v>0.288267</v>
      </c>
      <c r="I189" s="1309">
        <v>3.4012000000000001E-3</v>
      </c>
      <c r="J189" s="1310">
        <v>228.91000000000003</v>
      </c>
    </row>
    <row r="190" spans="2:10">
      <c r="B190" s="1307" t="s">
        <v>683</v>
      </c>
      <c r="C190" s="1308">
        <v>2010</v>
      </c>
      <c r="D190" s="1307">
        <v>2254000</v>
      </c>
      <c r="E190" s="1309">
        <v>1938000</v>
      </c>
      <c r="F190" s="1310">
        <v>52730</v>
      </c>
      <c r="G190" s="1307">
        <v>220.67</v>
      </c>
      <c r="H190" s="1309">
        <v>0.288267</v>
      </c>
      <c r="I190" s="1309">
        <v>3.4012000000000001E-3</v>
      </c>
      <c r="J190" s="1310">
        <v>228.91000000000003</v>
      </c>
    </row>
    <row r="191" spans="2:10">
      <c r="B191" s="1307" t="s">
        <v>1083</v>
      </c>
      <c r="C191" s="1308">
        <v>2010</v>
      </c>
      <c r="D191" s="1307">
        <v>1023000</v>
      </c>
      <c r="E191" s="1309">
        <v>1022000</v>
      </c>
      <c r="F191" s="1310">
        <v>15710</v>
      </c>
      <c r="G191" s="1307">
        <v>1.8761000000000001</v>
      </c>
      <c r="H191" s="1309">
        <v>0.14136795000000002</v>
      </c>
      <c r="I191" s="1309">
        <v>3.5802E-5</v>
      </c>
      <c r="J191" s="1310">
        <v>6.1511000000000005</v>
      </c>
    </row>
    <row r="192" spans="2:10">
      <c r="B192" s="1307" t="s">
        <v>715</v>
      </c>
      <c r="C192" s="1308">
        <v>2010</v>
      </c>
      <c r="D192" s="1307">
        <v>1023000</v>
      </c>
      <c r="E192" s="1309">
        <v>1022000</v>
      </c>
      <c r="F192" s="1310">
        <v>15710</v>
      </c>
      <c r="G192" s="1307">
        <v>1.8761000000000001</v>
      </c>
      <c r="H192" s="1309">
        <v>0.14136795000000002</v>
      </c>
      <c r="I192" s="1309">
        <v>3.5802E-5</v>
      </c>
      <c r="J192" s="1310">
        <v>6.1511000000000005</v>
      </c>
    </row>
    <row r="193" spans="2:10">
      <c r="B193" s="1307" t="s">
        <v>716</v>
      </c>
      <c r="C193" s="1308">
        <v>2010</v>
      </c>
      <c r="D193" s="1307">
        <v>1023000</v>
      </c>
      <c r="E193" s="1309">
        <v>1022000</v>
      </c>
      <c r="F193" s="1310">
        <v>15710</v>
      </c>
      <c r="G193" s="1307">
        <v>1.8761000000000001</v>
      </c>
      <c r="H193" s="1309">
        <v>0.14136795000000002</v>
      </c>
      <c r="I193" s="1309">
        <v>3.5802E-5</v>
      </c>
      <c r="J193" s="1310">
        <v>6.1511000000000005</v>
      </c>
    </row>
    <row r="194" spans="2:10">
      <c r="B194" s="1307" t="s">
        <v>908</v>
      </c>
      <c r="C194" s="1308">
        <v>2010</v>
      </c>
      <c r="D194" s="1307">
        <v>1206000</v>
      </c>
      <c r="E194" s="1309">
        <v>1201000</v>
      </c>
      <c r="F194" s="1310">
        <v>1056000</v>
      </c>
      <c r="G194" s="1307">
        <v>18.166999999999998</v>
      </c>
      <c r="H194" s="1309">
        <v>0.18199899999999999</v>
      </c>
      <c r="I194" s="1309">
        <v>2.9639E-4</v>
      </c>
      <c r="J194" s="1310">
        <v>23.741999999999997</v>
      </c>
    </row>
    <row r="195" spans="2:10">
      <c r="B195" s="1307" t="s">
        <v>906</v>
      </c>
      <c r="C195" s="1308">
        <v>2010</v>
      </c>
      <c r="D195" s="1307">
        <v>1687000</v>
      </c>
      <c r="E195" s="1309">
        <v>740000</v>
      </c>
      <c r="F195" s="1310">
        <v>297100</v>
      </c>
      <c r="G195" s="1307">
        <v>42.921999999999997</v>
      </c>
      <c r="H195" s="1309">
        <v>0.12687100000000001</v>
      </c>
      <c r="I195" s="1309">
        <v>2.955E-2</v>
      </c>
      <c r="J195" s="1310">
        <v>50.54</v>
      </c>
    </row>
    <row r="196" spans="2:10">
      <c r="B196" s="1307" t="s">
        <v>909</v>
      </c>
      <c r="C196" s="1308">
        <v>2010</v>
      </c>
      <c r="D196" s="1307">
        <v>1248000</v>
      </c>
      <c r="E196" s="1309">
        <v>1242000</v>
      </c>
      <c r="F196" s="1310">
        <v>1083000</v>
      </c>
      <c r="G196" s="1307">
        <v>24.158999999999999</v>
      </c>
      <c r="H196" s="1309">
        <v>0.18823500000000001</v>
      </c>
      <c r="I196" s="1309">
        <v>3.8572999999999998E-4</v>
      </c>
      <c r="J196" s="1310">
        <v>30.041</v>
      </c>
    </row>
    <row r="197" spans="2:10">
      <c r="B197" s="1307" t="s">
        <v>1077</v>
      </c>
      <c r="C197" s="1308">
        <v>2010</v>
      </c>
      <c r="D197" s="1307">
        <v>1194000</v>
      </c>
      <c r="E197" s="1309">
        <v>56320</v>
      </c>
      <c r="F197" s="1310">
        <v>32080</v>
      </c>
      <c r="G197" s="1307">
        <v>4.2514000000000003</v>
      </c>
      <c r="H197" s="1309">
        <v>9.6048000000000001E-3</v>
      </c>
      <c r="I197" s="1309">
        <v>-3.820487E-3</v>
      </c>
      <c r="J197" s="1310">
        <v>3.5488999999999997</v>
      </c>
    </row>
    <row r="198" spans="2:10">
      <c r="B198" s="1307" t="s">
        <v>814</v>
      </c>
      <c r="C198" s="1308">
        <v>2010</v>
      </c>
      <c r="D198" s="1307">
        <v>1194000</v>
      </c>
      <c r="E198" s="1309">
        <v>56320</v>
      </c>
      <c r="F198" s="1310">
        <v>32080</v>
      </c>
      <c r="G198" s="1307">
        <v>4.2514000000000003</v>
      </c>
      <c r="H198" s="1309">
        <v>9.6048000000000001E-3</v>
      </c>
      <c r="I198" s="1309">
        <v>-3.820487E-3</v>
      </c>
      <c r="J198" s="1310">
        <v>3.5488999999999997</v>
      </c>
    </row>
    <row r="199" spans="2:10">
      <c r="B199" s="1307" t="s">
        <v>823</v>
      </c>
      <c r="C199" s="1308">
        <v>2010</v>
      </c>
      <c r="D199" s="1307">
        <v>1194000</v>
      </c>
      <c r="E199" s="1309">
        <v>56320</v>
      </c>
      <c r="F199" s="1310">
        <v>32080</v>
      </c>
      <c r="G199" s="1307">
        <v>4.2514000000000003</v>
      </c>
      <c r="H199" s="1309">
        <v>9.6048000000000001E-3</v>
      </c>
      <c r="I199" s="1309">
        <v>-3.820487E-3</v>
      </c>
      <c r="J199" s="1310">
        <v>3.5488999999999997</v>
      </c>
    </row>
    <row r="200" spans="2:10" ht="13.5" thickBot="1">
      <c r="B200" s="1311" t="s">
        <v>1084</v>
      </c>
      <c r="C200" s="1312">
        <v>2010</v>
      </c>
      <c r="D200" s="1311">
        <v>1386000</v>
      </c>
      <c r="E200" s="1313">
        <v>1385000</v>
      </c>
      <c r="F200" s="1314">
        <v>5215</v>
      </c>
      <c r="G200" s="1311">
        <v>78.8352</v>
      </c>
      <c r="H200" s="1313">
        <v>0.27453</v>
      </c>
      <c r="I200" s="1313">
        <v>2.3346E-3</v>
      </c>
      <c r="J200" s="1314">
        <v>87.848799999999997</v>
      </c>
    </row>
    <row r="201" spans="2:10">
      <c r="B201" s="1303" t="s">
        <v>1081</v>
      </c>
      <c r="C201" s="1304">
        <v>2015</v>
      </c>
      <c r="D201" s="1303">
        <v>1093000</v>
      </c>
      <c r="E201" s="1305">
        <v>1092000</v>
      </c>
      <c r="F201" s="1306">
        <v>4020</v>
      </c>
      <c r="G201" s="1303">
        <v>5.8287000000000004</v>
      </c>
      <c r="H201" s="1305">
        <v>0.18472100000000002</v>
      </c>
      <c r="I201" s="1305">
        <v>8.6249999999999999E-4</v>
      </c>
      <c r="J201" s="1306">
        <v>11.659600000000001</v>
      </c>
    </row>
    <row r="202" spans="2:10">
      <c r="B202" s="1307" t="s">
        <v>282</v>
      </c>
      <c r="C202" s="1308">
        <v>2015</v>
      </c>
      <c r="D202" s="1307">
        <v>1093000</v>
      </c>
      <c r="E202" s="1309">
        <v>1092000</v>
      </c>
      <c r="F202" s="1310">
        <v>4020</v>
      </c>
      <c r="G202" s="1307">
        <v>5.8287000000000004</v>
      </c>
      <c r="H202" s="1309">
        <v>0.18472100000000002</v>
      </c>
      <c r="I202" s="1309">
        <v>8.6249999999999999E-4</v>
      </c>
      <c r="J202" s="1310">
        <v>11.659600000000001</v>
      </c>
    </row>
    <row r="203" spans="2:10">
      <c r="B203" s="1307" t="s">
        <v>1082</v>
      </c>
      <c r="C203" s="1308">
        <v>2015</v>
      </c>
      <c r="D203" s="1307">
        <v>1093000</v>
      </c>
      <c r="E203" s="1309">
        <v>1092000</v>
      </c>
      <c r="F203" s="1310">
        <v>4020</v>
      </c>
      <c r="G203" s="1307">
        <v>5.8287000000000004</v>
      </c>
      <c r="H203" s="1309">
        <v>0.18472100000000002</v>
      </c>
      <c r="I203" s="1309">
        <v>8.6249999999999999E-4</v>
      </c>
      <c r="J203" s="1310">
        <v>11.659600000000001</v>
      </c>
    </row>
    <row r="204" spans="2:10">
      <c r="B204" s="1307" t="s">
        <v>680</v>
      </c>
      <c r="C204" s="1308">
        <v>2015</v>
      </c>
      <c r="D204" s="1307">
        <v>1093000</v>
      </c>
      <c r="E204" s="1309">
        <v>1092000</v>
      </c>
      <c r="F204" s="1310">
        <v>4020</v>
      </c>
      <c r="G204" s="1307">
        <v>5.8287000000000004</v>
      </c>
      <c r="H204" s="1309">
        <v>0.18472100000000002</v>
      </c>
      <c r="I204" s="1309">
        <v>8.6249999999999999E-4</v>
      </c>
      <c r="J204" s="1310">
        <v>11.659600000000001</v>
      </c>
    </row>
    <row r="205" spans="2:10">
      <c r="B205" s="1307" t="s">
        <v>681</v>
      </c>
      <c r="C205" s="1308">
        <v>2015</v>
      </c>
      <c r="D205" s="1307">
        <v>-1194000</v>
      </c>
      <c r="E205" s="1309">
        <v>0</v>
      </c>
      <c r="F205" s="1310">
        <v>0</v>
      </c>
      <c r="G205" s="1307">
        <v>-85.789999999999992</v>
      </c>
      <c r="H205" s="1309">
        <v>0.54659999999999997</v>
      </c>
      <c r="I205" s="1309">
        <v>-1.8422E-3</v>
      </c>
      <c r="J205" s="1310">
        <v>-70.099999999999994</v>
      </c>
    </row>
    <row r="206" spans="2:10">
      <c r="B206" s="1307" t="s">
        <v>682</v>
      </c>
      <c r="C206" s="1308">
        <v>2015</v>
      </c>
      <c r="D206" s="1307">
        <v>2038000</v>
      </c>
      <c r="E206" s="1309">
        <v>1688000</v>
      </c>
      <c r="F206" s="1310">
        <v>38920</v>
      </c>
      <c r="G206" s="1307">
        <v>180.61</v>
      </c>
      <c r="H206" s="1309">
        <v>0.25748300000000002</v>
      </c>
      <c r="I206" s="1309">
        <v>2.7356999999999998E-3</v>
      </c>
      <c r="J206" s="1310">
        <v>187.32</v>
      </c>
    </row>
    <row r="207" spans="2:10">
      <c r="B207" s="1307" t="s">
        <v>697</v>
      </c>
      <c r="C207" s="1308">
        <v>2015</v>
      </c>
      <c r="D207" s="1307">
        <v>2038000</v>
      </c>
      <c r="E207" s="1309">
        <v>1688000</v>
      </c>
      <c r="F207" s="1310">
        <v>38920</v>
      </c>
      <c r="G207" s="1307">
        <v>180.61</v>
      </c>
      <c r="H207" s="1309">
        <v>0.25748300000000002</v>
      </c>
      <c r="I207" s="1309">
        <v>2.7356999999999998E-3</v>
      </c>
      <c r="J207" s="1310">
        <v>187.32</v>
      </c>
    </row>
    <row r="208" spans="2:10">
      <c r="B208" s="1307" t="s">
        <v>683</v>
      </c>
      <c r="C208" s="1308">
        <v>2015</v>
      </c>
      <c r="D208" s="1307">
        <v>2038000</v>
      </c>
      <c r="E208" s="1309">
        <v>1688000</v>
      </c>
      <c r="F208" s="1310">
        <v>38920</v>
      </c>
      <c r="G208" s="1307">
        <v>180.61</v>
      </c>
      <c r="H208" s="1309">
        <v>0.25748300000000002</v>
      </c>
      <c r="I208" s="1309">
        <v>2.7356999999999998E-3</v>
      </c>
      <c r="J208" s="1310">
        <v>187.32</v>
      </c>
    </row>
    <row r="209" spans="2:10">
      <c r="B209" s="1307" t="s">
        <v>1083</v>
      </c>
      <c r="C209" s="1308">
        <v>2015</v>
      </c>
      <c r="D209" s="1307">
        <v>1022000</v>
      </c>
      <c r="E209" s="1309">
        <v>1021000</v>
      </c>
      <c r="F209" s="1310">
        <v>15590</v>
      </c>
      <c r="G209" s="1307">
        <v>1.8048999999999999</v>
      </c>
      <c r="H209" s="1309">
        <v>0.14106285999999998</v>
      </c>
      <c r="I209" s="1309">
        <v>3.4603000000000001E-5</v>
      </c>
      <c r="J209" s="1310">
        <v>6.0683999999999996</v>
      </c>
    </row>
    <row r="210" spans="2:10">
      <c r="B210" s="1307" t="s">
        <v>715</v>
      </c>
      <c r="C210" s="1308">
        <v>2015</v>
      </c>
      <c r="D210" s="1307">
        <v>1022000</v>
      </c>
      <c r="E210" s="1309">
        <v>1021000</v>
      </c>
      <c r="F210" s="1310">
        <v>15590</v>
      </c>
      <c r="G210" s="1307">
        <v>1.8048999999999999</v>
      </c>
      <c r="H210" s="1309">
        <v>0.14106285999999998</v>
      </c>
      <c r="I210" s="1309">
        <v>3.4603000000000001E-5</v>
      </c>
      <c r="J210" s="1310">
        <v>6.0683999999999996</v>
      </c>
    </row>
    <row r="211" spans="2:10">
      <c r="B211" s="1307" t="s">
        <v>716</v>
      </c>
      <c r="C211" s="1308">
        <v>2015</v>
      </c>
      <c r="D211" s="1307">
        <v>1022000</v>
      </c>
      <c r="E211" s="1309">
        <v>1021000</v>
      </c>
      <c r="F211" s="1310">
        <v>15590</v>
      </c>
      <c r="G211" s="1307">
        <v>1.8048999999999999</v>
      </c>
      <c r="H211" s="1309">
        <v>0.14106285999999998</v>
      </c>
      <c r="I211" s="1309">
        <v>3.4603000000000001E-5</v>
      </c>
      <c r="J211" s="1310">
        <v>6.0683999999999996</v>
      </c>
    </row>
    <row r="212" spans="2:10">
      <c r="B212" s="1307" t="s">
        <v>908</v>
      </c>
      <c r="C212" s="1308">
        <v>2015</v>
      </c>
      <c r="D212" s="1307">
        <v>1210000</v>
      </c>
      <c r="E212" s="1309">
        <v>1204000</v>
      </c>
      <c r="F212" s="1310">
        <v>1053000</v>
      </c>
      <c r="G212" s="1307">
        <v>18.527999999999999</v>
      </c>
      <c r="H212" s="1309">
        <v>0.16494200000000001</v>
      </c>
      <c r="I212" s="1309">
        <v>2.9771000000000002E-4</v>
      </c>
      <c r="J212" s="1310">
        <v>23.579000000000001</v>
      </c>
    </row>
    <row r="213" spans="2:10">
      <c r="B213" s="1307" t="s">
        <v>906</v>
      </c>
      <c r="C213" s="1308">
        <v>2015</v>
      </c>
      <c r="D213" s="1307">
        <v>1642000</v>
      </c>
      <c r="E213" s="1309">
        <v>724000</v>
      </c>
      <c r="F213" s="1310">
        <v>290600</v>
      </c>
      <c r="G213" s="1307">
        <v>41.042999999999999</v>
      </c>
      <c r="H213" s="1309">
        <v>0.1162</v>
      </c>
      <c r="I213" s="1309">
        <v>2.7609999999999999E-2</v>
      </c>
      <c r="J213" s="1310">
        <v>48.36</v>
      </c>
    </row>
    <row r="214" spans="2:10">
      <c r="B214" s="1307" t="s">
        <v>909</v>
      </c>
      <c r="C214" s="1308">
        <v>2015</v>
      </c>
      <c r="D214" s="1307">
        <v>1252000</v>
      </c>
      <c r="E214" s="1309">
        <v>1245000</v>
      </c>
      <c r="F214" s="1310">
        <v>1081000</v>
      </c>
      <c r="G214" s="1307">
        <v>24.462</v>
      </c>
      <c r="H214" s="1309">
        <v>0.17067199999999999</v>
      </c>
      <c r="I214" s="1309">
        <v>3.8633E-4</v>
      </c>
      <c r="J214" s="1310">
        <v>29.811999999999998</v>
      </c>
    </row>
    <row r="215" spans="2:10">
      <c r="B215" s="1307" t="s">
        <v>1077</v>
      </c>
      <c r="C215" s="1308">
        <v>2015</v>
      </c>
      <c r="D215" s="1307">
        <v>1191000</v>
      </c>
      <c r="E215" s="1309">
        <v>53390</v>
      </c>
      <c r="F215" s="1310">
        <v>29910</v>
      </c>
      <c r="G215" s="1307">
        <v>3.9701</v>
      </c>
      <c r="H215" s="1309">
        <v>8.6864999999999998E-3</v>
      </c>
      <c r="I215" s="1309">
        <v>-3.8232459999999998E-3</v>
      </c>
      <c r="J215" s="1310">
        <v>3.2326999999999999</v>
      </c>
    </row>
    <row r="216" spans="2:10">
      <c r="B216" s="1307" t="s">
        <v>814</v>
      </c>
      <c r="C216" s="1308">
        <v>2015</v>
      </c>
      <c r="D216" s="1307">
        <v>1191000</v>
      </c>
      <c r="E216" s="1309">
        <v>53390</v>
      </c>
      <c r="F216" s="1310">
        <v>29910</v>
      </c>
      <c r="G216" s="1307">
        <v>3.9701</v>
      </c>
      <c r="H216" s="1309">
        <v>8.6864999999999998E-3</v>
      </c>
      <c r="I216" s="1309">
        <v>-3.8232459999999998E-3</v>
      </c>
      <c r="J216" s="1310">
        <v>3.2326999999999999</v>
      </c>
    </row>
    <row r="217" spans="2:10">
      <c r="B217" s="1307" t="s">
        <v>823</v>
      </c>
      <c r="C217" s="1308">
        <v>2015</v>
      </c>
      <c r="D217" s="1307">
        <v>1191000</v>
      </c>
      <c r="E217" s="1309">
        <v>53390</v>
      </c>
      <c r="F217" s="1310">
        <v>29910</v>
      </c>
      <c r="G217" s="1307">
        <v>3.9701</v>
      </c>
      <c r="H217" s="1309">
        <v>8.6864999999999998E-3</v>
      </c>
      <c r="I217" s="1309">
        <v>-3.8232459999999998E-3</v>
      </c>
      <c r="J217" s="1310">
        <v>3.2326999999999999</v>
      </c>
    </row>
    <row r="218" spans="2:10" ht="13.5" thickBot="1">
      <c r="B218" s="1311" t="s">
        <v>1084</v>
      </c>
      <c r="C218" s="1312">
        <v>2015</v>
      </c>
      <c r="D218" s="1311">
        <v>1385000</v>
      </c>
      <c r="E218" s="1313">
        <v>1384000</v>
      </c>
      <c r="F218" s="1314">
        <v>5105</v>
      </c>
      <c r="G218" s="1311">
        <v>78.707400000000007</v>
      </c>
      <c r="H218" s="1313">
        <v>0.27494000000000002</v>
      </c>
      <c r="I218" s="1313">
        <v>2.3330999999999998E-3</v>
      </c>
      <c r="J218" s="1314">
        <v>87.730800000000002</v>
      </c>
    </row>
    <row r="219" spans="2:10">
      <c r="B219" s="1303" t="s">
        <v>1081</v>
      </c>
      <c r="C219" s="1304">
        <v>2020</v>
      </c>
      <c r="D219" s="1303">
        <v>1093000</v>
      </c>
      <c r="E219" s="1305">
        <v>1092000</v>
      </c>
      <c r="F219" s="1306">
        <v>3993</v>
      </c>
      <c r="G219" s="1303">
        <v>5.7995000000000001</v>
      </c>
      <c r="H219" s="1305">
        <v>0.18462100000000001</v>
      </c>
      <c r="I219" s="1305">
        <v>8.6209999999999998E-4</v>
      </c>
      <c r="J219" s="1306">
        <v>11.6227</v>
      </c>
    </row>
    <row r="220" spans="2:10">
      <c r="B220" s="1307" t="s">
        <v>282</v>
      </c>
      <c r="C220" s="1308">
        <v>2020</v>
      </c>
      <c r="D220" s="1307">
        <v>1093000</v>
      </c>
      <c r="E220" s="1309">
        <v>1092000</v>
      </c>
      <c r="F220" s="1310">
        <v>3993</v>
      </c>
      <c r="G220" s="1307">
        <v>5.7995000000000001</v>
      </c>
      <c r="H220" s="1309">
        <v>0.18462100000000001</v>
      </c>
      <c r="I220" s="1309">
        <v>8.6209999999999998E-4</v>
      </c>
      <c r="J220" s="1310">
        <v>11.6227</v>
      </c>
    </row>
    <row r="221" spans="2:10">
      <c r="B221" s="1307" t="s">
        <v>1082</v>
      </c>
      <c r="C221" s="1308">
        <v>2020</v>
      </c>
      <c r="D221" s="1307">
        <v>1093000</v>
      </c>
      <c r="E221" s="1309">
        <v>1092000</v>
      </c>
      <c r="F221" s="1310">
        <v>3993</v>
      </c>
      <c r="G221" s="1307">
        <v>5.7995000000000001</v>
      </c>
      <c r="H221" s="1309">
        <v>0.18462100000000001</v>
      </c>
      <c r="I221" s="1309">
        <v>8.6209999999999998E-4</v>
      </c>
      <c r="J221" s="1310">
        <v>11.6227</v>
      </c>
    </row>
    <row r="222" spans="2:10">
      <c r="B222" s="1307" t="s">
        <v>680</v>
      </c>
      <c r="C222" s="1308">
        <v>2020</v>
      </c>
      <c r="D222" s="1307">
        <v>1093000</v>
      </c>
      <c r="E222" s="1309">
        <v>1092000</v>
      </c>
      <c r="F222" s="1310">
        <v>3993</v>
      </c>
      <c r="G222" s="1307">
        <v>5.7995000000000001</v>
      </c>
      <c r="H222" s="1309">
        <v>0.18462100000000001</v>
      </c>
      <c r="I222" s="1309">
        <v>8.6209999999999998E-4</v>
      </c>
      <c r="J222" s="1310">
        <v>11.6227</v>
      </c>
    </row>
    <row r="223" spans="2:10">
      <c r="B223" s="1307" t="s">
        <v>681</v>
      </c>
      <c r="C223" s="1308">
        <v>2020</v>
      </c>
      <c r="D223" s="1307">
        <v>-1185000</v>
      </c>
      <c r="E223" s="1309">
        <v>0</v>
      </c>
      <c r="F223" s="1310">
        <v>0</v>
      </c>
      <c r="G223" s="1307">
        <v>-85.800000000000011</v>
      </c>
      <c r="H223" s="1309">
        <v>0.54700000000000004</v>
      </c>
      <c r="I223" s="1309">
        <v>-1.8286999999999999E-3</v>
      </c>
      <c r="J223" s="1310">
        <v>-70.08</v>
      </c>
    </row>
    <row r="224" spans="2:10">
      <c r="B224" s="1307" t="s">
        <v>682</v>
      </c>
      <c r="C224" s="1308">
        <v>2020</v>
      </c>
      <c r="D224" s="1307">
        <v>1866000</v>
      </c>
      <c r="E224" s="1309">
        <v>1484000</v>
      </c>
      <c r="F224" s="1310">
        <v>26490</v>
      </c>
      <c r="G224" s="1307">
        <v>161.61000000000001</v>
      </c>
      <c r="H224" s="1309">
        <v>0.22423899999999999</v>
      </c>
      <c r="I224" s="1309">
        <v>2.4153E-3</v>
      </c>
      <c r="J224" s="1310">
        <v>168.06</v>
      </c>
    </row>
    <row r="225" spans="2:10">
      <c r="B225" s="1307" t="s">
        <v>697</v>
      </c>
      <c r="C225" s="1308">
        <v>2020</v>
      </c>
      <c r="D225" s="1307">
        <v>1866000</v>
      </c>
      <c r="E225" s="1309">
        <v>1484000</v>
      </c>
      <c r="F225" s="1310">
        <v>26490</v>
      </c>
      <c r="G225" s="1307">
        <v>161.61000000000001</v>
      </c>
      <c r="H225" s="1309">
        <v>0.22423899999999999</v>
      </c>
      <c r="I225" s="1309">
        <v>2.4153E-3</v>
      </c>
      <c r="J225" s="1310">
        <v>168.06</v>
      </c>
    </row>
    <row r="226" spans="2:10">
      <c r="B226" s="1307" t="s">
        <v>683</v>
      </c>
      <c r="C226" s="1308">
        <v>2020</v>
      </c>
      <c r="D226" s="1307">
        <v>1866000</v>
      </c>
      <c r="E226" s="1309">
        <v>1484000</v>
      </c>
      <c r="F226" s="1310">
        <v>26490</v>
      </c>
      <c r="G226" s="1307">
        <v>161.61000000000001</v>
      </c>
      <c r="H226" s="1309">
        <v>0.22423899999999999</v>
      </c>
      <c r="I226" s="1309">
        <v>2.4153E-3</v>
      </c>
      <c r="J226" s="1310">
        <v>168.06</v>
      </c>
    </row>
    <row r="227" spans="2:10">
      <c r="B227" s="1307" t="s">
        <v>1083</v>
      </c>
      <c r="C227" s="1308">
        <v>2020</v>
      </c>
      <c r="D227" s="1307">
        <v>1022000</v>
      </c>
      <c r="E227" s="1309">
        <v>1021000</v>
      </c>
      <c r="F227" s="1310">
        <v>15530</v>
      </c>
      <c r="G227" s="1307">
        <v>1.7706</v>
      </c>
      <c r="H227" s="1309">
        <v>0.14096106</v>
      </c>
      <c r="I227" s="1309">
        <v>3.4058000000000005E-5</v>
      </c>
      <c r="J227" s="1310">
        <v>6.0322999999999993</v>
      </c>
    </row>
    <row r="228" spans="2:10">
      <c r="B228" s="1307" t="s">
        <v>715</v>
      </c>
      <c r="C228" s="1308">
        <v>2020</v>
      </c>
      <c r="D228" s="1307">
        <v>1022000</v>
      </c>
      <c r="E228" s="1309">
        <v>1021000</v>
      </c>
      <c r="F228" s="1310">
        <v>15530</v>
      </c>
      <c r="G228" s="1307">
        <v>1.7706</v>
      </c>
      <c r="H228" s="1309">
        <v>0.14096106</v>
      </c>
      <c r="I228" s="1309">
        <v>3.4058000000000005E-5</v>
      </c>
      <c r="J228" s="1310">
        <v>6.0322999999999993</v>
      </c>
    </row>
    <row r="229" spans="2:10">
      <c r="B229" s="1307" t="s">
        <v>716</v>
      </c>
      <c r="C229" s="1308">
        <v>2020</v>
      </c>
      <c r="D229" s="1307">
        <v>1022000</v>
      </c>
      <c r="E229" s="1309">
        <v>1021000</v>
      </c>
      <c r="F229" s="1310">
        <v>15530</v>
      </c>
      <c r="G229" s="1307">
        <v>1.7706</v>
      </c>
      <c r="H229" s="1309">
        <v>0.14096106</v>
      </c>
      <c r="I229" s="1309">
        <v>3.4058000000000005E-5</v>
      </c>
      <c r="J229" s="1310">
        <v>6.0322999999999993</v>
      </c>
    </row>
    <row r="230" spans="2:10">
      <c r="B230" s="1307" t="s">
        <v>908</v>
      </c>
      <c r="C230" s="1308">
        <v>2020</v>
      </c>
      <c r="D230" s="1307">
        <v>1211000</v>
      </c>
      <c r="E230" s="1309">
        <v>1205000</v>
      </c>
      <c r="F230" s="1310">
        <v>1052000</v>
      </c>
      <c r="G230" s="1307">
        <v>18.605999999999998</v>
      </c>
      <c r="H230" s="1309">
        <v>0.162991</v>
      </c>
      <c r="I230" s="1309">
        <v>3.0018999999999998E-4</v>
      </c>
      <c r="J230" s="1310">
        <v>23.607999999999997</v>
      </c>
    </row>
    <row r="231" spans="2:10">
      <c r="B231" s="1307" t="s">
        <v>906</v>
      </c>
      <c r="C231" s="1308">
        <v>2020</v>
      </c>
      <c r="D231" s="1307">
        <v>1591000</v>
      </c>
      <c r="E231" s="1309">
        <v>703100</v>
      </c>
      <c r="F231" s="1310">
        <v>286400</v>
      </c>
      <c r="G231" s="1307">
        <v>39.366999999999997</v>
      </c>
      <c r="H231" s="1309">
        <v>0.11210000000000001</v>
      </c>
      <c r="I231" s="1309">
        <v>2.5360000000000001E-2</v>
      </c>
      <c r="J231" s="1310">
        <v>46.16</v>
      </c>
    </row>
    <row r="232" spans="2:10">
      <c r="B232" s="1307" t="s">
        <v>909</v>
      </c>
      <c r="C232" s="1308">
        <v>2020</v>
      </c>
      <c r="D232" s="1307">
        <v>1252000</v>
      </c>
      <c r="E232" s="1309">
        <v>1245000</v>
      </c>
      <c r="F232" s="1310">
        <v>1078000</v>
      </c>
      <c r="G232" s="1307">
        <v>24.533999999999999</v>
      </c>
      <c r="H232" s="1309">
        <v>0.16861900000000002</v>
      </c>
      <c r="I232" s="1309">
        <v>3.8906999999999999E-4</v>
      </c>
      <c r="J232" s="1310">
        <v>29.833999999999996</v>
      </c>
    </row>
    <row r="233" spans="2:10">
      <c r="B233" s="1307" t="s">
        <v>1077</v>
      </c>
      <c r="C233" s="1308">
        <v>2020</v>
      </c>
      <c r="D233" s="1307">
        <v>1190000</v>
      </c>
      <c r="E233" s="1309">
        <v>52190</v>
      </c>
      <c r="F233" s="1310">
        <v>29260</v>
      </c>
      <c r="G233" s="1307">
        <v>3.8701999999999996</v>
      </c>
      <c r="H233" s="1309">
        <v>8.4535000000000009E-3</v>
      </c>
      <c r="I233" s="1309">
        <v>-3.824488E-3</v>
      </c>
      <c r="J233" s="1310">
        <v>3.1251000000000002</v>
      </c>
    </row>
    <row r="234" spans="2:10">
      <c r="B234" s="1307" t="s">
        <v>814</v>
      </c>
      <c r="C234" s="1308">
        <v>2020</v>
      </c>
      <c r="D234" s="1307">
        <v>1190000</v>
      </c>
      <c r="E234" s="1309">
        <v>52190</v>
      </c>
      <c r="F234" s="1310">
        <v>29260</v>
      </c>
      <c r="G234" s="1307">
        <v>3.8701999999999996</v>
      </c>
      <c r="H234" s="1309">
        <v>8.4535000000000009E-3</v>
      </c>
      <c r="I234" s="1309">
        <v>-3.824488E-3</v>
      </c>
      <c r="J234" s="1310">
        <v>3.1251000000000002</v>
      </c>
    </row>
    <row r="235" spans="2:10">
      <c r="B235" s="1307" t="s">
        <v>823</v>
      </c>
      <c r="C235" s="1308">
        <v>2020</v>
      </c>
      <c r="D235" s="1307">
        <v>1190000</v>
      </c>
      <c r="E235" s="1309">
        <v>52190</v>
      </c>
      <c r="F235" s="1310">
        <v>29260</v>
      </c>
      <c r="G235" s="1307">
        <v>3.8701999999999996</v>
      </c>
      <c r="H235" s="1309">
        <v>8.4535000000000009E-3</v>
      </c>
      <c r="I235" s="1309">
        <v>-3.824488E-3</v>
      </c>
      <c r="J235" s="1310">
        <v>3.1251000000000002</v>
      </c>
    </row>
    <row r="236" spans="2:10" ht="13.5" thickBot="1">
      <c r="B236" s="1311" t="s">
        <v>1084</v>
      </c>
      <c r="C236" s="1312">
        <v>2020</v>
      </c>
      <c r="D236" s="1311">
        <v>1384000</v>
      </c>
      <c r="E236" s="1313">
        <v>1384000</v>
      </c>
      <c r="F236" s="1314">
        <v>5066</v>
      </c>
      <c r="G236" s="1311">
        <v>78.656899999999993</v>
      </c>
      <c r="H236" s="1313">
        <v>0.27494000000000002</v>
      </c>
      <c r="I236" s="1313">
        <v>2.3319E-3</v>
      </c>
      <c r="J236" s="1314">
        <v>87.680599999999998</v>
      </c>
    </row>
    <row r="237" spans="2:10">
      <c r="B237" s="1303" t="s">
        <v>1081</v>
      </c>
      <c r="C237" s="1304">
        <v>2025</v>
      </c>
      <c r="D237" s="1303">
        <v>1093000</v>
      </c>
      <c r="E237" s="1305">
        <v>1092000</v>
      </c>
      <c r="F237" s="1306">
        <v>3984</v>
      </c>
      <c r="G237" s="1303">
        <v>5.7702</v>
      </c>
      <c r="H237" s="1305">
        <v>0.18462100000000001</v>
      </c>
      <c r="I237" s="1305">
        <v>8.6159999999999991E-4</v>
      </c>
      <c r="J237" s="1306">
        <v>11.5953</v>
      </c>
    </row>
    <row r="238" spans="2:10">
      <c r="B238" s="1307" t="s">
        <v>282</v>
      </c>
      <c r="C238" s="1308">
        <v>2025</v>
      </c>
      <c r="D238" s="1307">
        <v>1093000</v>
      </c>
      <c r="E238" s="1309">
        <v>1092000</v>
      </c>
      <c r="F238" s="1310">
        <v>3984</v>
      </c>
      <c r="G238" s="1307">
        <v>5.7702</v>
      </c>
      <c r="H238" s="1309">
        <v>0.18462100000000001</v>
      </c>
      <c r="I238" s="1309">
        <v>8.6159999999999991E-4</v>
      </c>
      <c r="J238" s="1310">
        <v>11.5953</v>
      </c>
    </row>
    <row r="239" spans="2:10">
      <c r="B239" s="1307" t="s">
        <v>1082</v>
      </c>
      <c r="C239" s="1308">
        <v>2025</v>
      </c>
      <c r="D239" s="1307">
        <v>1093000</v>
      </c>
      <c r="E239" s="1309">
        <v>1092000</v>
      </c>
      <c r="F239" s="1310">
        <v>3984</v>
      </c>
      <c r="G239" s="1307">
        <v>5.7702</v>
      </c>
      <c r="H239" s="1309">
        <v>0.18462100000000001</v>
      </c>
      <c r="I239" s="1309">
        <v>8.6159999999999991E-4</v>
      </c>
      <c r="J239" s="1310">
        <v>11.5953</v>
      </c>
    </row>
    <row r="240" spans="2:10">
      <c r="B240" s="1307" t="s">
        <v>680</v>
      </c>
      <c r="C240" s="1308">
        <v>2025</v>
      </c>
      <c r="D240" s="1307">
        <v>1093000</v>
      </c>
      <c r="E240" s="1309">
        <v>1092000</v>
      </c>
      <c r="F240" s="1310">
        <v>3984</v>
      </c>
      <c r="G240" s="1307">
        <v>5.7702</v>
      </c>
      <c r="H240" s="1309">
        <v>0.18462100000000001</v>
      </c>
      <c r="I240" s="1309">
        <v>8.6159999999999991E-4</v>
      </c>
      <c r="J240" s="1310">
        <v>11.5953</v>
      </c>
    </row>
    <row r="241" spans="2:10">
      <c r="B241" s="1307" t="s">
        <v>681</v>
      </c>
      <c r="C241" s="1308">
        <v>2025</v>
      </c>
      <c r="D241" s="1307">
        <v>-1185000</v>
      </c>
      <c r="E241" s="1309">
        <v>0</v>
      </c>
      <c r="F241" s="1310">
        <v>0</v>
      </c>
      <c r="G241" s="1307">
        <v>-85.800000000000011</v>
      </c>
      <c r="H241" s="1309">
        <v>0.54700000000000004</v>
      </c>
      <c r="I241" s="1309">
        <v>-1.8286999999999999E-3</v>
      </c>
      <c r="J241" s="1310">
        <v>-70.08</v>
      </c>
    </row>
    <row r="242" spans="2:10">
      <c r="B242" s="1307" t="s">
        <v>682</v>
      </c>
      <c r="C242" s="1308">
        <v>2025</v>
      </c>
      <c r="D242" s="1307">
        <v>1787000</v>
      </c>
      <c r="E242" s="1309">
        <v>1356000</v>
      </c>
      <c r="F242" s="1310">
        <v>23200</v>
      </c>
      <c r="G242" s="1307">
        <v>145.11000000000001</v>
      </c>
      <c r="H242" s="1309">
        <v>0.20658799999999999</v>
      </c>
      <c r="I242" s="1309">
        <v>2.1538999999999998E-3</v>
      </c>
      <c r="J242" s="1310">
        <v>150.89999999999998</v>
      </c>
    </row>
    <row r="243" spans="2:10">
      <c r="B243" s="1307" t="s">
        <v>697</v>
      </c>
      <c r="C243" s="1308">
        <v>2025</v>
      </c>
      <c r="D243" s="1307">
        <v>1787000</v>
      </c>
      <c r="E243" s="1309">
        <v>1356000</v>
      </c>
      <c r="F243" s="1310">
        <v>23200</v>
      </c>
      <c r="G243" s="1307">
        <v>145.11000000000001</v>
      </c>
      <c r="H243" s="1309">
        <v>0.20658799999999999</v>
      </c>
      <c r="I243" s="1309">
        <v>2.1538999999999998E-3</v>
      </c>
      <c r="J243" s="1310">
        <v>150.89999999999998</v>
      </c>
    </row>
    <row r="244" spans="2:10">
      <c r="B244" s="1307" t="s">
        <v>683</v>
      </c>
      <c r="C244" s="1308">
        <v>2025</v>
      </c>
      <c r="D244" s="1307">
        <v>1787000</v>
      </c>
      <c r="E244" s="1309">
        <v>1356000</v>
      </c>
      <c r="F244" s="1310">
        <v>23200</v>
      </c>
      <c r="G244" s="1307">
        <v>145.11000000000001</v>
      </c>
      <c r="H244" s="1309">
        <v>0.20658799999999999</v>
      </c>
      <c r="I244" s="1309">
        <v>2.1538999999999998E-3</v>
      </c>
      <c r="J244" s="1310">
        <v>150.89999999999998</v>
      </c>
    </row>
    <row r="245" spans="2:10">
      <c r="B245" s="1307" t="s">
        <v>1083</v>
      </c>
      <c r="C245" s="1308">
        <v>2025</v>
      </c>
      <c r="D245" s="1307">
        <v>1022000</v>
      </c>
      <c r="E245" s="1309">
        <v>1021000</v>
      </c>
      <c r="F245" s="1310">
        <v>15530</v>
      </c>
      <c r="G245" s="1307">
        <v>1.7374000000000001</v>
      </c>
      <c r="H245" s="1309">
        <v>0.14096106999999999</v>
      </c>
      <c r="I245" s="1309">
        <v>3.3522000000000002E-5</v>
      </c>
      <c r="J245" s="1310">
        <v>5.9969999999999999</v>
      </c>
    </row>
    <row r="246" spans="2:10">
      <c r="B246" s="1307" t="s">
        <v>715</v>
      </c>
      <c r="C246" s="1308">
        <v>2025</v>
      </c>
      <c r="D246" s="1307">
        <v>1022000</v>
      </c>
      <c r="E246" s="1309">
        <v>1021000</v>
      </c>
      <c r="F246" s="1310">
        <v>15530</v>
      </c>
      <c r="G246" s="1307">
        <v>1.7374000000000001</v>
      </c>
      <c r="H246" s="1309">
        <v>0.14096106999999999</v>
      </c>
      <c r="I246" s="1309">
        <v>3.3522000000000002E-5</v>
      </c>
      <c r="J246" s="1310">
        <v>5.9969999999999999</v>
      </c>
    </row>
    <row r="247" spans="2:10">
      <c r="B247" s="1307" t="s">
        <v>716</v>
      </c>
      <c r="C247" s="1308">
        <v>2025</v>
      </c>
      <c r="D247" s="1307">
        <v>1022000</v>
      </c>
      <c r="E247" s="1309">
        <v>1021000</v>
      </c>
      <c r="F247" s="1310">
        <v>15530</v>
      </c>
      <c r="G247" s="1307">
        <v>1.7374000000000001</v>
      </c>
      <c r="H247" s="1309">
        <v>0.14096106999999999</v>
      </c>
      <c r="I247" s="1309">
        <v>3.3522000000000002E-5</v>
      </c>
      <c r="J247" s="1310">
        <v>5.9969999999999999</v>
      </c>
    </row>
    <row r="248" spans="2:10">
      <c r="B248" s="1307" t="s">
        <v>908</v>
      </c>
      <c r="C248" s="1308">
        <v>2025</v>
      </c>
      <c r="D248" s="1307">
        <v>1210000</v>
      </c>
      <c r="E248" s="1309">
        <v>1203000</v>
      </c>
      <c r="F248" s="1310">
        <v>1052000</v>
      </c>
      <c r="G248" s="1307">
        <v>18.323</v>
      </c>
      <c r="H248" s="1309">
        <v>0.16309799999999999</v>
      </c>
      <c r="I248" s="1309">
        <v>2.9605000000000001E-4</v>
      </c>
      <c r="J248" s="1310">
        <v>23.334</v>
      </c>
    </row>
    <row r="249" spans="2:10">
      <c r="B249" s="1307" t="s">
        <v>906</v>
      </c>
      <c r="C249" s="1308">
        <v>2025</v>
      </c>
      <c r="D249" s="1307">
        <v>1588000</v>
      </c>
      <c r="E249" s="1309">
        <v>698600</v>
      </c>
      <c r="F249" s="1310">
        <v>286300</v>
      </c>
      <c r="G249" s="1307">
        <v>38.775999999999996</v>
      </c>
      <c r="H249" s="1309">
        <v>0.1116</v>
      </c>
      <c r="I249" s="1309">
        <v>2.5360000000000001E-2</v>
      </c>
      <c r="J249" s="1310">
        <v>45.71</v>
      </c>
    </row>
    <row r="250" spans="2:10">
      <c r="B250" s="1307" t="s">
        <v>909</v>
      </c>
      <c r="C250" s="1308">
        <v>2025</v>
      </c>
      <c r="D250" s="1307">
        <v>1251000</v>
      </c>
      <c r="E250" s="1309">
        <v>1243000</v>
      </c>
      <c r="F250" s="1310">
        <v>1078000</v>
      </c>
      <c r="G250" s="1307">
        <v>24.223999999999997</v>
      </c>
      <c r="H250" s="1309">
        <v>0.16872600000000001</v>
      </c>
      <c r="I250" s="1309">
        <v>3.8451000000000002E-4</v>
      </c>
      <c r="J250" s="1310">
        <v>29.523000000000003</v>
      </c>
    </row>
    <row r="251" spans="2:10">
      <c r="B251" s="1307" t="s">
        <v>1077</v>
      </c>
      <c r="C251" s="1308">
        <v>2025</v>
      </c>
      <c r="D251" s="1307">
        <v>1190000</v>
      </c>
      <c r="E251" s="1309">
        <v>51790</v>
      </c>
      <c r="F251" s="1310">
        <v>29250</v>
      </c>
      <c r="G251" s="1307">
        <v>3.8201000000000001</v>
      </c>
      <c r="H251" s="1309">
        <v>8.410599999999999E-3</v>
      </c>
      <c r="I251" s="1309">
        <v>-3.8247120000000001E-3</v>
      </c>
      <c r="J251" s="1310">
        <v>3.0718000000000001</v>
      </c>
    </row>
    <row r="252" spans="2:10">
      <c r="B252" s="1307" t="s">
        <v>814</v>
      </c>
      <c r="C252" s="1308">
        <v>2025</v>
      </c>
      <c r="D252" s="1307">
        <v>1190000</v>
      </c>
      <c r="E252" s="1309">
        <v>51790</v>
      </c>
      <c r="F252" s="1310">
        <v>29250</v>
      </c>
      <c r="G252" s="1307">
        <v>3.8201000000000001</v>
      </c>
      <c r="H252" s="1309">
        <v>8.410599999999999E-3</v>
      </c>
      <c r="I252" s="1309">
        <v>-3.8247120000000001E-3</v>
      </c>
      <c r="J252" s="1310">
        <v>3.0718000000000001</v>
      </c>
    </row>
    <row r="253" spans="2:10">
      <c r="B253" s="1307" t="s">
        <v>823</v>
      </c>
      <c r="C253" s="1308">
        <v>2025</v>
      </c>
      <c r="D253" s="1307">
        <v>1190000</v>
      </c>
      <c r="E253" s="1309">
        <v>51790</v>
      </c>
      <c r="F253" s="1310">
        <v>29250</v>
      </c>
      <c r="G253" s="1307">
        <v>3.8201000000000001</v>
      </c>
      <c r="H253" s="1309">
        <v>8.410599999999999E-3</v>
      </c>
      <c r="I253" s="1309">
        <v>-3.8247120000000001E-3</v>
      </c>
      <c r="J253" s="1310">
        <v>3.0718000000000001</v>
      </c>
    </row>
    <row r="254" spans="2:10" ht="13.5" thickBot="1">
      <c r="B254" s="1311" t="s">
        <v>1084</v>
      </c>
      <c r="C254" s="1312">
        <v>2025</v>
      </c>
      <c r="D254" s="1311">
        <v>1384000</v>
      </c>
      <c r="E254" s="1313">
        <v>1383000</v>
      </c>
      <c r="F254" s="1314">
        <v>5053</v>
      </c>
      <c r="G254" s="1311">
        <v>78.616100000000003</v>
      </c>
      <c r="H254" s="1313">
        <v>0.27494000000000002</v>
      </c>
      <c r="I254" s="1313">
        <v>2.3316999999999999E-3</v>
      </c>
      <c r="J254" s="1314">
        <v>87.639700000000005</v>
      </c>
    </row>
    <row r="255" spans="2:10">
      <c r="B255" s="1303" t="s">
        <v>1081</v>
      </c>
      <c r="C255" s="1304">
        <v>2030</v>
      </c>
      <c r="D255" s="1303">
        <v>1092000</v>
      </c>
      <c r="E255" s="1305">
        <v>1092000</v>
      </c>
      <c r="F255" s="1306">
        <v>3981</v>
      </c>
      <c r="G255" s="1303">
        <v>5.7552000000000003</v>
      </c>
      <c r="H255" s="1305">
        <v>0.18462100000000001</v>
      </c>
      <c r="I255" s="1305">
        <v>8.6129999999999996E-4</v>
      </c>
      <c r="J255" s="1306">
        <v>11.5802</v>
      </c>
    </row>
    <row r="256" spans="2:10">
      <c r="B256" s="1307" t="s">
        <v>282</v>
      </c>
      <c r="C256" s="1308">
        <v>2030</v>
      </c>
      <c r="D256" s="1307">
        <v>1092000</v>
      </c>
      <c r="E256" s="1309">
        <v>1092000</v>
      </c>
      <c r="F256" s="1310">
        <v>3981</v>
      </c>
      <c r="G256" s="1307">
        <v>5.7552000000000003</v>
      </c>
      <c r="H256" s="1309">
        <v>0.18462100000000001</v>
      </c>
      <c r="I256" s="1309">
        <v>8.6129999999999996E-4</v>
      </c>
      <c r="J256" s="1310">
        <v>11.5802</v>
      </c>
    </row>
    <row r="257" spans="2:10">
      <c r="B257" s="1307" t="s">
        <v>1082</v>
      </c>
      <c r="C257" s="1308">
        <v>2030</v>
      </c>
      <c r="D257" s="1307">
        <v>1092000</v>
      </c>
      <c r="E257" s="1309">
        <v>1092000</v>
      </c>
      <c r="F257" s="1310">
        <v>3981</v>
      </c>
      <c r="G257" s="1307">
        <v>5.7552000000000003</v>
      </c>
      <c r="H257" s="1309">
        <v>0.18462100000000001</v>
      </c>
      <c r="I257" s="1309">
        <v>8.6129999999999996E-4</v>
      </c>
      <c r="J257" s="1310">
        <v>11.5802</v>
      </c>
    </row>
    <row r="258" spans="2:10">
      <c r="B258" s="1307" t="s">
        <v>680</v>
      </c>
      <c r="C258" s="1308">
        <v>2030</v>
      </c>
      <c r="D258" s="1307">
        <v>1092000</v>
      </c>
      <c r="E258" s="1309">
        <v>1092000</v>
      </c>
      <c r="F258" s="1310">
        <v>3981</v>
      </c>
      <c r="G258" s="1307">
        <v>5.7552000000000003</v>
      </c>
      <c r="H258" s="1309">
        <v>0.18462100000000001</v>
      </c>
      <c r="I258" s="1309">
        <v>8.6129999999999996E-4</v>
      </c>
      <c r="J258" s="1310">
        <v>11.5802</v>
      </c>
    </row>
    <row r="259" spans="2:10">
      <c r="B259" s="1307" t="s">
        <v>681</v>
      </c>
      <c r="C259" s="1308">
        <v>2030</v>
      </c>
      <c r="D259" s="1307">
        <v>-1185000</v>
      </c>
      <c r="E259" s="1309">
        <v>0</v>
      </c>
      <c r="F259" s="1310">
        <v>0</v>
      </c>
      <c r="G259" s="1307">
        <v>-85.800000000000011</v>
      </c>
      <c r="H259" s="1309">
        <v>0.54700000000000004</v>
      </c>
      <c r="I259" s="1309">
        <v>-1.8286999999999999E-3</v>
      </c>
      <c r="J259" s="1310">
        <v>-70.08</v>
      </c>
    </row>
    <row r="260" spans="2:10">
      <c r="B260" s="1307" t="s">
        <v>682</v>
      </c>
      <c r="C260" s="1308">
        <v>2030</v>
      </c>
      <c r="D260" s="1307">
        <v>1749000</v>
      </c>
      <c r="E260" s="1309">
        <v>1310000</v>
      </c>
      <c r="F260" s="1310">
        <v>19790</v>
      </c>
      <c r="G260" s="1307">
        <v>134.88</v>
      </c>
      <c r="H260" s="1309">
        <v>0.20275799999999999</v>
      </c>
      <c r="I260" s="1309">
        <v>1.9713E-3</v>
      </c>
      <c r="J260" s="1310">
        <v>140.09</v>
      </c>
    </row>
    <row r="261" spans="2:10">
      <c r="B261" s="1307" t="s">
        <v>697</v>
      </c>
      <c r="C261" s="1308">
        <v>2030</v>
      </c>
      <c r="D261" s="1307">
        <v>1749000</v>
      </c>
      <c r="E261" s="1309">
        <v>1310000</v>
      </c>
      <c r="F261" s="1310">
        <v>19790</v>
      </c>
      <c r="G261" s="1307">
        <v>134.88</v>
      </c>
      <c r="H261" s="1309">
        <v>0.20275799999999999</v>
      </c>
      <c r="I261" s="1309">
        <v>1.9713E-3</v>
      </c>
      <c r="J261" s="1310">
        <v>140.09</v>
      </c>
    </row>
    <row r="262" spans="2:10">
      <c r="B262" s="1307" t="s">
        <v>683</v>
      </c>
      <c r="C262" s="1308">
        <v>2030</v>
      </c>
      <c r="D262" s="1307">
        <v>1749000</v>
      </c>
      <c r="E262" s="1309">
        <v>1310000</v>
      </c>
      <c r="F262" s="1310">
        <v>19790</v>
      </c>
      <c r="G262" s="1307">
        <v>134.88</v>
      </c>
      <c r="H262" s="1309">
        <v>0.20275799999999999</v>
      </c>
      <c r="I262" s="1309">
        <v>1.9713E-3</v>
      </c>
      <c r="J262" s="1310">
        <v>140.09</v>
      </c>
    </row>
    <row r="263" spans="2:10">
      <c r="B263" s="1307" t="s">
        <v>1083</v>
      </c>
      <c r="C263" s="1308">
        <v>2030</v>
      </c>
      <c r="D263" s="1307">
        <v>1022000</v>
      </c>
      <c r="E263" s="1309">
        <v>1021000</v>
      </c>
      <c r="F263" s="1310">
        <v>15520</v>
      </c>
      <c r="G263" s="1307">
        <v>1.716</v>
      </c>
      <c r="H263" s="1309">
        <v>0.14096175</v>
      </c>
      <c r="I263" s="1309">
        <v>3.3149000000000004E-5</v>
      </c>
      <c r="J263" s="1310">
        <v>5.9754000000000005</v>
      </c>
    </row>
    <row r="264" spans="2:10">
      <c r="B264" s="1307" t="s">
        <v>715</v>
      </c>
      <c r="C264" s="1308">
        <v>2030</v>
      </c>
      <c r="D264" s="1307">
        <v>1022000</v>
      </c>
      <c r="E264" s="1309">
        <v>1021000</v>
      </c>
      <c r="F264" s="1310">
        <v>15520</v>
      </c>
      <c r="G264" s="1307">
        <v>1.716</v>
      </c>
      <c r="H264" s="1309">
        <v>0.14096175</v>
      </c>
      <c r="I264" s="1309">
        <v>3.3149000000000004E-5</v>
      </c>
      <c r="J264" s="1310">
        <v>5.9754000000000005</v>
      </c>
    </row>
    <row r="265" spans="2:10">
      <c r="B265" s="1307" t="s">
        <v>716</v>
      </c>
      <c r="C265" s="1308">
        <v>2030</v>
      </c>
      <c r="D265" s="1307">
        <v>1022000</v>
      </c>
      <c r="E265" s="1309">
        <v>1021000</v>
      </c>
      <c r="F265" s="1310">
        <v>15520</v>
      </c>
      <c r="G265" s="1307">
        <v>1.716</v>
      </c>
      <c r="H265" s="1309">
        <v>0.14096175</v>
      </c>
      <c r="I265" s="1309">
        <v>3.3149000000000004E-5</v>
      </c>
      <c r="J265" s="1310">
        <v>5.9754000000000005</v>
      </c>
    </row>
    <row r="266" spans="2:10">
      <c r="B266" s="1307" t="s">
        <v>908</v>
      </c>
      <c r="C266" s="1308">
        <v>2030</v>
      </c>
      <c r="D266" s="1307">
        <v>1209000</v>
      </c>
      <c r="E266" s="1309">
        <v>1202000</v>
      </c>
      <c r="F266" s="1310">
        <v>1052000</v>
      </c>
      <c r="G266" s="1307">
        <v>18.120999999999999</v>
      </c>
      <c r="H266" s="1309">
        <v>0.16412299999999999</v>
      </c>
      <c r="I266" s="1309">
        <v>2.9339999999999998E-4</v>
      </c>
      <c r="J266" s="1310">
        <v>23.162000000000003</v>
      </c>
    </row>
    <row r="267" spans="2:10">
      <c r="B267" s="1307" t="s">
        <v>906</v>
      </c>
      <c r="C267" s="1308">
        <v>2030</v>
      </c>
      <c r="D267" s="1307">
        <v>1586000</v>
      </c>
      <c r="E267" s="1309">
        <v>697000</v>
      </c>
      <c r="F267" s="1310">
        <v>286200</v>
      </c>
      <c r="G267" s="1307">
        <v>38.404000000000003</v>
      </c>
      <c r="H267" s="1309">
        <v>0.1118</v>
      </c>
      <c r="I267" s="1309">
        <v>2.5350000000000001E-2</v>
      </c>
      <c r="J267" s="1310">
        <v>45.44</v>
      </c>
    </row>
    <row r="268" spans="2:10">
      <c r="B268" s="1307" t="s">
        <v>909</v>
      </c>
      <c r="C268" s="1308">
        <v>2030</v>
      </c>
      <c r="D268" s="1307">
        <v>1250000</v>
      </c>
      <c r="E268" s="1309">
        <v>1242000</v>
      </c>
      <c r="F268" s="1310">
        <v>1078000</v>
      </c>
      <c r="G268" s="1307">
        <v>24.006999999999998</v>
      </c>
      <c r="H268" s="1309">
        <v>0.16975200000000001</v>
      </c>
      <c r="I268" s="1309">
        <v>3.8147000000000002E-4</v>
      </c>
      <c r="J268" s="1310">
        <v>29.335999999999999</v>
      </c>
    </row>
    <row r="269" spans="2:10">
      <c r="B269" s="1307" t="s">
        <v>1077</v>
      </c>
      <c r="C269" s="1308">
        <v>2030</v>
      </c>
      <c r="D269" s="1307">
        <v>1190000</v>
      </c>
      <c r="E269" s="1309">
        <v>51650</v>
      </c>
      <c r="F269" s="1310">
        <v>29230</v>
      </c>
      <c r="G269" s="1307">
        <v>3.7881999999999998</v>
      </c>
      <c r="H269" s="1309">
        <v>8.4297E-3</v>
      </c>
      <c r="I269" s="1309">
        <v>-3.825901E-3</v>
      </c>
      <c r="J269" s="1310">
        <v>3.0377000000000001</v>
      </c>
    </row>
    <row r="270" spans="2:10">
      <c r="B270" s="1307" t="s">
        <v>814</v>
      </c>
      <c r="C270" s="1308">
        <v>2030</v>
      </c>
      <c r="D270" s="1307">
        <v>1190000</v>
      </c>
      <c r="E270" s="1309">
        <v>51650</v>
      </c>
      <c r="F270" s="1310">
        <v>29230</v>
      </c>
      <c r="G270" s="1307">
        <v>3.7881999999999998</v>
      </c>
      <c r="H270" s="1309">
        <v>8.4297E-3</v>
      </c>
      <c r="I270" s="1309">
        <v>-3.825901E-3</v>
      </c>
      <c r="J270" s="1310">
        <v>3.0377000000000001</v>
      </c>
    </row>
    <row r="271" spans="2:10">
      <c r="B271" s="1307" t="s">
        <v>823</v>
      </c>
      <c r="C271" s="1308">
        <v>2030</v>
      </c>
      <c r="D271" s="1307">
        <v>1190000</v>
      </c>
      <c r="E271" s="1309">
        <v>51650</v>
      </c>
      <c r="F271" s="1310">
        <v>29230</v>
      </c>
      <c r="G271" s="1307">
        <v>3.7881999999999998</v>
      </c>
      <c r="H271" s="1309">
        <v>8.4297E-3</v>
      </c>
      <c r="I271" s="1309">
        <v>-3.825901E-3</v>
      </c>
      <c r="J271" s="1310">
        <v>3.0377000000000001</v>
      </c>
    </row>
    <row r="272" spans="2:10" ht="13.5" thickBot="1">
      <c r="B272" s="1311" t="s">
        <v>1084</v>
      </c>
      <c r="C272" s="1312">
        <v>2030</v>
      </c>
      <c r="D272" s="1311">
        <v>1384000</v>
      </c>
      <c r="E272" s="1313">
        <v>1383000</v>
      </c>
      <c r="F272" s="1314">
        <v>5048</v>
      </c>
      <c r="G272" s="1311">
        <v>78.598700000000008</v>
      </c>
      <c r="H272" s="1313">
        <v>0.27484000000000003</v>
      </c>
      <c r="I272" s="1313">
        <v>2.3306000000000004E-3</v>
      </c>
      <c r="J272" s="1314">
        <v>87.622100000000003</v>
      </c>
    </row>
    <row r="273" spans="2:10">
      <c r="B273" s="1303" t="s">
        <v>1081</v>
      </c>
      <c r="C273" s="1304">
        <v>2035</v>
      </c>
      <c r="D273" s="1303">
        <v>1092000</v>
      </c>
      <c r="E273" s="1305">
        <v>1092000</v>
      </c>
      <c r="F273" s="1306">
        <v>3981</v>
      </c>
      <c r="G273" s="1303">
        <v>5.7552000000000003</v>
      </c>
      <c r="H273" s="1305">
        <v>0.18462100000000001</v>
      </c>
      <c r="I273" s="1305">
        <v>8.6129999999999996E-4</v>
      </c>
      <c r="J273" s="1306">
        <v>11.5802</v>
      </c>
    </row>
    <row r="274" spans="2:10">
      <c r="B274" s="1307" t="s">
        <v>282</v>
      </c>
      <c r="C274" s="1308">
        <v>2035</v>
      </c>
      <c r="D274" s="1307">
        <v>1092000</v>
      </c>
      <c r="E274" s="1309">
        <v>1092000</v>
      </c>
      <c r="F274" s="1310">
        <v>3981</v>
      </c>
      <c r="G274" s="1307">
        <v>5.7552000000000003</v>
      </c>
      <c r="H274" s="1309">
        <v>0.18462100000000001</v>
      </c>
      <c r="I274" s="1309">
        <v>8.6129999999999996E-4</v>
      </c>
      <c r="J274" s="1310">
        <v>11.5802</v>
      </c>
    </row>
    <row r="275" spans="2:10">
      <c r="B275" s="1307" t="s">
        <v>1082</v>
      </c>
      <c r="C275" s="1308">
        <v>2035</v>
      </c>
      <c r="D275" s="1307">
        <v>1092000</v>
      </c>
      <c r="E275" s="1309">
        <v>1092000</v>
      </c>
      <c r="F275" s="1310">
        <v>3981</v>
      </c>
      <c r="G275" s="1307">
        <v>5.7552000000000003</v>
      </c>
      <c r="H275" s="1309">
        <v>0.18462100000000001</v>
      </c>
      <c r="I275" s="1309">
        <v>8.6129999999999996E-4</v>
      </c>
      <c r="J275" s="1310">
        <v>11.5802</v>
      </c>
    </row>
    <row r="276" spans="2:10">
      <c r="B276" s="1307" t="s">
        <v>680</v>
      </c>
      <c r="C276" s="1308">
        <v>2035</v>
      </c>
      <c r="D276" s="1307">
        <v>1092000</v>
      </c>
      <c r="E276" s="1309">
        <v>1092000</v>
      </c>
      <c r="F276" s="1310">
        <v>3981</v>
      </c>
      <c r="G276" s="1307">
        <v>5.7552000000000003</v>
      </c>
      <c r="H276" s="1309">
        <v>0.18462100000000001</v>
      </c>
      <c r="I276" s="1309">
        <v>8.6129999999999996E-4</v>
      </c>
      <c r="J276" s="1310">
        <v>11.5802</v>
      </c>
    </row>
    <row r="277" spans="2:10">
      <c r="B277" s="1307" t="s">
        <v>681</v>
      </c>
      <c r="C277" s="1308">
        <v>2035</v>
      </c>
      <c r="D277" s="1307">
        <v>-1185000</v>
      </c>
      <c r="E277" s="1309">
        <v>0</v>
      </c>
      <c r="F277" s="1310">
        <v>0</v>
      </c>
      <c r="G277" s="1307">
        <v>-85.800000000000011</v>
      </c>
      <c r="H277" s="1309">
        <v>0.54700000000000004</v>
      </c>
      <c r="I277" s="1309">
        <v>-1.8286999999999999E-3</v>
      </c>
      <c r="J277" s="1310">
        <v>-70.08</v>
      </c>
    </row>
    <row r="278" spans="2:10">
      <c r="B278" s="1307" t="s">
        <v>682</v>
      </c>
      <c r="C278" s="1308">
        <v>2035</v>
      </c>
      <c r="D278" s="1307">
        <v>1745000</v>
      </c>
      <c r="E278" s="1309">
        <v>1314000</v>
      </c>
      <c r="F278" s="1310">
        <v>18650</v>
      </c>
      <c r="G278" s="1307">
        <v>132.69</v>
      </c>
      <c r="H278" s="1309">
        <v>0.204869</v>
      </c>
      <c r="I278" s="1309">
        <v>1.9257999999999999E-3</v>
      </c>
      <c r="J278" s="1310">
        <v>137.91999999999999</v>
      </c>
    </row>
    <row r="279" spans="2:10">
      <c r="B279" s="1307" t="s">
        <v>697</v>
      </c>
      <c r="C279" s="1308">
        <v>2035</v>
      </c>
      <c r="D279" s="1307">
        <v>1745000</v>
      </c>
      <c r="E279" s="1309">
        <v>1314000</v>
      </c>
      <c r="F279" s="1310">
        <v>18650</v>
      </c>
      <c r="G279" s="1307">
        <v>132.69</v>
      </c>
      <c r="H279" s="1309">
        <v>0.204869</v>
      </c>
      <c r="I279" s="1309">
        <v>1.9257999999999999E-3</v>
      </c>
      <c r="J279" s="1310">
        <v>137.91999999999999</v>
      </c>
    </row>
    <row r="280" spans="2:10">
      <c r="B280" s="1307" t="s">
        <v>683</v>
      </c>
      <c r="C280" s="1308">
        <v>2035</v>
      </c>
      <c r="D280" s="1307">
        <v>1745000</v>
      </c>
      <c r="E280" s="1309">
        <v>1314000</v>
      </c>
      <c r="F280" s="1310">
        <v>18650</v>
      </c>
      <c r="G280" s="1307">
        <v>132.69</v>
      </c>
      <c r="H280" s="1309">
        <v>0.204869</v>
      </c>
      <c r="I280" s="1309">
        <v>1.9257999999999999E-3</v>
      </c>
      <c r="J280" s="1310">
        <v>137.91999999999999</v>
      </c>
    </row>
    <row r="281" spans="2:10">
      <c r="B281" s="1307" t="s">
        <v>1083</v>
      </c>
      <c r="C281" s="1308">
        <v>2035</v>
      </c>
      <c r="D281" s="1307">
        <v>1022000</v>
      </c>
      <c r="E281" s="1309">
        <v>1021000</v>
      </c>
      <c r="F281" s="1310">
        <v>15520</v>
      </c>
      <c r="G281" s="1307">
        <v>1.7124999999999999</v>
      </c>
      <c r="H281" s="1309">
        <v>0.14096197999999999</v>
      </c>
      <c r="I281" s="1309">
        <v>3.3061000000000001E-5</v>
      </c>
      <c r="J281" s="1310">
        <v>5.9708000000000006</v>
      </c>
    </row>
    <row r="282" spans="2:10">
      <c r="B282" s="1307" t="s">
        <v>715</v>
      </c>
      <c r="C282" s="1308">
        <v>2035</v>
      </c>
      <c r="D282" s="1307">
        <v>1022000</v>
      </c>
      <c r="E282" s="1309">
        <v>1021000</v>
      </c>
      <c r="F282" s="1310">
        <v>15520</v>
      </c>
      <c r="G282" s="1307">
        <v>1.7124999999999999</v>
      </c>
      <c r="H282" s="1309">
        <v>0.14096197999999999</v>
      </c>
      <c r="I282" s="1309">
        <v>3.3061000000000001E-5</v>
      </c>
      <c r="J282" s="1310">
        <v>5.9708000000000006</v>
      </c>
    </row>
    <row r="283" spans="2:10">
      <c r="B283" s="1307" t="s">
        <v>716</v>
      </c>
      <c r="C283" s="1308">
        <v>2035</v>
      </c>
      <c r="D283" s="1307">
        <v>1022000</v>
      </c>
      <c r="E283" s="1309">
        <v>1021000</v>
      </c>
      <c r="F283" s="1310">
        <v>15520</v>
      </c>
      <c r="G283" s="1307">
        <v>1.7124999999999999</v>
      </c>
      <c r="H283" s="1309">
        <v>0.14096197999999999</v>
      </c>
      <c r="I283" s="1309">
        <v>3.3061000000000001E-5</v>
      </c>
      <c r="J283" s="1310">
        <v>5.9708000000000006</v>
      </c>
    </row>
    <row r="284" spans="2:10">
      <c r="B284" s="1307" t="s">
        <v>908</v>
      </c>
      <c r="C284" s="1308">
        <v>2035</v>
      </c>
      <c r="D284" s="1307">
        <v>1209000</v>
      </c>
      <c r="E284" s="1309">
        <v>1202000</v>
      </c>
      <c r="F284" s="1310">
        <v>1052000</v>
      </c>
      <c r="G284" s="1307">
        <v>18.088999999999999</v>
      </c>
      <c r="H284" s="1309">
        <v>0.16412499999999999</v>
      </c>
      <c r="I284" s="1309">
        <v>2.9260000000000001E-4</v>
      </c>
      <c r="J284" s="1310">
        <v>23.119</v>
      </c>
    </row>
    <row r="285" spans="2:10">
      <c r="B285" s="1307" t="s">
        <v>906</v>
      </c>
      <c r="C285" s="1308">
        <v>2035</v>
      </c>
      <c r="D285" s="1307">
        <v>1586000</v>
      </c>
      <c r="E285" s="1309">
        <v>697100</v>
      </c>
      <c r="F285" s="1310">
        <v>286100</v>
      </c>
      <c r="G285" s="1307">
        <v>38.326999999999998</v>
      </c>
      <c r="H285" s="1309">
        <v>0.1118</v>
      </c>
      <c r="I285" s="1309">
        <v>2.5350000000000001E-2</v>
      </c>
      <c r="J285" s="1310">
        <v>45.39</v>
      </c>
    </row>
    <row r="286" spans="2:10">
      <c r="B286" s="1307" t="s">
        <v>909</v>
      </c>
      <c r="C286" s="1308">
        <v>2035</v>
      </c>
      <c r="D286" s="1307">
        <v>1250000</v>
      </c>
      <c r="E286" s="1309">
        <v>1242000</v>
      </c>
      <c r="F286" s="1310">
        <v>1078000</v>
      </c>
      <c r="G286" s="1307">
        <v>23.973999999999997</v>
      </c>
      <c r="H286" s="1309">
        <v>0.169854</v>
      </c>
      <c r="I286" s="1309">
        <v>3.8064000000000001E-4</v>
      </c>
      <c r="J286" s="1310">
        <v>29.302</v>
      </c>
    </row>
    <row r="287" spans="2:10">
      <c r="B287" s="1307" t="s">
        <v>1077</v>
      </c>
      <c r="C287" s="1308">
        <v>2035</v>
      </c>
      <c r="D287" s="1307">
        <v>1190000</v>
      </c>
      <c r="E287" s="1309">
        <v>51660</v>
      </c>
      <c r="F287" s="1310">
        <v>29230</v>
      </c>
      <c r="G287" s="1307">
        <v>3.7818000000000001</v>
      </c>
      <c r="H287" s="1309">
        <v>8.4370999999999995E-3</v>
      </c>
      <c r="I287" s="1309">
        <v>-3.8259590000000003E-3</v>
      </c>
      <c r="J287" s="1310">
        <v>3.0312999999999999</v>
      </c>
    </row>
    <row r="288" spans="2:10">
      <c r="B288" s="1307" t="s">
        <v>814</v>
      </c>
      <c r="C288" s="1308">
        <v>2035</v>
      </c>
      <c r="D288" s="1307">
        <v>1190000</v>
      </c>
      <c r="E288" s="1309">
        <v>51660</v>
      </c>
      <c r="F288" s="1310">
        <v>29230</v>
      </c>
      <c r="G288" s="1307">
        <v>3.7818000000000001</v>
      </c>
      <c r="H288" s="1309">
        <v>8.4370999999999995E-3</v>
      </c>
      <c r="I288" s="1309">
        <v>-3.8259590000000003E-3</v>
      </c>
      <c r="J288" s="1310">
        <v>3.0312999999999999</v>
      </c>
    </row>
    <row r="289" spans="2:10">
      <c r="B289" s="1307" t="s">
        <v>823</v>
      </c>
      <c r="C289" s="1308">
        <v>2035</v>
      </c>
      <c r="D289" s="1307">
        <v>1190000</v>
      </c>
      <c r="E289" s="1309">
        <v>51660</v>
      </c>
      <c r="F289" s="1310">
        <v>29230</v>
      </c>
      <c r="G289" s="1307">
        <v>3.7818000000000001</v>
      </c>
      <c r="H289" s="1309">
        <v>8.4370999999999995E-3</v>
      </c>
      <c r="I289" s="1309">
        <v>-3.8259590000000003E-3</v>
      </c>
      <c r="J289" s="1310">
        <v>3.0312999999999999</v>
      </c>
    </row>
    <row r="290" spans="2:10" ht="13.5" thickBot="1">
      <c r="B290" s="1311" t="s">
        <v>1084</v>
      </c>
      <c r="C290" s="1312">
        <v>2035</v>
      </c>
      <c r="D290" s="1311">
        <v>1384000</v>
      </c>
      <c r="E290" s="1313">
        <v>1383000</v>
      </c>
      <c r="F290" s="1314">
        <v>5034</v>
      </c>
      <c r="G290" s="1311">
        <v>78.571100000000001</v>
      </c>
      <c r="H290" s="1313">
        <v>0.27494000000000002</v>
      </c>
      <c r="I290" s="1313">
        <v>2.3304000000000003E-3</v>
      </c>
      <c r="J290" s="1314">
        <v>87.594300000000004</v>
      </c>
    </row>
    <row r="291" spans="2:10">
      <c r="B291" s="1303" t="s">
        <v>1081</v>
      </c>
      <c r="C291" s="1304">
        <v>2040</v>
      </c>
      <c r="D291" s="1303">
        <v>1092000</v>
      </c>
      <c r="E291" s="1305">
        <v>1092000</v>
      </c>
      <c r="F291" s="1306">
        <v>3975</v>
      </c>
      <c r="G291" s="1303">
        <v>5.7453000000000003</v>
      </c>
      <c r="H291" s="1305">
        <v>0.18462200000000001</v>
      </c>
      <c r="I291" s="1305">
        <v>8.6110000000000006E-4</v>
      </c>
      <c r="J291" s="1306">
        <v>11.577199999999999</v>
      </c>
    </row>
    <row r="292" spans="2:10">
      <c r="B292" s="1307" t="s">
        <v>282</v>
      </c>
      <c r="C292" s="1308">
        <v>2040</v>
      </c>
      <c r="D292" s="1307">
        <v>1092000</v>
      </c>
      <c r="E292" s="1309">
        <v>1092000</v>
      </c>
      <c r="F292" s="1310">
        <v>3975</v>
      </c>
      <c r="G292" s="1307">
        <v>5.7453000000000003</v>
      </c>
      <c r="H292" s="1309">
        <v>0.18462200000000001</v>
      </c>
      <c r="I292" s="1309">
        <v>8.6110000000000006E-4</v>
      </c>
      <c r="J292" s="1310">
        <v>11.577199999999999</v>
      </c>
    </row>
    <row r="293" spans="2:10">
      <c r="B293" s="1307" t="s">
        <v>1082</v>
      </c>
      <c r="C293" s="1308">
        <v>2040</v>
      </c>
      <c r="D293" s="1307">
        <v>1092000</v>
      </c>
      <c r="E293" s="1309">
        <v>1092000</v>
      </c>
      <c r="F293" s="1310">
        <v>3975</v>
      </c>
      <c r="G293" s="1307">
        <v>5.7453000000000003</v>
      </c>
      <c r="H293" s="1309">
        <v>0.18462200000000001</v>
      </c>
      <c r="I293" s="1309">
        <v>8.6110000000000006E-4</v>
      </c>
      <c r="J293" s="1310">
        <v>11.577199999999999</v>
      </c>
    </row>
    <row r="294" spans="2:10">
      <c r="B294" s="1307" t="s">
        <v>680</v>
      </c>
      <c r="C294" s="1308">
        <v>2040</v>
      </c>
      <c r="D294" s="1307">
        <v>1092000</v>
      </c>
      <c r="E294" s="1309">
        <v>1092000</v>
      </c>
      <c r="F294" s="1310">
        <v>3975</v>
      </c>
      <c r="G294" s="1307">
        <v>5.7453000000000003</v>
      </c>
      <c r="H294" s="1309">
        <v>0.18462200000000001</v>
      </c>
      <c r="I294" s="1309">
        <v>8.6110000000000006E-4</v>
      </c>
      <c r="J294" s="1310">
        <v>11.577199999999999</v>
      </c>
    </row>
    <row r="295" spans="2:10">
      <c r="B295" s="1307" t="s">
        <v>681</v>
      </c>
      <c r="C295" s="1308">
        <v>2040</v>
      </c>
      <c r="D295" s="1307">
        <v>-1185000</v>
      </c>
      <c r="E295" s="1309">
        <v>0</v>
      </c>
      <c r="F295" s="1310">
        <v>0</v>
      </c>
      <c r="G295" s="1307">
        <v>-85.800000000000011</v>
      </c>
      <c r="H295" s="1309">
        <v>0.54700000000000004</v>
      </c>
      <c r="I295" s="1309">
        <v>-1.8286999999999999E-3</v>
      </c>
      <c r="J295" s="1310">
        <v>-70.08</v>
      </c>
    </row>
    <row r="296" spans="2:10">
      <c r="B296" s="1307" t="s">
        <v>682</v>
      </c>
      <c r="C296" s="1308">
        <v>2040</v>
      </c>
      <c r="D296" s="1307">
        <v>1732000</v>
      </c>
      <c r="E296" s="1309">
        <v>1300000</v>
      </c>
      <c r="F296" s="1310">
        <v>17320</v>
      </c>
      <c r="G296" s="1307">
        <v>129.32</v>
      </c>
      <c r="H296" s="1309">
        <v>0.20383000000000001</v>
      </c>
      <c r="I296" s="1309">
        <v>1.8644999999999998E-3</v>
      </c>
      <c r="J296" s="1310">
        <v>134.37</v>
      </c>
    </row>
    <row r="297" spans="2:10">
      <c r="B297" s="1307" t="s">
        <v>697</v>
      </c>
      <c r="C297" s="1308">
        <v>2040</v>
      </c>
      <c r="D297" s="1307">
        <v>1732000</v>
      </c>
      <c r="E297" s="1309">
        <v>1300000</v>
      </c>
      <c r="F297" s="1310">
        <v>17320</v>
      </c>
      <c r="G297" s="1307">
        <v>129.32</v>
      </c>
      <c r="H297" s="1309">
        <v>0.20383000000000001</v>
      </c>
      <c r="I297" s="1309">
        <v>1.8644999999999998E-3</v>
      </c>
      <c r="J297" s="1310">
        <v>134.37</v>
      </c>
    </row>
    <row r="298" spans="2:10">
      <c r="B298" s="1307" t="s">
        <v>683</v>
      </c>
      <c r="C298" s="1308">
        <v>2040</v>
      </c>
      <c r="D298" s="1307">
        <v>1732000</v>
      </c>
      <c r="E298" s="1309">
        <v>1300000</v>
      </c>
      <c r="F298" s="1310">
        <v>17320</v>
      </c>
      <c r="G298" s="1307">
        <v>129.32</v>
      </c>
      <c r="H298" s="1309">
        <v>0.20383000000000001</v>
      </c>
      <c r="I298" s="1309">
        <v>1.8644999999999998E-3</v>
      </c>
      <c r="J298" s="1310">
        <v>134.37</v>
      </c>
    </row>
    <row r="299" spans="2:10">
      <c r="B299" s="1307" t="s">
        <v>1083</v>
      </c>
      <c r="C299" s="1308">
        <v>2040</v>
      </c>
      <c r="D299" s="1307">
        <v>1022000</v>
      </c>
      <c r="E299" s="1309">
        <v>1021000</v>
      </c>
      <c r="F299" s="1310">
        <v>15510</v>
      </c>
      <c r="G299" s="1307">
        <v>1.7054</v>
      </c>
      <c r="H299" s="1309">
        <v>0.14096210000000001</v>
      </c>
      <c r="I299" s="1309">
        <v>3.2928999999999996E-5</v>
      </c>
      <c r="J299" s="1310">
        <v>5.9637000000000002</v>
      </c>
    </row>
    <row r="300" spans="2:10">
      <c r="B300" s="1307" t="s">
        <v>715</v>
      </c>
      <c r="C300" s="1308">
        <v>2040</v>
      </c>
      <c r="D300" s="1307">
        <v>1022000</v>
      </c>
      <c r="E300" s="1309">
        <v>1021000</v>
      </c>
      <c r="F300" s="1310">
        <v>15510</v>
      </c>
      <c r="G300" s="1307">
        <v>1.7054</v>
      </c>
      <c r="H300" s="1309">
        <v>0.14096210000000001</v>
      </c>
      <c r="I300" s="1309">
        <v>3.2928999999999996E-5</v>
      </c>
      <c r="J300" s="1310">
        <v>5.9637000000000002</v>
      </c>
    </row>
    <row r="301" spans="2:10">
      <c r="B301" s="1307" t="s">
        <v>716</v>
      </c>
      <c r="C301" s="1308">
        <v>2040</v>
      </c>
      <c r="D301" s="1307">
        <v>1022000</v>
      </c>
      <c r="E301" s="1309">
        <v>1021000</v>
      </c>
      <c r="F301" s="1310">
        <v>15510</v>
      </c>
      <c r="G301" s="1307">
        <v>1.7054</v>
      </c>
      <c r="H301" s="1309">
        <v>0.14096210000000001</v>
      </c>
      <c r="I301" s="1309">
        <v>3.2928999999999996E-5</v>
      </c>
      <c r="J301" s="1310">
        <v>5.9637000000000002</v>
      </c>
    </row>
    <row r="302" spans="2:10">
      <c r="B302" s="1307" t="s">
        <v>908</v>
      </c>
      <c r="C302" s="1308">
        <v>2040</v>
      </c>
      <c r="D302" s="1307">
        <v>1209000</v>
      </c>
      <c r="E302" s="1309">
        <v>1202000</v>
      </c>
      <c r="F302" s="1310">
        <v>1052000</v>
      </c>
      <c r="G302" s="1307">
        <v>18.032</v>
      </c>
      <c r="H302" s="1309">
        <v>0.16412599999999999</v>
      </c>
      <c r="I302" s="1309">
        <v>2.9167E-4</v>
      </c>
      <c r="J302" s="1310">
        <v>23.062000000000001</v>
      </c>
    </row>
    <row r="303" spans="2:10">
      <c r="B303" s="1307" t="s">
        <v>906</v>
      </c>
      <c r="C303" s="1308">
        <v>2040</v>
      </c>
      <c r="D303" s="1307">
        <v>1586000</v>
      </c>
      <c r="E303" s="1309">
        <v>696600</v>
      </c>
      <c r="F303" s="1310">
        <v>286100</v>
      </c>
      <c r="G303" s="1307">
        <v>38.200000000000003</v>
      </c>
      <c r="H303" s="1309">
        <v>0.1118</v>
      </c>
      <c r="I303" s="1309">
        <v>2.5350000000000001E-2</v>
      </c>
      <c r="J303" s="1310">
        <v>45.3</v>
      </c>
    </row>
    <row r="304" spans="2:10">
      <c r="B304" s="1307" t="s">
        <v>909</v>
      </c>
      <c r="C304" s="1308">
        <v>2040</v>
      </c>
      <c r="D304" s="1307">
        <v>1250000</v>
      </c>
      <c r="E304" s="1309">
        <v>1242000</v>
      </c>
      <c r="F304" s="1310">
        <v>1078000</v>
      </c>
      <c r="G304" s="1307">
        <v>23.914999999999999</v>
      </c>
      <c r="H304" s="1309">
        <v>0.16985499999999998</v>
      </c>
      <c r="I304" s="1309">
        <v>3.7957999999999997E-4</v>
      </c>
      <c r="J304" s="1310">
        <v>29.232999999999997</v>
      </c>
    </row>
    <row r="305" spans="2:10">
      <c r="B305" s="1307" t="s">
        <v>1077</v>
      </c>
      <c r="C305" s="1308">
        <v>2040</v>
      </c>
      <c r="D305" s="1307">
        <v>1190000</v>
      </c>
      <c r="E305" s="1309">
        <v>51610</v>
      </c>
      <c r="F305" s="1310">
        <v>29220</v>
      </c>
      <c r="G305" s="1307">
        <v>3.7715999999999998</v>
      </c>
      <c r="H305" s="1309">
        <v>8.4332999999999995E-3</v>
      </c>
      <c r="I305" s="1309">
        <v>-3.8260220000000001E-3</v>
      </c>
      <c r="J305" s="1310">
        <v>3.02</v>
      </c>
    </row>
    <row r="306" spans="2:10">
      <c r="B306" s="1307" t="s">
        <v>814</v>
      </c>
      <c r="C306" s="1308">
        <v>2040</v>
      </c>
      <c r="D306" s="1307">
        <v>1190000</v>
      </c>
      <c r="E306" s="1309">
        <v>51610</v>
      </c>
      <c r="F306" s="1310">
        <v>29220</v>
      </c>
      <c r="G306" s="1307">
        <v>3.7715999999999998</v>
      </c>
      <c r="H306" s="1309">
        <v>8.4332999999999995E-3</v>
      </c>
      <c r="I306" s="1309">
        <v>-3.8260220000000001E-3</v>
      </c>
      <c r="J306" s="1310">
        <v>3.02</v>
      </c>
    </row>
    <row r="307" spans="2:10">
      <c r="B307" s="1307" t="s">
        <v>823</v>
      </c>
      <c r="C307" s="1308">
        <v>2040</v>
      </c>
      <c r="D307" s="1307">
        <v>1190000</v>
      </c>
      <c r="E307" s="1309">
        <v>51610</v>
      </c>
      <c r="F307" s="1310">
        <v>29220</v>
      </c>
      <c r="G307" s="1307">
        <v>3.7715999999999998</v>
      </c>
      <c r="H307" s="1309">
        <v>8.4332999999999995E-3</v>
      </c>
      <c r="I307" s="1309">
        <v>-3.8260220000000001E-3</v>
      </c>
      <c r="J307" s="1310">
        <v>3.02</v>
      </c>
    </row>
    <row r="308" spans="2:10" ht="13.5" thickBot="1">
      <c r="B308" s="1311" t="s">
        <v>1084</v>
      </c>
      <c r="C308" s="1312">
        <v>2040</v>
      </c>
      <c r="D308" s="1311">
        <v>1384000</v>
      </c>
      <c r="E308" s="1313">
        <v>1383000</v>
      </c>
      <c r="F308" s="1314">
        <v>5034</v>
      </c>
      <c r="G308" s="1311">
        <v>78.571100000000001</v>
      </c>
      <c r="H308" s="1313">
        <v>0.27494000000000002</v>
      </c>
      <c r="I308" s="1313">
        <v>2.3304000000000003E-3</v>
      </c>
      <c r="J308" s="1314">
        <v>87.594300000000004</v>
      </c>
    </row>
    <row r="309" spans="2:10">
      <c r="B309" s="1303" t="s">
        <v>1081</v>
      </c>
      <c r="C309" s="1304">
        <v>2045</v>
      </c>
      <c r="D309" s="1303">
        <v>1092000</v>
      </c>
      <c r="E309" s="1305">
        <v>1092000</v>
      </c>
      <c r="F309" s="1306">
        <v>3972</v>
      </c>
      <c r="G309" s="1303">
        <v>5.7410000000000005</v>
      </c>
      <c r="H309" s="1305">
        <v>0.18462200000000001</v>
      </c>
      <c r="I309" s="1305">
        <v>8.6110000000000006E-4</v>
      </c>
      <c r="J309" s="1306">
        <v>11.565900000000001</v>
      </c>
    </row>
    <row r="310" spans="2:10">
      <c r="B310" s="1307" t="s">
        <v>282</v>
      </c>
      <c r="C310" s="1308">
        <v>2045</v>
      </c>
      <c r="D310" s="1307">
        <v>1092000</v>
      </c>
      <c r="E310" s="1309">
        <v>1092000</v>
      </c>
      <c r="F310" s="1310">
        <v>3972</v>
      </c>
      <c r="G310" s="1307">
        <v>5.7410000000000005</v>
      </c>
      <c r="H310" s="1309">
        <v>0.18462200000000001</v>
      </c>
      <c r="I310" s="1309">
        <v>8.6110000000000006E-4</v>
      </c>
      <c r="J310" s="1310">
        <v>11.565900000000001</v>
      </c>
    </row>
    <row r="311" spans="2:10">
      <c r="B311" s="1307" t="s">
        <v>1082</v>
      </c>
      <c r="C311" s="1308">
        <v>2045</v>
      </c>
      <c r="D311" s="1307">
        <v>1092000</v>
      </c>
      <c r="E311" s="1309">
        <v>1092000</v>
      </c>
      <c r="F311" s="1310">
        <v>3972</v>
      </c>
      <c r="G311" s="1307">
        <v>5.7410000000000005</v>
      </c>
      <c r="H311" s="1309">
        <v>0.18462200000000001</v>
      </c>
      <c r="I311" s="1309">
        <v>8.6110000000000006E-4</v>
      </c>
      <c r="J311" s="1310">
        <v>11.565900000000001</v>
      </c>
    </row>
    <row r="312" spans="2:10">
      <c r="B312" s="1307" t="s">
        <v>680</v>
      </c>
      <c r="C312" s="1308">
        <v>2045</v>
      </c>
      <c r="D312" s="1307">
        <v>1092000</v>
      </c>
      <c r="E312" s="1309">
        <v>1092000</v>
      </c>
      <c r="F312" s="1310">
        <v>3972</v>
      </c>
      <c r="G312" s="1307">
        <v>5.7410000000000005</v>
      </c>
      <c r="H312" s="1309">
        <v>0.18462200000000001</v>
      </c>
      <c r="I312" s="1309">
        <v>8.6110000000000006E-4</v>
      </c>
      <c r="J312" s="1310">
        <v>11.565900000000001</v>
      </c>
    </row>
    <row r="313" spans="2:10">
      <c r="B313" s="1307" t="s">
        <v>681</v>
      </c>
      <c r="C313" s="1308">
        <v>2045</v>
      </c>
      <c r="D313" s="1307">
        <v>-1185000</v>
      </c>
      <c r="E313" s="1309">
        <v>0</v>
      </c>
      <c r="F313" s="1310">
        <v>0</v>
      </c>
      <c r="G313" s="1307">
        <v>-85.800000000000011</v>
      </c>
      <c r="H313" s="1309">
        <v>0.54700000000000004</v>
      </c>
      <c r="I313" s="1309">
        <v>-1.8286999999999999E-3</v>
      </c>
      <c r="J313" s="1310">
        <v>-70.08</v>
      </c>
    </row>
    <row r="314" spans="2:10">
      <c r="B314" s="1307" t="s">
        <v>682</v>
      </c>
      <c r="C314" s="1308">
        <v>2045</v>
      </c>
      <c r="D314" s="1307">
        <v>1724000</v>
      </c>
      <c r="E314" s="1309">
        <v>1293000</v>
      </c>
      <c r="F314" s="1310">
        <v>15580</v>
      </c>
      <c r="G314" s="1307">
        <v>126.71000000000001</v>
      </c>
      <c r="H314" s="1309">
        <v>0.203795</v>
      </c>
      <c r="I314" s="1309">
        <v>1.8165E-3</v>
      </c>
      <c r="J314" s="1310">
        <v>131.63</v>
      </c>
    </row>
    <row r="315" spans="2:10">
      <c r="B315" s="1307" t="s">
        <v>697</v>
      </c>
      <c r="C315" s="1308">
        <v>2045</v>
      </c>
      <c r="D315" s="1307">
        <v>1724000</v>
      </c>
      <c r="E315" s="1309">
        <v>1293000</v>
      </c>
      <c r="F315" s="1310">
        <v>15580</v>
      </c>
      <c r="G315" s="1307">
        <v>126.71000000000001</v>
      </c>
      <c r="H315" s="1309">
        <v>0.203795</v>
      </c>
      <c r="I315" s="1309">
        <v>1.8165E-3</v>
      </c>
      <c r="J315" s="1310">
        <v>131.63</v>
      </c>
    </row>
    <row r="316" spans="2:10">
      <c r="B316" s="1307" t="s">
        <v>683</v>
      </c>
      <c r="C316" s="1308">
        <v>2045</v>
      </c>
      <c r="D316" s="1307">
        <v>1724000</v>
      </c>
      <c r="E316" s="1309">
        <v>1293000</v>
      </c>
      <c r="F316" s="1310">
        <v>15580</v>
      </c>
      <c r="G316" s="1307">
        <v>126.71000000000001</v>
      </c>
      <c r="H316" s="1309">
        <v>0.203795</v>
      </c>
      <c r="I316" s="1309">
        <v>1.8165E-3</v>
      </c>
      <c r="J316" s="1310">
        <v>131.63</v>
      </c>
    </row>
    <row r="317" spans="2:10">
      <c r="B317" s="1307" t="s">
        <v>1083</v>
      </c>
      <c r="C317" s="1308">
        <v>2045</v>
      </c>
      <c r="D317" s="1307">
        <v>1022000</v>
      </c>
      <c r="E317" s="1309">
        <v>1021000</v>
      </c>
      <c r="F317" s="1310">
        <v>15510</v>
      </c>
      <c r="G317" s="1307">
        <v>1.6997</v>
      </c>
      <c r="H317" s="1309">
        <v>0.14096223999999999</v>
      </c>
      <c r="I317" s="1309">
        <v>3.2833999999999998E-5</v>
      </c>
      <c r="J317" s="1310">
        <v>5.9580000000000002</v>
      </c>
    </row>
    <row r="318" spans="2:10">
      <c r="B318" s="1307" t="s">
        <v>715</v>
      </c>
      <c r="C318" s="1308">
        <v>2045</v>
      </c>
      <c r="D318" s="1307">
        <v>1022000</v>
      </c>
      <c r="E318" s="1309">
        <v>1021000</v>
      </c>
      <c r="F318" s="1310">
        <v>15510</v>
      </c>
      <c r="G318" s="1307">
        <v>1.6997</v>
      </c>
      <c r="H318" s="1309">
        <v>0.14096223999999999</v>
      </c>
      <c r="I318" s="1309">
        <v>3.2833999999999998E-5</v>
      </c>
      <c r="J318" s="1310">
        <v>5.9580000000000002</v>
      </c>
    </row>
    <row r="319" spans="2:10">
      <c r="B319" s="1307" t="s">
        <v>716</v>
      </c>
      <c r="C319" s="1308">
        <v>2045</v>
      </c>
      <c r="D319" s="1307">
        <v>1022000</v>
      </c>
      <c r="E319" s="1309">
        <v>1021000</v>
      </c>
      <c r="F319" s="1310">
        <v>15510</v>
      </c>
      <c r="G319" s="1307">
        <v>1.6997</v>
      </c>
      <c r="H319" s="1309">
        <v>0.14096223999999999</v>
      </c>
      <c r="I319" s="1309">
        <v>3.2833999999999998E-5</v>
      </c>
      <c r="J319" s="1310">
        <v>5.9580000000000002</v>
      </c>
    </row>
    <row r="320" spans="2:10">
      <c r="B320" s="1307" t="s">
        <v>908</v>
      </c>
      <c r="C320" s="1308">
        <v>2045</v>
      </c>
      <c r="D320" s="1307">
        <v>1209000</v>
      </c>
      <c r="E320" s="1309">
        <v>1202000</v>
      </c>
      <c r="F320" s="1310">
        <v>1052000</v>
      </c>
      <c r="G320" s="1307">
        <v>17.989000000000001</v>
      </c>
      <c r="H320" s="1309">
        <v>0.164127</v>
      </c>
      <c r="I320" s="1309">
        <v>2.9079000000000003E-4</v>
      </c>
      <c r="J320" s="1310">
        <v>23.018999999999998</v>
      </c>
    </row>
    <row r="321" spans="2:10">
      <c r="B321" s="1307" t="s">
        <v>906</v>
      </c>
      <c r="C321" s="1308">
        <v>2045</v>
      </c>
      <c r="D321" s="1307">
        <v>1586000</v>
      </c>
      <c r="E321" s="1309">
        <v>696300</v>
      </c>
      <c r="F321" s="1310">
        <v>286000</v>
      </c>
      <c r="G321" s="1307">
        <v>38.110999999999997</v>
      </c>
      <c r="H321" s="1309">
        <v>0.1118</v>
      </c>
      <c r="I321" s="1309">
        <v>2.5350000000000001E-2</v>
      </c>
      <c r="J321" s="1310">
        <v>45.23</v>
      </c>
    </row>
    <row r="322" spans="2:10">
      <c r="B322" s="1307" t="s">
        <v>909</v>
      </c>
      <c r="C322" s="1308">
        <v>2045</v>
      </c>
      <c r="D322" s="1307">
        <v>1249000</v>
      </c>
      <c r="E322" s="1309">
        <v>1242000</v>
      </c>
      <c r="F322" s="1310">
        <v>1078000</v>
      </c>
      <c r="G322" s="1307">
        <v>23.861000000000001</v>
      </c>
      <c r="H322" s="1309">
        <v>0.16985599999999998</v>
      </c>
      <c r="I322" s="1309">
        <v>3.7867E-4</v>
      </c>
      <c r="J322" s="1310">
        <v>29.189</v>
      </c>
    </row>
    <row r="323" spans="2:10">
      <c r="B323" s="1307" t="s">
        <v>1077</v>
      </c>
      <c r="C323" s="1308">
        <v>2045</v>
      </c>
      <c r="D323" s="1307">
        <v>1190000</v>
      </c>
      <c r="E323" s="1309">
        <v>51590</v>
      </c>
      <c r="F323" s="1310">
        <v>29220</v>
      </c>
      <c r="G323" s="1307">
        <v>3.7631000000000001</v>
      </c>
      <c r="H323" s="1309">
        <v>8.4335E-3</v>
      </c>
      <c r="I323" s="1309">
        <v>-3.8260760000000003E-3</v>
      </c>
      <c r="J323" s="1310">
        <v>3.0114000000000001</v>
      </c>
    </row>
    <row r="324" spans="2:10">
      <c r="B324" s="1307" t="s">
        <v>814</v>
      </c>
      <c r="C324" s="1308">
        <v>2045</v>
      </c>
      <c r="D324" s="1307">
        <v>1190000</v>
      </c>
      <c r="E324" s="1309">
        <v>51590</v>
      </c>
      <c r="F324" s="1310">
        <v>29220</v>
      </c>
      <c r="G324" s="1307">
        <v>3.7631000000000001</v>
      </c>
      <c r="H324" s="1309">
        <v>8.4335E-3</v>
      </c>
      <c r="I324" s="1309">
        <v>-3.8260760000000003E-3</v>
      </c>
      <c r="J324" s="1310">
        <v>3.0114000000000001</v>
      </c>
    </row>
    <row r="325" spans="2:10">
      <c r="B325" s="1307" t="s">
        <v>823</v>
      </c>
      <c r="C325" s="1308">
        <v>2045</v>
      </c>
      <c r="D325" s="1307">
        <v>1190000</v>
      </c>
      <c r="E325" s="1309">
        <v>51590</v>
      </c>
      <c r="F325" s="1310">
        <v>29220</v>
      </c>
      <c r="G325" s="1307">
        <v>3.7631000000000001</v>
      </c>
      <c r="H325" s="1309">
        <v>8.4335E-3</v>
      </c>
      <c r="I325" s="1309">
        <v>-3.8260760000000003E-3</v>
      </c>
      <c r="J325" s="1310">
        <v>3.0114000000000001</v>
      </c>
    </row>
    <row r="326" spans="2:10" ht="13.5" thickBot="1">
      <c r="B326" s="1311" t="s">
        <v>1084</v>
      </c>
      <c r="C326" s="1312">
        <v>2045</v>
      </c>
      <c r="D326" s="1311">
        <v>1384000</v>
      </c>
      <c r="E326" s="1313">
        <v>1383000</v>
      </c>
      <c r="F326" s="1314">
        <v>5034</v>
      </c>
      <c r="G326" s="1311">
        <v>78.571100000000001</v>
      </c>
      <c r="H326" s="1313">
        <v>0.27494000000000002</v>
      </c>
      <c r="I326" s="1313">
        <v>2.3304000000000003E-3</v>
      </c>
      <c r="J326" s="1314">
        <v>87.594300000000004</v>
      </c>
    </row>
    <row r="327" spans="2:10">
      <c r="B327" s="1303" t="s">
        <v>1081</v>
      </c>
      <c r="C327" s="1304">
        <v>2050</v>
      </c>
      <c r="D327" s="1303">
        <v>1092000</v>
      </c>
      <c r="E327" s="1305">
        <v>1092000</v>
      </c>
      <c r="F327" s="1306">
        <v>3971</v>
      </c>
      <c r="G327" s="1303">
        <v>5.7390999999999996</v>
      </c>
      <c r="H327" s="1305">
        <v>0.18462200000000001</v>
      </c>
      <c r="I327" s="1305">
        <v>8.61E-4</v>
      </c>
      <c r="J327" s="1306">
        <v>11.5648</v>
      </c>
    </row>
    <row r="328" spans="2:10">
      <c r="B328" s="1307" t="s">
        <v>282</v>
      </c>
      <c r="C328" s="1308">
        <v>2050</v>
      </c>
      <c r="D328" s="1307">
        <v>1092000</v>
      </c>
      <c r="E328" s="1309">
        <v>1092000</v>
      </c>
      <c r="F328" s="1310">
        <v>3971</v>
      </c>
      <c r="G328" s="1307">
        <v>5.7390999999999996</v>
      </c>
      <c r="H328" s="1309">
        <v>0.18462200000000001</v>
      </c>
      <c r="I328" s="1309">
        <v>8.61E-4</v>
      </c>
      <c r="J328" s="1310">
        <v>11.5648</v>
      </c>
    </row>
    <row r="329" spans="2:10">
      <c r="B329" s="1307" t="s">
        <v>1082</v>
      </c>
      <c r="C329" s="1308">
        <v>2050</v>
      </c>
      <c r="D329" s="1307">
        <v>1092000</v>
      </c>
      <c r="E329" s="1309">
        <v>1092000</v>
      </c>
      <c r="F329" s="1310">
        <v>3971</v>
      </c>
      <c r="G329" s="1307">
        <v>5.7390999999999996</v>
      </c>
      <c r="H329" s="1309">
        <v>0.18462200000000001</v>
      </c>
      <c r="I329" s="1309">
        <v>8.61E-4</v>
      </c>
      <c r="J329" s="1310">
        <v>11.5648</v>
      </c>
    </row>
    <row r="330" spans="2:10">
      <c r="B330" s="1307" t="s">
        <v>680</v>
      </c>
      <c r="C330" s="1308">
        <v>2050</v>
      </c>
      <c r="D330" s="1307">
        <v>1092000</v>
      </c>
      <c r="E330" s="1309">
        <v>1092000</v>
      </c>
      <c r="F330" s="1310">
        <v>3971</v>
      </c>
      <c r="G330" s="1307">
        <v>5.7390999999999996</v>
      </c>
      <c r="H330" s="1309">
        <v>0.18462200000000001</v>
      </c>
      <c r="I330" s="1309">
        <v>8.61E-4</v>
      </c>
      <c r="J330" s="1310">
        <v>11.5648</v>
      </c>
    </row>
    <row r="331" spans="2:10">
      <c r="B331" s="1307" t="s">
        <v>681</v>
      </c>
      <c r="C331" s="1308">
        <v>2050</v>
      </c>
      <c r="D331" s="1307">
        <v>-1185000</v>
      </c>
      <c r="E331" s="1309">
        <v>0</v>
      </c>
      <c r="F331" s="1310">
        <v>0</v>
      </c>
      <c r="G331" s="1307">
        <v>-85.800000000000011</v>
      </c>
      <c r="H331" s="1309">
        <v>0.54700000000000004</v>
      </c>
      <c r="I331" s="1309">
        <v>-1.8286999999999999E-3</v>
      </c>
      <c r="J331" s="1310">
        <v>-70.08</v>
      </c>
    </row>
    <row r="332" spans="2:10">
      <c r="B332" s="1307" t="s">
        <v>682</v>
      </c>
      <c r="C332" s="1308">
        <v>2050</v>
      </c>
      <c r="D332" s="1307">
        <v>1721000</v>
      </c>
      <c r="E332" s="1309">
        <v>1293000</v>
      </c>
      <c r="F332" s="1310">
        <v>15050</v>
      </c>
      <c r="G332" s="1307">
        <v>125.08</v>
      </c>
      <c r="H332" s="1309">
        <v>0.20477100000000001</v>
      </c>
      <c r="I332" s="1309">
        <v>1.7827000000000001E-3</v>
      </c>
      <c r="J332" s="1310">
        <v>129.82</v>
      </c>
    </row>
    <row r="333" spans="2:10">
      <c r="B333" s="1307" t="s">
        <v>697</v>
      </c>
      <c r="C333" s="1308">
        <v>2050</v>
      </c>
      <c r="D333" s="1307">
        <v>1721000</v>
      </c>
      <c r="E333" s="1309">
        <v>1293000</v>
      </c>
      <c r="F333" s="1310">
        <v>15050</v>
      </c>
      <c r="G333" s="1307">
        <v>125.08</v>
      </c>
      <c r="H333" s="1309">
        <v>0.20477100000000001</v>
      </c>
      <c r="I333" s="1309">
        <v>1.7827000000000001E-3</v>
      </c>
      <c r="J333" s="1310">
        <v>129.82</v>
      </c>
    </row>
    <row r="334" spans="2:10">
      <c r="B334" s="1307" t="s">
        <v>683</v>
      </c>
      <c r="C334" s="1308">
        <v>2050</v>
      </c>
      <c r="D334" s="1307">
        <v>1721000</v>
      </c>
      <c r="E334" s="1309">
        <v>1293000</v>
      </c>
      <c r="F334" s="1310">
        <v>15050</v>
      </c>
      <c r="G334" s="1307">
        <v>125.08</v>
      </c>
      <c r="H334" s="1309">
        <v>0.20477100000000001</v>
      </c>
      <c r="I334" s="1309">
        <v>1.7827000000000001E-3</v>
      </c>
      <c r="J334" s="1310">
        <v>129.82</v>
      </c>
    </row>
    <row r="335" spans="2:10">
      <c r="B335" s="1307" t="s">
        <v>1083</v>
      </c>
      <c r="C335" s="1308">
        <v>2050</v>
      </c>
      <c r="D335" s="1307">
        <v>1022000</v>
      </c>
      <c r="E335" s="1309">
        <v>1021000</v>
      </c>
      <c r="F335" s="1310">
        <v>15510</v>
      </c>
      <c r="G335" s="1307">
        <v>1.6964999999999999</v>
      </c>
      <c r="H335" s="1309">
        <v>0.14096238999999999</v>
      </c>
      <c r="I335" s="1309">
        <v>3.2765999999999998E-5</v>
      </c>
      <c r="J335" s="1310">
        <v>5.9536999999999995</v>
      </c>
    </row>
    <row r="336" spans="2:10">
      <c r="B336" s="1307" t="s">
        <v>715</v>
      </c>
      <c r="C336" s="1308">
        <v>2050</v>
      </c>
      <c r="D336" s="1307">
        <v>1022000</v>
      </c>
      <c r="E336" s="1309">
        <v>1021000</v>
      </c>
      <c r="F336" s="1310">
        <v>15510</v>
      </c>
      <c r="G336" s="1307">
        <v>1.6964999999999999</v>
      </c>
      <c r="H336" s="1309">
        <v>0.14096238999999999</v>
      </c>
      <c r="I336" s="1309">
        <v>3.2765999999999998E-5</v>
      </c>
      <c r="J336" s="1310">
        <v>5.9536999999999995</v>
      </c>
    </row>
    <row r="337" spans="2:10">
      <c r="B337" s="1307" t="s">
        <v>716</v>
      </c>
      <c r="C337" s="1308">
        <v>2050</v>
      </c>
      <c r="D337" s="1307">
        <v>1022000</v>
      </c>
      <c r="E337" s="1309">
        <v>1021000</v>
      </c>
      <c r="F337" s="1310">
        <v>15510</v>
      </c>
      <c r="G337" s="1307">
        <v>1.6964999999999999</v>
      </c>
      <c r="H337" s="1309">
        <v>0.14096238999999999</v>
      </c>
      <c r="I337" s="1309">
        <v>3.2765999999999998E-5</v>
      </c>
      <c r="J337" s="1310">
        <v>5.9536999999999995</v>
      </c>
    </row>
    <row r="338" spans="2:10">
      <c r="B338" s="1307" t="s">
        <v>908</v>
      </c>
      <c r="C338" s="1308">
        <v>2050</v>
      </c>
      <c r="D338" s="1307">
        <v>1209000</v>
      </c>
      <c r="E338" s="1309">
        <v>1202000</v>
      </c>
      <c r="F338" s="1310">
        <v>1052000</v>
      </c>
      <c r="G338" s="1307">
        <v>17.969000000000001</v>
      </c>
      <c r="H338" s="1309">
        <v>0.164128</v>
      </c>
      <c r="I338" s="1309">
        <v>2.9025999999999998E-4</v>
      </c>
      <c r="J338" s="1310">
        <v>22.988</v>
      </c>
    </row>
    <row r="339" spans="2:10">
      <c r="B339" s="1307" t="s">
        <v>906</v>
      </c>
      <c r="C339" s="1308">
        <v>2050</v>
      </c>
      <c r="D339" s="1307">
        <v>1585000</v>
      </c>
      <c r="E339" s="1309">
        <v>696300</v>
      </c>
      <c r="F339" s="1310">
        <v>286000</v>
      </c>
      <c r="G339" s="1307">
        <v>38.049999999999997</v>
      </c>
      <c r="H339" s="1309">
        <v>0.1118</v>
      </c>
      <c r="I339" s="1309">
        <v>2.5350000000000001E-2</v>
      </c>
      <c r="J339" s="1310">
        <v>45.19</v>
      </c>
    </row>
    <row r="340" spans="2:10">
      <c r="B340" s="1307" t="s">
        <v>909</v>
      </c>
      <c r="C340" s="1308">
        <v>2050</v>
      </c>
      <c r="D340" s="1307">
        <v>1249000</v>
      </c>
      <c r="E340" s="1309">
        <v>1242000</v>
      </c>
      <c r="F340" s="1310">
        <v>1078000</v>
      </c>
      <c r="G340" s="1307">
        <v>23.84</v>
      </c>
      <c r="H340" s="1309">
        <v>0.16985799999999998</v>
      </c>
      <c r="I340" s="1309">
        <v>3.7813000000000001E-4</v>
      </c>
      <c r="J340" s="1310">
        <v>29.157000000000004</v>
      </c>
    </row>
    <row r="341" spans="2:10">
      <c r="B341" s="1307" t="s">
        <v>1077</v>
      </c>
      <c r="C341" s="1308">
        <v>2050</v>
      </c>
      <c r="D341" s="1307">
        <v>1190000</v>
      </c>
      <c r="E341" s="1309">
        <v>51590</v>
      </c>
      <c r="F341" s="1310">
        <v>29220</v>
      </c>
      <c r="G341" s="1307">
        <v>3.7582</v>
      </c>
      <c r="H341" s="1309">
        <v>8.4366999999999984E-3</v>
      </c>
      <c r="I341" s="1309">
        <v>-3.8261190000000002E-3</v>
      </c>
      <c r="J341" s="1310">
        <v>3.0054000000000003</v>
      </c>
    </row>
    <row r="342" spans="2:10">
      <c r="B342" s="1307" t="s">
        <v>814</v>
      </c>
      <c r="C342" s="1308">
        <v>2050</v>
      </c>
      <c r="D342" s="1307">
        <v>1190000</v>
      </c>
      <c r="E342" s="1309">
        <v>51590</v>
      </c>
      <c r="F342" s="1310">
        <v>29220</v>
      </c>
      <c r="G342" s="1307">
        <v>3.7582</v>
      </c>
      <c r="H342" s="1309">
        <v>8.4366999999999984E-3</v>
      </c>
      <c r="I342" s="1309">
        <v>-3.8261190000000002E-3</v>
      </c>
      <c r="J342" s="1310">
        <v>3.0054000000000003</v>
      </c>
    </row>
    <row r="343" spans="2:10">
      <c r="B343" s="1307" t="s">
        <v>823</v>
      </c>
      <c r="C343" s="1308">
        <v>2050</v>
      </c>
      <c r="D343" s="1307">
        <v>1190000</v>
      </c>
      <c r="E343" s="1309">
        <v>51590</v>
      </c>
      <c r="F343" s="1310">
        <v>29220</v>
      </c>
      <c r="G343" s="1307">
        <v>3.7582</v>
      </c>
      <c r="H343" s="1309">
        <v>8.4366999999999984E-3</v>
      </c>
      <c r="I343" s="1309">
        <v>-3.8261190000000002E-3</v>
      </c>
      <c r="J343" s="1310">
        <v>3.0054000000000003</v>
      </c>
    </row>
    <row r="344" spans="2:10" ht="13.5" thickBot="1">
      <c r="B344" s="1311" t="s">
        <v>1084</v>
      </c>
      <c r="C344" s="1312">
        <v>2050</v>
      </c>
      <c r="D344" s="1311">
        <v>1384000</v>
      </c>
      <c r="E344" s="1313">
        <v>1383000</v>
      </c>
      <c r="F344" s="1314">
        <v>5034</v>
      </c>
      <c r="G344" s="1311">
        <v>78.571100000000001</v>
      </c>
      <c r="H344" s="1313">
        <v>0.27494000000000002</v>
      </c>
      <c r="I344" s="1313">
        <v>2.3304000000000003E-3</v>
      </c>
      <c r="J344" s="1314">
        <v>87.594300000000004</v>
      </c>
    </row>
    <row r="345" spans="2:10">
      <c r="B345" s="1303" t="s">
        <v>1081</v>
      </c>
      <c r="C345" s="1304">
        <v>2055</v>
      </c>
      <c r="D345" s="1303">
        <v>1092000</v>
      </c>
      <c r="E345" s="1305">
        <v>1092000</v>
      </c>
      <c r="F345" s="1306">
        <v>3971</v>
      </c>
      <c r="G345" s="1303">
        <v>5.7390999999999996</v>
      </c>
      <c r="H345" s="1305">
        <v>0.18462200000000001</v>
      </c>
      <c r="I345" s="1305">
        <v>8.61E-4</v>
      </c>
      <c r="J345" s="1306">
        <v>11.5648</v>
      </c>
    </row>
    <row r="346" spans="2:10">
      <c r="B346" s="1307" t="s">
        <v>282</v>
      </c>
      <c r="C346" s="1308">
        <v>2055</v>
      </c>
      <c r="D346" s="1307">
        <v>1092000</v>
      </c>
      <c r="E346" s="1309">
        <v>1092000</v>
      </c>
      <c r="F346" s="1310">
        <v>3971</v>
      </c>
      <c r="G346" s="1307">
        <v>5.7390999999999996</v>
      </c>
      <c r="H346" s="1309">
        <v>0.18462200000000001</v>
      </c>
      <c r="I346" s="1309">
        <v>8.61E-4</v>
      </c>
      <c r="J346" s="1310">
        <v>11.5648</v>
      </c>
    </row>
    <row r="347" spans="2:10">
      <c r="B347" s="1307" t="s">
        <v>1082</v>
      </c>
      <c r="C347" s="1308">
        <v>2055</v>
      </c>
      <c r="D347" s="1307">
        <v>1092000</v>
      </c>
      <c r="E347" s="1309">
        <v>1092000</v>
      </c>
      <c r="F347" s="1310">
        <v>3971</v>
      </c>
      <c r="G347" s="1307">
        <v>5.7390999999999996</v>
      </c>
      <c r="H347" s="1309">
        <v>0.18462200000000001</v>
      </c>
      <c r="I347" s="1309">
        <v>8.61E-4</v>
      </c>
      <c r="J347" s="1310">
        <v>11.5648</v>
      </c>
    </row>
    <row r="348" spans="2:10">
      <c r="B348" s="1307" t="s">
        <v>680</v>
      </c>
      <c r="C348" s="1308">
        <v>2055</v>
      </c>
      <c r="D348" s="1307">
        <v>1092000</v>
      </c>
      <c r="E348" s="1309">
        <v>1092000</v>
      </c>
      <c r="F348" s="1310">
        <v>3971</v>
      </c>
      <c r="G348" s="1307">
        <v>5.7390999999999996</v>
      </c>
      <c r="H348" s="1309">
        <v>0.18462200000000001</v>
      </c>
      <c r="I348" s="1309">
        <v>8.61E-4</v>
      </c>
      <c r="J348" s="1310">
        <v>11.5648</v>
      </c>
    </row>
    <row r="349" spans="2:10">
      <c r="B349" s="1307" t="s">
        <v>681</v>
      </c>
      <c r="C349" s="1308">
        <v>2055</v>
      </c>
      <c r="D349" s="1307">
        <v>-1185000</v>
      </c>
      <c r="E349" s="1309">
        <v>0</v>
      </c>
      <c r="F349" s="1310">
        <v>0</v>
      </c>
      <c r="G349" s="1307">
        <v>-85.800000000000011</v>
      </c>
      <c r="H349" s="1309">
        <v>0.54700000000000004</v>
      </c>
      <c r="I349" s="1309">
        <v>-1.8286999999999999E-3</v>
      </c>
      <c r="J349" s="1310">
        <v>-70.08</v>
      </c>
    </row>
    <row r="350" spans="2:10">
      <c r="B350" s="1307" t="s">
        <v>682</v>
      </c>
      <c r="C350" s="1308">
        <v>2055</v>
      </c>
      <c r="D350" s="1307">
        <v>1721000</v>
      </c>
      <c r="E350" s="1309">
        <v>1293000</v>
      </c>
      <c r="F350" s="1310">
        <v>15050</v>
      </c>
      <c r="G350" s="1307">
        <v>125.08</v>
      </c>
      <c r="H350" s="1309">
        <v>0.20477100000000001</v>
      </c>
      <c r="I350" s="1309">
        <v>1.7827000000000001E-3</v>
      </c>
      <c r="J350" s="1310">
        <v>129.82</v>
      </c>
    </row>
    <row r="351" spans="2:10">
      <c r="B351" s="1307" t="s">
        <v>697</v>
      </c>
      <c r="C351" s="1308">
        <v>2055</v>
      </c>
      <c r="D351" s="1307">
        <v>1721000</v>
      </c>
      <c r="E351" s="1309">
        <v>1293000</v>
      </c>
      <c r="F351" s="1310">
        <v>15050</v>
      </c>
      <c r="G351" s="1307">
        <v>125.08</v>
      </c>
      <c r="H351" s="1309">
        <v>0.20477100000000001</v>
      </c>
      <c r="I351" s="1309">
        <v>1.7827000000000001E-3</v>
      </c>
      <c r="J351" s="1310">
        <v>129.82</v>
      </c>
    </row>
    <row r="352" spans="2:10">
      <c r="B352" s="1307" t="s">
        <v>683</v>
      </c>
      <c r="C352" s="1308">
        <v>2055</v>
      </c>
      <c r="D352" s="1307">
        <v>1721000</v>
      </c>
      <c r="E352" s="1309">
        <v>1293000</v>
      </c>
      <c r="F352" s="1310">
        <v>15050</v>
      </c>
      <c r="G352" s="1307">
        <v>125.08</v>
      </c>
      <c r="H352" s="1309">
        <v>0.20477100000000001</v>
      </c>
      <c r="I352" s="1309">
        <v>1.7827000000000001E-3</v>
      </c>
      <c r="J352" s="1310">
        <v>129.82</v>
      </c>
    </row>
    <row r="353" spans="2:10">
      <c r="B353" s="1307" t="s">
        <v>1083</v>
      </c>
      <c r="C353" s="1308">
        <v>2055</v>
      </c>
      <c r="D353" s="1307">
        <v>1022000</v>
      </c>
      <c r="E353" s="1309">
        <v>1021000</v>
      </c>
      <c r="F353" s="1310">
        <v>15510</v>
      </c>
      <c r="G353" s="1307">
        <v>1.6964999999999999</v>
      </c>
      <c r="H353" s="1309">
        <v>0.14096238999999999</v>
      </c>
      <c r="I353" s="1309">
        <v>3.2765999999999998E-5</v>
      </c>
      <c r="J353" s="1310">
        <v>5.9536999999999995</v>
      </c>
    </row>
    <row r="354" spans="2:10">
      <c r="B354" s="1307" t="s">
        <v>715</v>
      </c>
      <c r="C354" s="1308">
        <v>2055</v>
      </c>
      <c r="D354" s="1307">
        <v>1022000</v>
      </c>
      <c r="E354" s="1309">
        <v>1021000</v>
      </c>
      <c r="F354" s="1310">
        <v>15510</v>
      </c>
      <c r="G354" s="1307">
        <v>1.6964999999999999</v>
      </c>
      <c r="H354" s="1309">
        <v>0.14096238999999999</v>
      </c>
      <c r="I354" s="1309">
        <v>3.2765999999999998E-5</v>
      </c>
      <c r="J354" s="1310">
        <v>5.9536999999999995</v>
      </c>
    </row>
    <row r="355" spans="2:10">
      <c r="B355" s="1307" t="s">
        <v>716</v>
      </c>
      <c r="C355" s="1308">
        <v>2055</v>
      </c>
      <c r="D355" s="1307">
        <v>1022000</v>
      </c>
      <c r="E355" s="1309">
        <v>1021000</v>
      </c>
      <c r="F355" s="1310">
        <v>15510</v>
      </c>
      <c r="G355" s="1307">
        <v>1.6964999999999999</v>
      </c>
      <c r="H355" s="1309">
        <v>0.14096238999999999</v>
      </c>
      <c r="I355" s="1309">
        <v>3.2765999999999998E-5</v>
      </c>
      <c r="J355" s="1310">
        <v>5.9536999999999995</v>
      </c>
    </row>
    <row r="356" spans="2:10">
      <c r="B356" s="1307" t="s">
        <v>908</v>
      </c>
      <c r="C356" s="1308">
        <v>2055</v>
      </c>
      <c r="D356" s="1307">
        <v>1209000</v>
      </c>
      <c r="E356" s="1309">
        <v>1202000</v>
      </c>
      <c r="F356" s="1310">
        <v>1052000</v>
      </c>
      <c r="G356" s="1307">
        <v>17.969000000000001</v>
      </c>
      <c r="H356" s="1309">
        <v>0.164128</v>
      </c>
      <c r="I356" s="1309">
        <v>2.9025999999999998E-4</v>
      </c>
      <c r="J356" s="1310">
        <v>22.988</v>
      </c>
    </row>
    <row r="357" spans="2:10">
      <c r="B357" s="1307" t="s">
        <v>906</v>
      </c>
      <c r="C357" s="1308">
        <v>2055</v>
      </c>
      <c r="D357" s="1307">
        <v>1585000</v>
      </c>
      <c r="E357" s="1309">
        <v>696300</v>
      </c>
      <c r="F357" s="1310">
        <v>286000</v>
      </c>
      <c r="G357" s="1307">
        <v>38.049999999999997</v>
      </c>
      <c r="H357" s="1309">
        <v>0.1118</v>
      </c>
      <c r="I357" s="1309">
        <v>2.5350000000000001E-2</v>
      </c>
      <c r="J357" s="1310">
        <v>45.19</v>
      </c>
    </row>
    <row r="358" spans="2:10">
      <c r="B358" s="1307" t="s">
        <v>909</v>
      </c>
      <c r="C358" s="1308">
        <v>2055</v>
      </c>
      <c r="D358" s="1307">
        <v>1249000</v>
      </c>
      <c r="E358" s="1309">
        <v>1242000</v>
      </c>
      <c r="F358" s="1310">
        <v>1078000</v>
      </c>
      <c r="G358" s="1307">
        <v>23.84</v>
      </c>
      <c r="H358" s="1309">
        <v>0.16985799999999998</v>
      </c>
      <c r="I358" s="1309">
        <v>3.7813000000000001E-4</v>
      </c>
      <c r="J358" s="1310">
        <v>29.157000000000004</v>
      </c>
    </row>
    <row r="359" spans="2:10">
      <c r="B359" s="1307" t="s">
        <v>1077</v>
      </c>
      <c r="C359" s="1308">
        <v>2055</v>
      </c>
      <c r="D359" s="1307">
        <v>1190000</v>
      </c>
      <c r="E359" s="1309">
        <v>51590</v>
      </c>
      <c r="F359" s="1310">
        <v>29220</v>
      </c>
      <c r="G359" s="1307">
        <v>3.7582</v>
      </c>
      <c r="H359" s="1309">
        <v>8.4366999999999984E-3</v>
      </c>
      <c r="I359" s="1309">
        <v>-3.8261190000000002E-3</v>
      </c>
      <c r="J359" s="1310">
        <v>3.0054000000000003</v>
      </c>
    </row>
    <row r="360" spans="2:10">
      <c r="B360" s="1307" t="s">
        <v>814</v>
      </c>
      <c r="C360" s="1308">
        <v>2055</v>
      </c>
      <c r="D360" s="1307">
        <v>1190000</v>
      </c>
      <c r="E360" s="1309">
        <v>51590</v>
      </c>
      <c r="F360" s="1310">
        <v>29220</v>
      </c>
      <c r="G360" s="1307">
        <v>3.7582</v>
      </c>
      <c r="H360" s="1309">
        <v>8.4366999999999984E-3</v>
      </c>
      <c r="I360" s="1309">
        <v>-3.8261190000000002E-3</v>
      </c>
      <c r="J360" s="1310">
        <v>3.0054000000000003</v>
      </c>
    </row>
    <row r="361" spans="2:10">
      <c r="B361" s="1307" t="s">
        <v>823</v>
      </c>
      <c r="C361" s="1308">
        <v>2055</v>
      </c>
      <c r="D361" s="1307">
        <v>1190000</v>
      </c>
      <c r="E361" s="1309">
        <v>51590</v>
      </c>
      <c r="F361" s="1310">
        <v>29220</v>
      </c>
      <c r="G361" s="1307">
        <v>3.7582</v>
      </c>
      <c r="H361" s="1309">
        <v>8.4366999999999984E-3</v>
      </c>
      <c r="I361" s="1309">
        <v>-3.8261190000000002E-3</v>
      </c>
      <c r="J361" s="1310">
        <v>3.0054000000000003</v>
      </c>
    </row>
    <row r="362" spans="2:10" ht="13.5" thickBot="1">
      <c r="B362" s="1311" t="s">
        <v>1084</v>
      </c>
      <c r="C362" s="1312">
        <v>2055</v>
      </c>
      <c r="D362" s="1311">
        <v>1384000</v>
      </c>
      <c r="E362" s="1313">
        <v>1383000</v>
      </c>
      <c r="F362" s="1314">
        <v>5034</v>
      </c>
      <c r="G362" s="1311">
        <v>78.571100000000001</v>
      </c>
      <c r="H362" s="1313">
        <v>0.27494000000000002</v>
      </c>
      <c r="I362" s="1313">
        <v>2.3304000000000003E-3</v>
      </c>
      <c r="J362" s="1314">
        <v>87.594300000000004</v>
      </c>
    </row>
    <row r="363" spans="2:10">
      <c r="B363" s="1303" t="s">
        <v>1081</v>
      </c>
      <c r="C363" s="1304">
        <v>2060</v>
      </c>
      <c r="D363" s="1303">
        <v>1092000</v>
      </c>
      <c r="E363" s="1305">
        <v>1092000</v>
      </c>
      <c r="F363" s="1306">
        <v>3971</v>
      </c>
      <c r="G363" s="1303">
        <v>5.7390999999999996</v>
      </c>
      <c r="H363" s="1305">
        <v>0.18462200000000001</v>
      </c>
      <c r="I363" s="1305">
        <v>8.61E-4</v>
      </c>
      <c r="J363" s="1306">
        <v>11.5648</v>
      </c>
    </row>
    <row r="364" spans="2:10">
      <c r="B364" s="1307" t="s">
        <v>282</v>
      </c>
      <c r="C364" s="1308">
        <v>2060</v>
      </c>
      <c r="D364" s="1307">
        <v>1092000</v>
      </c>
      <c r="E364" s="1309">
        <v>1092000</v>
      </c>
      <c r="F364" s="1310">
        <v>3971</v>
      </c>
      <c r="G364" s="1307">
        <v>5.7390999999999996</v>
      </c>
      <c r="H364" s="1309">
        <v>0.18462200000000001</v>
      </c>
      <c r="I364" s="1309">
        <v>8.61E-4</v>
      </c>
      <c r="J364" s="1310">
        <v>11.5648</v>
      </c>
    </row>
    <row r="365" spans="2:10">
      <c r="B365" s="1307" t="s">
        <v>1082</v>
      </c>
      <c r="C365" s="1308">
        <v>2060</v>
      </c>
      <c r="D365" s="1307">
        <v>1092000</v>
      </c>
      <c r="E365" s="1309">
        <v>1092000</v>
      </c>
      <c r="F365" s="1310">
        <v>3971</v>
      </c>
      <c r="G365" s="1307">
        <v>5.7390999999999996</v>
      </c>
      <c r="H365" s="1309">
        <v>0.18462200000000001</v>
      </c>
      <c r="I365" s="1309">
        <v>8.61E-4</v>
      </c>
      <c r="J365" s="1310">
        <v>11.5648</v>
      </c>
    </row>
    <row r="366" spans="2:10">
      <c r="B366" s="1307" t="s">
        <v>680</v>
      </c>
      <c r="C366" s="1308">
        <v>2060</v>
      </c>
      <c r="D366" s="1307">
        <v>1092000</v>
      </c>
      <c r="E366" s="1309">
        <v>1092000</v>
      </c>
      <c r="F366" s="1310">
        <v>3971</v>
      </c>
      <c r="G366" s="1307">
        <v>5.7390999999999996</v>
      </c>
      <c r="H366" s="1309">
        <v>0.18462200000000001</v>
      </c>
      <c r="I366" s="1309">
        <v>8.61E-4</v>
      </c>
      <c r="J366" s="1310">
        <v>11.5648</v>
      </c>
    </row>
    <row r="367" spans="2:10">
      <c r="B367" s="1307" t="s">
        <v>681</v>
      </c>
      <c r="C367" s="1308">
        <v>2060</v>
      </c>
      <c r="D367" s="1307">
        <v>-1185000</v>
      </c>
      <c r="E367" s="1309">
        <v>0</v>
      </c>
      <c r="F367" s="1310">
        <v>0</v>
      </c>
      <c r="G367" s="1307">
        <v>-85.800000000000011</v>
      </c>
      <c r="H367" s="1309">
        <v>0.54700000000000004</v>
      </c>
      <c r="I367" s="1309">
        <v>-1.8286999999999999E-3</v>
      </c>
      <c r="J367" s="1310">
        <v>-70.08</v>
      </c>
    </row>
    <row r="368" spans="2:10">
      <c r="B368" s="1307" t="s">
        <v>682</v>
      </c>
      <c r="C368" s="1308">
        <v>2060</v>
      </c>
      <c r="D368" s="1307">
        <v>1721000</v>
      </c>
      <c r="E368" s="1309">
        <v>1293000</v>
      </c>
      <c r="F368" s="1310">
        <v>15050</v>
      </c>
      <c r="G368" s="1307">
        <v>125.08</v>
      </c>
      <c r="H368" s="1309">
        <v>0.20477100000000001</v>
      </c>
      <c r="I368" s="1309">
        <v>1.7827000000000001E-3</v>
      </c>
      <c r="J368" s="1310">
        <v>129.82</v>
      </c>
    </row>
    <row r="369" spans="2:10">
      <c r="B369" s="1307" t="s">
        <v>697</v>
      </c>
      <c r="C369" s="1308">
        <v>2060</v>
      </c>
      <c r="D369" s="1307">
        <v>1721000</v>
      </c>
      <c r="E369" s="1309">
        <v>1293000</v>
      </c>
      <c r="F369" s="1310">
        <v>15050</v>
      </c>
      <c r="G369" s="1307">
        <v>125.08</v>
      </c>
      <c r="H369" s="1309">
        <v>0.20477100000000001</v>
      </c>
      <c r="I369" s="1309">
        <v>1.7827000000000001E-3</v>
      </c>
      <c r="J369" s="1310">
        <v>129.82</v>
      </c>
    </row>
    <row r="370" spans="2:10">
      <c r="B370" s="1307" t="s">
        <v>683</v>
      </c>
      <c r="C370" s="1308">
        <v>2060</v>
      </c>
      <c r="D370" s="1307">
        <v>1721000</v>
      </c>
      <c r="E370" s="1309">
        <v>1293000</v>
      </c>
      <c r="F370" s="1310">
        <v>15050</v>
      </c>
      <c r="G370" s="1307">
        <v>125.08</v>
      </c>
      <c r="H370" s="1309">
        <v>0.20477100000000001</v>
      </c>
      <c r="I370" s="1309">
        <v>1.7827000000000001E-3</v>
      </c>
      <c r="J370" s="1310">
        <v>129.82</v>
      </c>
    </row>
    <row r="371" spans="2:10">
      <c r="B371" s="1307" t="s">
        <v>1083</v>
      </c>
      <c r="C371" s="1308">
        <v>2060</v>
      </c>
      <c r="D371" s="1307">
        <v>1022000</v>
      </c>
      <c r="E371" s="1309">
        <v>1021000</v>
      </c>
      <c r="F371" s="1310">
        <v>15510</v>
      </c>
      <c r="G371" s="1307">
        <v>1.6964999999999999</v>
      </c>
      <c r="H371" s="1309">
        <v>0.14096238999999999</v>
      </c>
      <c r="I371" s="1309">
        <v>3.2765999999999998E-5</v>
      </c>
      <c r="J371" s="1310">
        <v>5.9536999999999995</v>
      </c>
    </row>
    <row r="372" spans="2:10">
      <c r="B372" s="1307" t="s">
        <v>715</v>
      </c>
      <c r="C372" s="1308">
        <v>2060</v>
      </c>
      <c r="D372" s="1307">
        <v>1022000</v>
      </c>
      <c r="E372" s="1309">
        <v>1021000</v>
      </c>
      <c r="F372" s="1310">
        <v>15510</v>
      </c>
      <c r="G372" s="1307">
        <v>1.6964999999999999</v>
      </c>
      <c r="H372" s="1309">
        <v>0.14096238999999999</v>
      </c>
      <c r="I372" s="1309">
        <v>3.2765999999999998E-5</v>
      </c>
      <c r="J372" s="1310">
        <v>5.9536999999999995</v>
      </c>
    </row>
    <row r="373" spans="2:10">
      <c r="B373" s="1307" t="s">
        <v>716</v>
      </c>
      <c r="C373" s="1308">
        <v>2060</v>
      </c>
      <c r="D373" s="1307">
        <v>1022000</v>
      </c>
      <c r="E373" s="1309">
        <v>1021000</v>
      </c>
      <c r="F373" s="1310">
        <v>15510</v>
      </c>
      <c r="G373" s="1307">
        <v>1.6964999999999999</v>
      </c>
      <c r="H373" s="1309">
        <v>0.14096238999999999</v>
      </c>
      <c r="I373" s="1309">
        <v>3.2765999999999998E-5</v>
      </c>
      <c r="J373" s="1310">
        <v>5.9536999999999995</v>
      </c>
    </row>
    <row r="374" spans="2:10">
      <c r="B374" s="1307" t="s">
        <v>908</v>
      </c>
      <c r="C374" s="1308">
        <v>2060</v>
      </c>
      <c r="D374" s="1307">
        <v>1209000</v>
      </c>
      <c r="E374" s="1309">
        <v>1202000</v>
      </c>
      <c r="F374" s="1310">
        <v>1052000</v>
      </c>
      <c r="G374" s="1307">
        <v>17.969000000000001</v>
      </c>
      <c r="H374" s="1309">
        <v>0.164128</v>
      </c>
      <c r="I374" s="1309">
        <v>2.9025999999999998E-4</v>
      </c>
      <c r="J374" s="1310">
        <v>22.988</v>
      </c>
    </row>
    <row r="375" spans="2:10">
      <c r="B375" s="1307" t="s">
        <v>906</v>
      </c>
      <c r="C375" s="1308">
        <v>2060</v>
      </c>
      <c r="D375" s="1307">
        <v>1585000</v>
      </c>
      <c r="E375" s="1309">
        <v>696300</v>
      </c>
      <c r="F375" s="1310">
        <v>286000</v>
      </c>
      <c r="G375" s="1307">
        <v>38.049999999999997</v>
      </c>
      <c r="H375" s="1309">
        <v>0.1118</v>
      </c>
      <c r="I375" s="1309">
        <v>2.5350000000000001E-2</v>
      </c>
      <c r="J375" s="1310">
        <v>45.19</v>
      </c>
    </row>
    <row r="376" spans="2:10">
      <c r="B376" s="1307" t="s">
        <v>909</v>
      </c>
      <c r="C376" s="1308">
        <v>2060</v>
      </c>
      <c r="D376" s="1307">
        <v>1249000</v>
      </c>
      <c r="E376" s="1309">
        <v>1242000</v>
      </c>
      <c r="F376" s="1310">
        <v>1078000</v>
      </c>
      <c r="G376" s="1307">
        <v>23.84</v>
      </c>
      <c r="H376" s="1309">
        <v>0.16985799999999998</v>
      </c>
      <c r="I376" s="1309">
        <v>3.7813000000000001E-4</v>
      </c>
      <c r="J376" s="1310">
        <v>29.157000000000004</v>
      </c>
    </row>
    <row r="377" spans="2:10">
      <c r="B377" s="1307" t="s">
        <v>1077</v>
      </c>
      <c r="C377" s="1308">
        <v>2060</v>
      </c>
      <c r="D377" s="1307">
        <v>1190000</v>
      </c>
      <c r="E377" s="1309">
        <v>51590</v>
      </c>
      <c r="F377" s="1310">
        <v>29220</v>
      </c>
      <c r="G377" s="1307">
        <v>3.7582</v>
      </c>
      <c r="H377" s="1309">
        <v>8.4366999999999984E-3</v>
      </c>
      <c r="I377" s="1309">
        <v>-3.8261190000000002E-3</v>
      </c>
      <c r="J377" s="1310">
        <v>3.0054000000000003</v>
      </c>
    </row>
    <row r="378" spans="2:10">
      <c r="B378" s="1307" t="s">
        <v>814</v>
      </c>
      <c r="C378" s="1308">
        <v>2060</v>
      </c>
      <c r="D378" s="1307">
        <v>1190000</v>
      </c>
      <c r="E378" s="1309">
        <v>51590</v>
      </c>
      <c r="F378" s="1310">
        <v>29220</v>
      </c>
      <c r="G378" s="1307">
        <v>3.7582</v>
      </c>
      <c r="H378" s="1309">
        <v>8.4366999999999984E-3</v>
      </c>
      <c r="I378" s="1309">
        <v>-3.8261190000000002E-3</v>
      </c>
      <c r="J378" s="1310">
        <v>3.0054000000000003</v>
      </c>
    </row>
    <row r="379" spans="2:10">
      <c r="B379" s="1307" t="s">
        <v>823</v>
      </c>
      <c r="C379" s="1308">
        <v>2060</v>
      </c>
      <c r="D379" s="1307">
        <v>1190000</v>
      </c>
      <c r="E379" s="1309">
        <v>51590</v>
      </c>
      <c r="F379" s="1310">
        <v>29220</v>
      </c>
      <c r="G379" s="1307">
        <v>3.7582</v>
      </c>
      <c r="H379" s="1309">
        <v>8.4366999999999984E-3</v>
      </c>
      <c r="I379" s="1309">
        <v>-3.8261190000000002E-3</v>
      </c>
      <c r="J379" s="1310">
        <v>3.0054000000000003</v>
      </c>
    </row>
    <row r="380" spans="2:10" ht="13.5" thickBot="1">
      <c r="B380" s="1311" t="s">
        <v>1084</v>
      </c>
      <c r="C380" s="1312">
        <v>2060</v>
      </c>
      <c r="D380" s="1311">
        <v>1384000</v>
      </c>
      <c r="E380" s="1313">
        <v>1383000</v>
      </c>
      <c r="F380" s="1314">
        <v>5034</v>
      </c>
      <c r="G380" s="1311">
        <v>78.571100000000001</v>
      </c>
      <c r="H380" s="1313">
        <v>0.27494000000000002</v>
      </c>
      <c r="I380" s="1313">
        <v>2.3304000000000003E-3</v>
      </c>
      <c r="J380" s="1314">
        <v>87.594300000000004</v>
      </c>
    </row>
    <row r="381" spans="2:10">
      <c r="B381" s="1303" t="s">
        <v>1081</v>
      </c>
      <c r="C381" s="1304">
        <v>2065</v>
      </c>
      <c r="D381" s="1303">
        <v>1092000</v>
      </c>
      <c r="E381" s="1305">
        <v>1092000</v>
      </c>
      <c r="F381" s="1306">
        <v>3971</v>
      </c>
      <c r="G381" s="1303">
        <v>5.7390999999999996</v>
      </c>
      <c r="H381" s="1305">
        <v>0.18462200000000001</v>
      </c>
      <c r="I381" s="1305">
        <v>8.61E-4</v>
      </c>
      <c r="J381" s="1306">
        <v>11.5648</v>
      </c>
    </row>
    <row r="382" spans="2:10">
      <c r="B382" s="1307" t="s">
        <v>282</v>
      </c>
      <c r="C382" s="1308">
        <v>2065</v>
      </c>
      <c r="D382" s="1307">
        <v>1092000</v>
      </c>
      <c r="E382" s="1309">
        <v>1092000</v>
      </c>
      <c r="F382" s="1310">
        <v>3971</v>
      </c>
      <c r="G382" s="1307">
        <v>5.7390999999999996</v>
      </c>
      <c r="H382" s="1309">
        <v>0.18462200000000001</v>
      </c>
      <c r="I382" s="1309">
        <v>8.61E-4</v>
      </c>
      <c r="J382" s="1310">
        <v>11.5648</v>
      </c>
    </row>
    <row r="383" spans="2:10">
      <c r="B383" s="1307" t="s">
        <v>1082</v>
      </c>
      <c r="C383" s="1308">
        <v>2065</v>
      </c>
      <c r="D383" s="1307">
        <v>1092000</v>
      </c>
      <c r="E383" s="1309">
        <v>1092000</v>
      </c>
      <c r="F383" s="1310">
        <v>3971</v>
      </c>
      <c r="G383" s="1307">
        <v>5.7390999999999996</v>
      </c>
      <c r="H383" s="1309">
        <v>0.18462200000000001</v>
      </c>
      <c r="I383" s="1309">
        <v>8.61E-4</v>
      </c>
      <c r="J383" s="1310">
        <v>11.5648</v>
      </c>
    </row>
    <row r="384" spans="2:10">
      <c r="B384" s="1307" t="s">
        <v>680</v>
      </c>
      <c r="C384" s="1308">
        <v>2065</v>
      </c>
      <c r="D384" s="1307">
        <v>1092000</v>
      </c>
      <c r="E384" s="1309">
        <v>1092000</v>
      </c>
      <c r="F384" s="1310">
        <v>3971</v>
      </c>
      <c r="G384" s="1307">
        <v>5.7390999999999996</v>
      </c>
      <c r="H384" s="1309">
        <v>0.18462200000000001</v>
      </c>
      <c r="I384" s="1309">
        <v>8.61E-4</v>
      </c>
      <c r="J384" s="1310">
        <v>11.5648</v>
      </c>
    </row>
    <row r="385" spans="2:10">
      <c r="B385" s="1307" t="s">
        <v>681</v>
      </c>
      <c r="C385" s="1308">
        <v>2065</v>
      </c>
      <c r="D385" s="1307">
        <v>-1185000</v>
      </c>
      <c r="E385" s="1309">
        <v>0</v>
      </c>
      <c r="F385" s="1310">
        <v>0</v>
      </c>
      <c r="G385" s="1307">
        <v>-85.800000000000011</v>
      </c>
      <c r="H385" s="1309">
        <v>0.54700000000000004</v>
      </c>
      <c r="I385" s="1309">
        <v>-1.8286999999999999E-3</v>
      </c>
      <c r="J385" s="1310">
        <v>-70.08</v>
      </c>
    </row>
    <row r="386" spans="2:10">
      <c r="B386" s="1307" t="s">
        <v>682</v>
      </c>
      <c r="C386" s="1308">
        <v>2065</v>
      </c>
      <c r="D386" s="1307">
        <v>1721000</v>
      </c>
      <c r="E386" s="1309">
        <v>1293000</v>
      </c>
      <c r="F386" s="1310">
        <v>15050</v>
      </c>
      <c r="G386" s="1307">
        <v>125.08</v>
      </c>
      <c r="H386" s="1309">
        <v>0.20477100000000001</v>
      </c>
      <c r="I386" s="1309">
        <v>1.7827000000000001E-3</v>
      </c>
      <c r="J386" s="1310">
        <v>129.82</v>
      </c>
    </row>
    <row r="387" spans="2:10">
      <c r="B387" s="1307" t="s">
        <v>697</v>
      </c>
      <c r="C387" s="1308">
        <v>2065</v>
      </c>
      <c r="D387" s="1307">
        <v>1721000</v>
      </c>
      <c r="E387" s="1309">
        <v>1293000</v>
      </c>
      <c r="F387" s="1310">
        <v>15050</v>
      </c>
      <c r="G387" s="1307">
        <v>125.08</v>
      </c>
      <c r="H387" s="1309">
        <v>0.20477100000000001</v>
      </c>
      <c r="I387" s="1309">
        <v>1.7827000000000001E-3</v>
      </c>
      <c r="J387" s="1310">
        <v>129.82</v>
      </c>
    </row>
    <row r="388" spans="2:10">
      <c r="B388" s="1307" t="s">
        <v>683</v>
      </c>
      <c r="C388" s="1308">
        <v>2065</v>
      </c>
      <c r="D388" s="1307">
        <v>1721000</v>
      </c>
      <c r="E388" s="1309">
        <v>1293000</v>
      </c>
      <c r="F388" s="1310">
        <v>15050</v>
      </c>
      <c r="G388" s="1307">
        <v>125.08</v>
      </c>
      <c r="H388" s="1309">
        <v>0.20477100000000001</v>
      </c>
      <c r="I388" s="1309">
        <v>1.7827000000000001E-3</v>
      </c>
      <c r="J388" s="1310">
        <v>129.82</v>
      </c>
    </row>
    <row r="389" spans="2:10">
      <c r="B389" s="1307" t="s">
        <v>1083</v>
      </c>
      <c r="C389" s="1308">
        <v>2065</v>
      </c>
      <c r="D389" s="1307">
        <v>1022000</v>
      </c>
      <c r="E389" s="1309">
        <v>1021000</v>
      </c>
      <c r="F389" s="1310">
        <v>15510</v>
      </c>
      <c r="G389" s="1307">
        <v>1.6964999999999999</v>
      </c>
      <c r="H389" s="1309">
        <v>0.14096238999999999</v>
      </c>
      <c r="I389" s="1309">
        <v>3.2765999999999998E-5</v>
      </c>
      <c r="J389" s="1310">
        <v>5.9536999999999995</v>
      </c>
    </row>
    <row r="390" spans="2:10">
      <c r="B390" s="1307" t="s">
        <v>715</v>
      </c>
      <c r="C390" s="1308">
        <v>2065</v>
      </c>
      <c r="D390" s="1307">
        <v>1022000</v>
      </c>
      <c r="E390" s="1309">
        <v>1021000</v>
      </c>
      <c r="F390" s="1310">
        <v>15510</v>
      </c>
      <c r="G390" s="1307">
        <v>1.6964999999999999</v>
      </c>
      <c r="H390" s="1309">
        <v>0.14096238999999999</v>
      </c>
      <c r="I390" s="1309">
        <v>3.2765999999999998E-5</v>
      </c>
      <c r="J390" s="1310">
        <v>5.9536999999999995</v>
      </c>
    </row>
    <row r="391" spans="2:10">
      <c r="B391" s="1307" t="s">
        <v>716</v>
      </c>
      <c r="C391" s="1308">
        <v>2065</v>
      </c>
      <c r="D391" s="1307">
        <v>1022000</v>
      </c>
      <c r="E391" s="1309">
        <v>1021000</v>
      </c>
      <c r="F391" s="1310">
        <v>15510</v>
      </c>
      <c r="G391" s="1307">
        <v>1.6964999999999999</v>
      </c>
      <c r="H391" s="1309">
        <v>0.14096238999999999</v>
      </c>
      <c r="I391" s="1309">
        <v>3.2765999999999998E-5</v>
      </c>
      <c r="J391" s="1310">
        <v>5.9536999999999995</v>
      </c>
    </row>
    <row r="392" spans="2:10">
      <c r="B392" s="1307" t="s">
        <v>908</v>
      </c>
      <c r="C392" s="1308">
        <v>2065</v>
      </c>
      <c r="D392" s="1307">
        <v>1209000</v>
      </c>
      <c r="E392" s="1309">
        <v>1202000</v>
      </c>
      <c r="F392" s="1310">
        <v>1052000</v>
      </c>
      <c r="G392" s="1307">
        <v>17.969000000000001</v>
      </c>
      <c r="H392" s="1309">
        <v>0.164128</v>
      </c>
      <c r="I392" s="1309">
        <v>2.9025999999999998E-4</v>
      </c>
      <c r="J392" s="1310">
        <v>22.988</v>
      </c>
    </row>
    <row r="393" spans="2:10">
      <c r="B393" s="1307" t="s">
        <v>906</v>
      </c>
      <c r="C393" s="1308">
        <v>2065</v>
      </c>
      <c r="D393" s="1307">
        <v>1585000</v>
      </c>
      <c r="E393" s="1309">
        <v>696300</v>
      </c>
      <c r="F393" s="1310">
        <v>286000</v>
      </c>
      <c r="G393" s="1307">
        <v>38.049999999999997</v>
      </c>
      <c r="H393" s="1309">
        <v>0.1118</v>
      </c>
      <c r="I393" s="1309">
        <v>2.5350000000000001E-2</v>
      </c>
      <c r="J393" s="1310">
        <v>45.19</v>
      </c>
    </row>
    <row r="394" spans="2:10">
      <c r="B394" s="1307" t="s">
        <v>909</v>
      </c>
      <c r="C394" s="1308">
        <v>2065</v>
      </c>
      <c r="D394" s="1307">
        <v>1249000</v>
      </c>
      <c r="E394" s="1309">
        <v>1242000</v>
      </c>
      <c r="F394" s="1310">
        <v>1078000</v>
      </c>
      <c r="G394" s="1307">
        <v>23.84</v>
      </c>
      <c r="H394" s="1309">
        <v>0.16985799999999998</v>
      </c>
      <c r="I394" s="1309">
        <v>3.7813000000000001E-4</v>
      </c>
      <c r="J394" s="1310">
        <v>29.157000000000004</v>
      </c>
    </row>
    <row r="395" spans="2:10">
      <c r="B395" s="1307" t="s">
        <v>1077</v>
      </c>
      <c r="C395" s="1308">
        <v>2065</v>
      </c>
      <c r="D395" s="1307">
        <v>1190000</v>
      </c>
      <c r="E395" s="1309">
        <v>51590</v>
      </c>
      <c r="F395" s="1310">
        <v>29220</v>
      </c>
      <c r="G395" s="1307">
        <v>3.7582</v>
      </c>
      <c r="H395" s="1309">
        <v>8.4366999999999984E-3</v>
      </c>
      <c r="I395" s="1309">
        <v>-3.8261190000000002E-3</v>
      </c>
      <c r="J395" s="1310">
        <v>3.0054000000000003</v>
      </c>
    </row>
    <row r="396" spans="2:10">
      <c r="B396" s="1307" t="s">
        <v>814</v>
      </c>
      <c r="C396" s="1308">
        <v>2065</v>
      </c>
      <c r="D396" s="1307">
        <v>1190000</v>
      </c>
      <c r="E396" s="1309">
        <v>51590</v>
      </c>
      <c r="F396" s="1310">
        <v>29220</v>
      </c>
      <c r="G396" s="1307">
        <v>3.7582</v>
      </c>
      <c r="H396" s="1309">
        <v>8.4366999999999984E-3</v>
      </c>
      <c r="I396" s="1309">
        <v>-3.8261190000000002E-3</v>
      </c>
      <c r="J396" s="1310">
        <v>3.0054000000000003</v>
      </c>
    </row>
    <row r="397" spans="2:10">
      <c r="B397" s="1307" t="s">
        <v>823</v>
      </c>
      <c r="C397" s="1308">
        <v>2065</v>
      </c>
      <c r="D397" s="1307">
        <v>1190000</v>
      </c>
      <c r="E397" s="1309">
        <v>51590</v>
      </c>
      <c r="F397" s="1310">
        <v>29220</v>
      </c>
      <c r="G397" s="1307">
        <v>3.7582</v>
      </c>
      <c r="H397" s="1309">
        <v>8.4366999999999984E-3</v>
      </c>
      <c r="I397" s="1309">
        <v>-3.8261190000000002E-3</v>
      </c>
      <c r="J397" s="1310">
        <v>3.0054000000000003</v>
      </c>
    </row>
    <row r="398" spans="2:10" ht="13.5" thickBot="1">
      <c r="B398" s="1311" t="s">
        <v>1084</v>
      </c>
      <c r="C398" s="1312">
        <v>2065</v>
      </c>
      <c r="D398" s="1311">
        <v>1384000</v>
      </c>
      <c r="E398" s="1313">
        <v>1383000</v>
      </c>
      <c r="F398" s="1314">
        <v>5034</v>
      </c>
      <c r="G398" s="1311">
        <v>78.571100000000001</v>
      </c>
      <c r="H398" s="1313">
        <v>0.27494000000000002</v>
      </c>
      <c r="I398" s="1313">
        <v>2.3304000000000003E-3</v>
      </c>
      <c r="J398" s="1314">
        <v>87.594300000000004</v>
      </c>
    </row>
    <row r="399" spans="2:10">
      <c r="B399" s="1303" t="s">
        <v>1081</v>
      </c>
      <c r="C399" s="1304">
        <v>2070</v>
      </c>
      <c r="D399" s="1303">
        <v>1092000</v>
      </c>
      <c r="E399" s="1305">
        <v>1092000</v>
      </c>
      <c r="F399" s="1306">
        <v>3971</v>
      </c>
      <c r="G399" s="1303">
        <v>5.7390999999999996</v>
      </c>
      <c r="H399" s="1305">
        <v>0.18462200000000001</v>
      </c>
      <c r="I399" s="1305">
        <v>8.61E-4</v>
      </c>
      <c r="J399" s="1306">
        <v>11.5648</v>
      </c>
    </row>
    <row r="400" spans="2:10">
      <c r="B400" s="1307" t="s">
        <v>282</v>
      </c>
      <c r="C400" s="1308">
        <v>2070</v>
      </c>
      <c r="D400" s="1307">
        <v>1092000</v>
      </c>
      <c r="E400" s="1309">
        <v>1092000</v>
      </c>
      <c r="F400" s="1310">
        <v>3971</v>
      </c>
      <c r="G400" s="1307">
        <v>5.7390999999999996</v>
      </c>
      <c r="H400" s="1309">
        <v>0.18462200000000001</v>
      </c>
      <c r="I400" s="1309">
        <v>8.61E-4</v>
      </c>
      <c r="J400" s="1310">
        <v>11.5648</v>
      </c>
    </row>
    <row r="401" spans="2:10">
      <c r="B401" s="1307" t="s">
        <v>1082</v>
      </c>
      <c r="C401" s="1308">
        <v>2070</v>
      </c>
      <c r="D401" s="1307">
        <v>1092000</v>
      </c>
      <c r="E401" s="1309">
        <v>1092000</v>
      </c>
      <c r="F401" s="1310">
        <v>3971</v>
      </c>
      <c r="G401" s="1307">
        <v>5.7390999999999996</v>
      </c>
      <c r="H401" s="1309">
        <v>0.18462200000000001</v>
      </c>
      <c r="I401" s="1309">
        <v>8.61E-4</v>
      </c>
      <c r="J401" s="1310">
        <v>11.5648</v>
      </c>
    </row>
    <row r="402" spans="2:10">
      <c r="B402" s="1307" t="s">
        <v>680</v>
      </c>
      <c r="C402" s="1308">
        <v>2070</v>
      </c>
      <c r="D402" s="1307">
        <v>1092000</v>
      </c>
      <c r="E402" s="1309">
        <v>1092000</v>
      </c>
      <c r="F402" s="1310">
        <v>3971</v>
      </c>
      <c r="G402" s="1307">
        <v>5.7390999999999996</v>
      </c>
      <c r="H402" s="1309">
        <v>0.18462200000000001</v>
      </c>
      <c r="I402" s="1309">
        <v>8.61E-4</v>
      </c>
      <c r="J402" s="1310">
        <v>11.5648</v>
      </c>
    </row>
    <row r="403" spans="2:10">
      <c r="B403" s="1307" t="s">
        <v>681</v>
      </c>
      <c r="C403" s="1308">
        <v>2070</v>
      </c>
      <c r="D403" s="1307">
        <v>-1185000</v>
      </c>
      <c r="E403" s="1309">
        <v>0</v>
      </c>
      <c r="F403" s="1310">
        <v>0</v>
      </c>
      <c r="G403" s="1307">
        <v>-85.800000000000011</v>
      </c>
      <c r="H403" s="1309">
        <v>0.54700000000000004</v>
      </c>
      <c r="I403" s="1309">
        <v>-1.8286999999999999E-3</v>
      </c>
      <c r="J403" s="1310">
        <v>-70.08</v>
      </c>
    </row>
    <row r="404" spans="2:10">
      <c r="B404" s="1307" t="s">
        <v>682</v>
      </c>
      <c r="C404" s="1308">
        <v>2070</v>
      </c>
      <c r="D404" s="1307">
        <v>1721000</v>
      </c>
      <c r="E404" s="1309">
        <v>1293000</v>
      </c>
      <c r="F404" s="1310">
        <v>15050</v>
      </c>
      <c r="G404" s="1307">
        <v>125.08</v>
      </c>
      <c r="H404" s="1309">
        <v>0.20477100000000001</v>
      </c>
      <c r="I404" s="1309">
        <v>1.7827000000000001E-3</v>
      </c>
      <c r="J404" s="1310">
        <v>129.82</v>
      </c>
    </row>
    <row r="405" spans="2:10">
      <c r="B405" s="1307" t="s">
        <v>697</v>
      </c>
      <c r="C405" s="1308">
        <v>2070</v>
      </c>
      <c r="D405" s="1307">
        <v>1721000</v>
      </c>
      <c r="E405" s="1309">
        <v>1293000</v>
      </c>
      <c r="F405" s="1310">
        <v>15050</v>
      </c>
      <c r="G405" s="1307">
        <v>125.08</v>
      </c>
      <c r="H405" s="1309">
        <v>0.20477100000000001</v>
      </c>
      <c r="I405" s="1309">
        <v>1.7827000000000001E-3</v>
      </c>
      <c r="J405" s="1310">
        <v>129.82</v>
      </c>
    </row>
    <row r="406" spans="2:10">
      <c r="B406" s="1307" t="s">
        <v>683</v>
      </c>
      <c r="C406" s="1308">
        <v>2070</v>
      </c>
      <c r="D406" s="1307">
        <v>1721000</v>
      </c>
      <c r="E406" s="1309">
        <v>1293000</v>
      </c>
      <c r="F406" s="1310">
        <v>15050</v>
      </c>
      <c r="G406" s="1307">
        <v>125.08</v>
      </c>
      <c r="H406" s="1309">
        <v>0.20477100000000001</v>
      </c>
      <c r="I406" s="1309">
        <v>1.7827000000000001E-3</v>
      </c>
      <c r="J406" s="1310">
        <v>129.82</v>
      </c>
    </row>
    <row r="407" spans="2:10">
      <c r="B407" s="1307" t="s">
        <v>1083</v>
      </c>
      <c r="C407" s="1308">
        <v>2070</v>
      </c>
      <c r="D407" s="1307">
        <v>1022000</v>
      </c>
      <c r="E407" s="1309">
        <v>1021000</v>
      </c>
      <c r="F407" s="1310">
        <v>15510</v>
      </c>
      <c r="G407" s="1307">
        <v>1.6964999999999999</v>
      </c>
      <c r="H407" s="1309">
        <v>0.14096238999999999</v>
      </c>
      <c r="I407" s="1309">
        <v>3.2765999999999998E-5</v>
      </c>
      <c r="J407" s="1310">
        <v>5.9536999999999995</v>
      </c>
    </row>
    <row r="408" spans="2:10">
      <c r="B408" s="1307" t="s">
        <v>715</v>
      </c>
      <c r="C408" s="1308">
        <v>2070</v>
      </c>
      <c r="D408" s="1307">
        <v>1022000</v>
      </c>
      <c r="E408" s="1309">
        <v>1021000</v>
      </c>
      <c r="F408" s="1310">
        <v>15510</v>
      </c>
      <c r="G408" s="1307">
        <v>1.6964999999999999</v>
      </c>
      <c r="H408" s="1309">
        <v>0.14096238999999999</v>
      </c>
      <c r="I408" s="1309">
        <v>3.2765999999999998E-5</v>
      </c>
      <c r="J408" s="1310">
        <v>5.9536999999999995</v>
      </c>
    </row>
    <row r="409" spans="2:10">
      <c r="B409" s="1307" t="s">
        <v>716</v>
      </c>
      <c r="C409" s="1308">
        <v>2070</v>
      </c>
      <c r="D409" s="1307">
        <v>1022000</v>
      </c>
      <c r="E409" s="1309">
        <v>1021000</v>
      </c>
      <c r="F409" s="1310">
        <v>15510</v>
      </c>
      <c r="G409" s="1307">
        <v>1.6964999999999999</v>
      </c>
      <c r="H409" s="1309">
        <v>0.14096238999999999</v>
      </c>
      <c r="I409" s="1309">
        <v>3.2765999999999998E-5</v>
      </c>
      <c r="J409" s="1310">
        <v>5.9536999999999995</v>
      </c>
    </row>
    <row r="410" spans="2:10">
      <c r="B410" s="1307" t="s">
        <v>908</v>
      </c>
      <c r="C410" s="1308">
        <v>2070</v>
      </c>
      <c r="D410" s="1307">
        <v>1209000</v>
      </c>
      <c r="E410" s="1309">
        <v>1202000</v>
      </c>
      <c r="F410" s="1310">
        <v>1052000</v>
      </c>
      <c r="G410" s="1307">
        <v>17.969000000000001</v>
      </c>
      <c r="H410" s="1309">
        <v>0.164128</v>
      </c>
      <c r="I410" s="1309">
        <v>2.9025999999999998E-4</v>
      </c>
      <c r="J410" s="1310">
        <v>22.988</v>
      </c>
    </row>
    <row r="411" spans="2:10">
      <c r="B411" s="1307" t="s">
        <v>906</v>
      </c>
      <c r="C411" s="1308">
        <v>2070</v>
      </c>
      <c r="D411" s="1307">
        <v>1585000</v>
      </c>
      <c r="E411" s="1309">
        <v>696300</v>
      </c>
      <c r="F411" s="1310">
        <v>286000</v>
      </c>
      <c r="G411" s="1307">
        <v>38.049999999999997</v>
      </c>
      <c r="H411" s="1309">
        <v>0.1118</v>
      </c>
      <c r="I411" s="1309">
        <v>2.5350000000000001E-2</v>
      </c>
      <c r="J411" s="1310">
        <v>45.19</v>
      </c>
    </row>
    <row r="412" spans="2:10">
      <c r="B412" s="1307" t="s">
        <v>909</v>
      </c>
      <c r="C412" s="1308">
        <v>2070</v>
      </c>
      <c r="D412" s="1307">
        <v>1249000</v>
      </c>
      <c r="E412" s="1309">
        <v>1242000</v>
      </c>
      <c r="F412" s="1310">
        <v>1078000</v>
      </c>
      <c r="G412" s="1307">
        <v>23.84</v>
      </c>
      <c r="H412" s="1309">
        <v>0.16985799999999998</v>
      </c>
      <c r="I412" s="1309">
        <v>3.7813000000000001E-4</v>
      </c>
      <c r="J412" s="1310">
        <v>29.157000000000004</v>
      </c>
    </row>
    <row r="413" spans="2:10">
      <c r="B413" s="1307" t="s">
        <v>1077</v>
      </c>
      <c r="C413" s="1308">
        <v>2070</v>
      </c>
      <c r="D413" s="1307">
        <v>1190000</v>
      </c>
      <c r="E413" s="1309">
        <v>51590</v>
      </c>
      <c r="F413" s="1310">
        <v>29220</v>
      </c>
      <c r="G413" s="1307">
        <v>3.7582</v>
      </c>
      <c r="H413" s="1309">
        <v>8.4366999999999984E-3</v>
      </c>
      <c r="I413" s="1309">
        <v>-3.8261190000000002E-3</v>
      </c>
      <c r="J413" s="1310">
        <v>3.0054000000000003</v>
      </c>
    </row>
    <row r="414" spans="2:10">
      <c r="B414" s="1307" t="s">
        <v>814</v>
      </c>
      <c r="C414" s="1308">
        <v>2070</v>
      </c>
      <c r="D414" s="1307">
        <v>1190000</v>
      </c>
      <c r="E414" s="1309">
        <v>51590</v>
      </c>
      <c r="F414" s="1310">
        <v>29220</v>
      </c>
      <c r="G414" s="1307">
        <v>3.7582</v>
      </c>
      <c r="H414" s="1309">
        <v>8.4366999999999984E-3</v>
      </c>
      <c r="I414" s="1309">
        <v>-3.8261190000000002E-3</v>
      </c>
      <c r="J414" s="1310">
        <v>3.0054000000000003</v>
      </c>
    </row>
    <row r="415" spans="2:10">
      <c r="B415" s="1307" t="s">
        <v>823</v>
      </c>
      <c r="C415" s="1308">
        <v>2070</v>
      </c>
      <c r="D415" s="1307">
        <v>1190000</v>
      </c>
      <c r="E415" s="1309">
        <v>51590</v>
      </c>
      <c r="F415" s="1310">
        <v>29220</v>
      </c>
      <c r="G415" s="1307">
        <v>3.7582</v>
      </c>
      <c r="H415" s="1309">
        <v>8.4366999999999984E-3</v>
      </c>
      <c r="I415" s="1309">
        <v>-3.8261190000000002E-3</v>
      </c>
      <c r="J415" s="1310">
        <v>3.0054000000000003</v>
      </c>
    </row>
    <row r="416" spans="2:10" ht="13.5" thickBot="1">
      <c r="B416" s="1311" t="s">
        <v>1084</v>
      </c>
      <c r="C416" s="1312">
        <v>2070</v>
      </c>
      <c r="D416" s="1311">
        <v>1384000</v>
      </c>
      <c r="E416" s="1313">
        <v>1383000</v>
      </c>
      <c r="F416" s="1314">
        <v>5034</v>
      </c>
      <c r="G416" s="1311">
        <v>78.571100000000001</v>
      </c>
      <c r="H416" s="1313">
        <v>0.27494000000000002</v>
      </c>
      <c r="I416" s="1313">
        <v>2.3304000000000003E-3</v>
      </c>
      <c r="J416" s="1314">
        <v>87.594300000000004</v>
      </c>
    </row>
    <row r="417" spans="2:10">
      <c r="B417" s="1303" t="s">
        <v>1081</v>
      </c>
      <c r="C417" s="1304">
        <v>2075</v>
      </c>
      <c r="D417" s="1303">
        <v>1092000</v>
      </c>
      <c r="E417" s="1305">
        <v>1092000</v>
      </c>
      <c r="F417" s="1306">
        <v>3971</v>
      </c>
      <c r="G417" s="1303">
        <v>5.7390999999999996</v>
      </c>
      <c r="H417" s="1305">
        <v>0.18462200000000001</v>
      </c>
      <c r="I417" s="1305">
        <v>8.61E-4</v>
      </c>
      <c r="J417" s="1306">
        <v>11.5648</v>
      </c>
    </row>
    <row r="418" spans="2:10">
      <c r="B418" s="1307" t="s">
        <v>282</v>
      </c>
      <c r="C418" s="1308">
        <v>2075</v>
      </c>
      <c r="D418" s="1307">
        <v>1092000</v>
      </c>
      <c r="E418" s="1309">
        <v>1092000</v>
      </c>
      <c r="F418" s="1310">
        <v>3971</v>
      </c>
      <c r="G418" s="1307">
        <v>5.7390999999999996</v>
      </c>
      <c r="H418" s="1309">
        <v>0.18462200000000001</v>
      </c>
      <c r="I418" s="1309">
        <v>8.61E-4</v>
      </c>
      <c r="J418" s="1310">
        <v>11.5648</v>
      </c>
    </row>
    <row r="419" spans="2:10">
      <c r="B419" s="1307" t="s">
        <v>1082</v>
      </c>
      <c r="C419" s="1308">
        <v>2075</v>
      </c>
      <c r="D419" s="1307">
        <v>1092000</v>
      </c>
      <c r="E419" s="1309">
        <v>1092000</v>
      </c>
      <c r="F419" s="1310">
        <v>3971</v>
      </c>
      <c r="G419" s="1307">
        <v>5.7390999999999996</v>
      </c>
      <c r="H419" s="1309">
        <v>0.18462200000000001</v>
      </c>
      <c r="I419" s="1309">
        <v>8.61E-4</v>
      </c>
      <c r="J419" s="1310">
        <v>11.5648</v>
      </c>
    </row>
    <row r="420" spans="2:10">
      <c r="B420" s="1307" t="s">
        <v>680</v>
      </c>
      <c r="C420" s="1308">
        <v>2075</v>
      </c>
      <c r="D420" s="1307">
        <v>1092000</v>
      </c>
      <c r="E420" s="1309">
        <v>1092000</v>
      </c>
      <c r="F420" s="1310">
        <v>3971</v>
      </c>
      <c r="G420" s="1307">
        <v>5.7390999999999996</v>
      </c>
      <c r="H420" s="1309">
        <v>0.18462200000000001</v>
      </c>
      <c r="I420" s="1309">
        <v>8.61E-4</v>
      </c>
      <c r="J420" s="1310">
        <v>11.5648</v>
      </c>
    </row>
    <row r="421" spans="2:10">
      <c r="B421" s="1307" t="s">
        <v>681</v>
      </c>
      <c r="C421" s="1308">
        <v>2075</v>
      </c>
      <c r="D421" s="1307">
        <v>-1185000</v>
      </c>
      <c r="E421" s="1309">
        <v>0</v>
      </c>
      <c r="F421" s="1310">
        <v>0</v>
      </c>
      <c r="G421" s="1307">
        <v>-85.800000000000011</v>
      </c>
      <c r="H421" s="1309">
        <v>0.54700000000000004</v>
      </c>
      <c r="I421" s="1309">
        <v>-1.8286999999999999E-3</v>
      </c>
      <c r="J421" s="1310">
        <v>-70.08</v>
      </c>
    </row>
    <row r="422" spans="2:10">
      <c r="B422" s="1307" t="s">
        <v>682</v>
      </c>
      <c r="C422" s="1308">
        <v>2075</v>
      </c>
      <c r="D422" s="1307">
        <v>1721000</v>
      </c>
      <c r="E422" s="1309">
        <v>1293000</v>
      </c>
      <c r="F422" s="1310">
        <v>15050</v>
      </c>
      <c r="G422" s="1307">
        <v>125.08</v>
      </c>
      <c r="H422" s="1309">
        <v>0.20477100000000001</v>
      </c>
      <c r="I422" s="1309">
        <v>1.7827000000000001E-3</v>
      </c>
      <c r="J422" s="1310">
        <v>129.82</v>
      </c>
    </row>
    <row r="423" spans="2:10">
      <c r="B423" s="1307" t="s">
        <v>697</v>
      </c>
      <c r="C423" s="1308">
        <v>2075</v>
      </c>
      <c r="D423" s="1307">
        <v>1721000</v>
      </c>
      <c r="E423" s="1309">
        <v>1293000</v>
      </c>
      <c r="F423" s="1310">
        <v>15050</v>
      </c>
      <c r="G423" s="1307">
        <v>125.08</v>
      </c>
      <c r="H423" s="1309">
        <v>0.20477100000000001</v>
      </c>
      <c r="I423" s="1309">
        <v>1.7827000000000001E-3</v>
      </c>
      <c r="J423" s="1310">
        <v>129.82</v>
      </c>
    </row>
    <row r="424" spans="2:10">
      <c r="B424" s="1307" t="s">
        <v>683</v>
      </c>
      <c r="C424" s="1308">
        <v>2075</v>
      </c>
      <c r="D424" s="1307">
        <v>1721000</v>
      </c>
      <c r="E424" s="1309">
        <v>1293000</v>
      </c>
      <c r="F424" s="1310">
        <v>15050</v>
      </c>
      <c r="G424" s="1307">
        <v>125.08</v>
      </c>
      <c r="H424" s="1309">
        <v>0.20477100000000001</v>
      </c>
      <c r="I424" s="1309">
        <v>1.7827000000000001E-3</v>
      </c>
      <c r="J424" s="1310">
        <v>129.82</v>
      </c>
    </row>
    <row r="425" spans="2:10">
      <c r="B425" s="1307" t="s">
        <v>1083</v>
      </c>
      <c r="C425" s="1308">
        <v>2075</v>
      </c>
      <c r="D425" s="1307">
        <v>1022000</v>
      </c>
      <c r="E425" s="1309">
        <v>1021000</v>
      </c>
      <c r="F425" s="1310">
        <v>15510</v>
      </c>
      <c r="G425" s="1307">
        <v>1.6964999999999999</v>
      </c>
      <c r="H425" s="1309">
        <v>0.14096238999999999</v>
      </c>
      <c r="I425" s="1309">
        <v>3.2765999999999998E-5</v>
      </c>
      <c r="J425" s="1310">
        <v>5.9536999999999995</v>
      </c>
    </row>
    <row r="426" spans="2:10">
      <c r="B426" s="1307" t="s">
        <v>715</v>
      </c>
      <c r="C426" s="1308">
        <v>2075</v>
      </c>
      <c r="D426" s="1307">
        <v>1022000</v>
      </c>
      <c r="E426" s="1309">
        <v>1021000</v>
      </c>
      <c r="F426" s="1310">
        <v>15510</v>
      </c>
      <c r="G426" s="1307">
        <v>1.6964999999999999</v>
      </c>
      <c r="H426" s="1309">
        <v>0.14096238999999999</v>
      </c>
      <c r="I426" s="1309">
        <v>3.2765999999999998E-5</v>
      </c>
      <c r="J426" s="1310">
        <v>5.9536999999999995</v>
      </c>
    </row>
    <row r="427" spans="2:10">
      <c r="B427" s="1307" t="s">
        <v>716</v>
      </c>
      <c r="C427" s="1308">
        <v>2075</v>
      </c>
      <c r="D427" s="1307">
        <v>1022000</v>
      </c>
      <c r="E427" s="1309">
        <v>1021000</v>
      </c>
      <c r="F427" s="1310">
        <v>15510</v>
      </c>
      <c r="G427" s="1307">
        <v>1.6964999999999999</v>
      </c>
      <c r="H427" s="1309">
        <v>0.14096238999999999</v>
      </c>
      <c r="I427" s="1309">
        <v>3.2765999999999998E-5</v>
      </c>
      <c r="J427" s="1310">
        <v>5.9536999999999995</v>
      </c>
    </row>
    <row r="428" spans="2:10">
      <c r="B428" s="1307" t="s">
        <v>908</v>
      </c>
      <c r="C428" s="1308">
        <v>2075</v>
      </c>
      <c r="D428" s="1307">
        <v>1209000</v>
      </c>
      <c r="E428" s="1309">
        <v>1202000</v>
      </c>
      <c r="F428" s="1310">
        <v>1052000</v>
      </c>
      <c r="G428" s="1307">
        <v>17.969000000000001</v>
      </c>
      <c r="H428" s="1309">
        <v>0.164128</v>
      </c>
      <c r="I428" s="1309">
        <v>2.9025999999999998E-4</v>
      </c>
      <c r="J428" s="1310">
        <v>22.988</v>
      </c>
    </row>
    <row r="429" spans="2:10">
      <c r="B429" s="1307" t="s">
        <v>906</v>
      </c>
      <c r="C429" s="1308">
        <v>2075</v>
      </c>
      <c r="D429" s="1307">
        <v>1585000</v>
      </c>
      <c r="E429" s="1309">
        <v>696300</v>
      </c>
      <c r="F429" s="1310">
        <v>286000</v>
      </c>
      <c r="G429" s="1307">
        <v>38.049999999999997</v>
      </c>
      <c r="H429" s="1309">
        <v>0.1118</v>
      </c>
      <c r="I429" s="1309">
        <v>2.5350000000000001E-2</v>
      </c>
      <c r="J429" s="1310">
        <v>45.19</v>
      </c>
    </row>
    <row r="430" spans="2:10">
      <c r="B430" s="1307" t="s">
        <v>909</v>
      </c>
      <c r="C430" s="1308">
        <v>2075</v>
      </c>
      <c r="D430" s="1307">
        <v>1249000</v>
      </c>
      <c r="E430" s="1309">
        <v>1242000</v>
      </c>
      <c r="F430" s="1310">
        <v>1078000</v>
      </c>
      <c r="G430" s="1307">
        <v>23.84</v>
      </c>
      <c r="H430" s="1309">
        <v>0.16985799999999998</v>
      </c>
      <c r="I430" s="1309">
        <v>3.7813000000000001E-4</v>
      </c>
      <c r="J430" s="1310">
        <v>29.157000000000004</v>
      </c>
    </row>
    <row r="431" spans="2:10">
      <c r="B431" s="1307" t="s">
        <v>1077</v>
      </c>
      <c r="C431" s="1308">
        <v>2075</v>
      </c>
      <c r="D431" s="1307">
        <v>1190000</v>
      </c>
      <c r="E431" s="1309">
        <v>51590</v>
      </c>
      <c r="F431" s="1310">
        <v>29220</v>
      </c>
      <c r="G431" s="1307">
        <v>3.7582</v>
      </c>
      <c r="H431" s="1309">
        <v>8.4366999999999984E-3</v>
      </c>
      <c r="I431" s="1309">
        <v>-3.8261190000000002E-3</v>
      </c>
      <c r="J431" s="1310">
        <v>3.0054000000000003</v>
      </c>
    </row>
    <row r="432" spans="2:10">
      <c r="B432" s="1307" t="s">
        <v>814</v>
      </c>
      <c r="C432" s="1308">
        <v>2075</v>
      </c>
      <c r="D432" s="1307">
        <v>1190000</v>
      </c>
      <c r="E432" s="1309">
        <v>51590</v>
      </c>
      <c r="F432" s="1310">
        <v>29220</v>
      </c>
      <c r="G432" s="1307">
        <v>3.7582</v>
      </c>
      <c r="H432" s="1309">
        <v>8.4366999999999984E-3</v>
      </c>
      <c r="I432" s="1309">
        <v>-3.8261190000000002E-3</v>
      </c>
      <c r="J432" s="1310">
        <v>3.0054000000000003</v>
      </c>
    </row>
    <row r="433" spans="2:10">
      <c r="B433" s="1307" t="s">
        <v>823</v>
      </c>
      <c r="C433" s="1308">
        <v>2075</v>
      </c>
      <c r="D433" s="1307">
        <v>1190000</v>
      </c>
      <c r="E433" s="1309">
        <v>51590</v>
      </c>
      <c r="F433" s="1310">
        <v>29220</v>
      </c>
      <c r="G433" s="1307">
        <v>3.7582</v>
      </c>
      <c r="H433" s="1309">
        <v>8.4366999999999984E-3</v>
      </c>
      <c r="I433" s="1309">
        <v>-3.8261190000000002E-3</v>
      </c>
      <c r="J433" s="1310">
        <v>3.0054000000000003</v>
      </c>
    </row>
    <row r="434" spans="2:10" ht="13.5" thickBot="1">
      <c r="B434" s="1311" t="s">
        <v>1084</v>
      </c>
      <c r="C434" s="1312">
        <v>2075</v>
      </c>
      <c r="D434" s="1311">
        <v>1384000</v>
      </c>
      <c r="E434" s="1313">
        <v>1383000</v>
      </c>
      <c r="F434" s="1314">
        <v>5034</v>
      </c>
      <c r="G434" s="1311">
        <v>78.571100000000001</v>
      </c>
      <c r="H434" s="1313">
        <v>0.27494000000000002</v>
      </c>
      <c r="I434" s="1313">
        <v>2.3304000000000003E-3</v>
      </c>
      <c r="J434" s="1314">
        <v>87.594300000000004</v>
      </c>
    </row>
    <row r="435" spans="2:10">
      <c r="B435" s="1303" t="s">
        <v>1081</v>
      </c>
      <c r="C435" s="1304">
        <v>2080</v>
      </c>
      <c r="D435" s="1303">
        <v>1092000</v>
      </c>
      <c r="E435" s="1305">
        <v>1092000</v>
      </c>
      <c r="F435" s="1306">
        <v>3971</v>
      </c>
      <c r="G435" s="1303">
        <v>5.7390999999999996</v>
      </c>
      <c r="H435" s="1305">
        <v>0.18462200000000001</v>
      </c>
      <c r="I435" s="1305">
        <v>8.61E-4</v>
      </c>
      <c r="J435" s="1306">
        <v>11.5648</v>
      </c>
    </row>
    <row r="436" spans="2:10">
      <c r="B436" s="1307" t="s">
        <v>282</v>
      </c>
      <c r="C436" s="1308">
        <v>2080</v>
      </c>
      <c r="D436" s="1307">
        <v>1092000</v>
      </c>
      <c r="E436" s="1309">
        <v>1092000</v>
      </c>
      <c r="F436" s="1310">
        <v>3971</v>
      </c>
      <c r="G436" s="1307">
        <v>5.7390999999999996</v>
      </c>
      <c r="H436" s="1309">
        <v>0.18462200000000001</v>
      </c>
      <c r="I436" s="1309">
        <v>8.61E-4</v>
      </c>
      <c r="J436" s="1310">
        <v>11.5648</v>
      </c>
    </row>
    <row r="437" spans="2:10">
      <c r="B437" s="1307" t="s">
        <v>1082</v>
      </c>
      <c r="C437" s="1308">
        <v>2080</v>
      </c>
      <c r="D437" s="1307">
        <v>1092000</v>
      </c>
      <c r="E437" s="1309">
        <v>1092000</v>
      </c>
      <c r="F437" s="1310">
        <v>3971</v>
      </c>
      <c r="G437" s="1307">
        <v>5.7390999999999996</v>
      </c>
      <c r="H437" s="1309">
        <v>0.18462200000000001</v>
      </c>
      <c r="I437" s="1309">
        <v>8.61E-4</v>
      </c>
      <c r="J437" s="1310">
        <v>11.5648</v>
      </c>
    </row>
    <row r="438" spans="2:10">
      <c r="B438" s="1307" t="s">
        <v>680</v>
      </c>
      <c r="C438" s="1308">
        <v>2080</v>
      </c>
      <c r="D438" s="1307">
        <v>1092000</v>
      </c>
      <c r="E438" s="1309">
        <v>1092000</v>
      </c>
      <c r="F438" s="1310">
        <v>3971</v>
      </c>
      <c r="G438" s="1307">
        <v>5.7390999999999996</v>
      </c>
      <c r="H438" s="1309">
        <v>0.18462200000000001</v>
      </c>
      <c r="I438" s="1309">
        <v>8.61E-4</v>
      </c>
      <c r="J438" s="1310">
        <v>11.5648</v>
      </c>
    </row>
    <row r="439" spans="2:10">
      <c r="B439" s="1307" t="s">
        <v>681</v>
      </c>
      <c r="C439" s="1308">
        <v>2080</v>
      </c>
      <c r="D439" s="1307">
        <v>-1185000</v>
      </c>
      <c r="E439" s="1309">
        <v>0</v>
      </c>
      <c r="F439" s="1310">
        <v>0</v>
      </c>
      <c r="G439" s="1307">
        <v>-85.800000000000011</v>
      </c>
      <c r="H439" s="1309">
        <v>0.54700000000000004</v>
      </c>
      <c r="I439" s="1309">
        <v>-1.8286999999999999E-3</v>
      </c>
      <c r="J439" s="1310">
        <v>-70.08</v>
      </c>
    </row>
    <row r="440" spans="2:10">
      <c r="B440" s="1307" t="s">
        <v>682</v>
      </c>
      <c r="C440" s="1308">
        <v>2080</v>
      </c>
      <c r="D440" s="1307">
        <v>1721000</v>
      </c>
      <c r="E440" s="1309">
        <v>1293000</v>
      </c>
      <c r="F440" s="1310">
        <v>15050</v>
      </c>
      <c r="G440" s="1307">
        <v>125.08</v>
      </c>
      <c r="H440" s="1309">
        <v>0.20477100000000001</v>
      </c>
      <c r="I440" s="1309">
        <v>1.7827000000000001E-3</v>
      </c>
      <c r="J440" s="1310">
        <v>129.82</v>
      </c>
    </row>
    <row r="441" spans="2:10">
      <c r="B441" s="1307" t="s">
        <v>697</v>
      </c>
      <c r="C441" s="1308">
        <v>2080</v>
      </c>
      <c r="D441" s="1307">
        <v>1721000</v>
      </c>
      <c r="E441" s="1309">
        <v>1293000</v>
      </c>
      <c r="F441" s="1310">
        <v>15050</v>
      </c>
      <c r="G441" s="1307">
        <v>125.08</v>
      </c>
      <c r="H441" s="1309">
        <v>0.20477100000000001</v>
      </c>
      <c r="I441" s="1309">
        <v>1.7827000000000001E-3</v>
      </c>
      <c r="J441" s="1310">
        <v>129.82</v>
      </c>
    </row>
    <row r="442" spans="2:10">
      <c r="B442" s="1307" t="s">
        <v>683</v>
      </c>
      <c r="C442" s="1308">
        <v>2080</v>
      </c>
      <c r="D442" s="1307">
        <v>1721000</v>
      </c>
      <c r="E442" s="1309">
        <v>1293000</v>
      </c>
      <c r="F442" s="1310">
        <v>15050</v>
      </c>
      <c r="G442" s="1307">
        <v>125.08</v>
      </c>
      <c r="H442" s="1309">
        <v>0.20477100000000001</v>
      </c>
      <c r="I442" s="1309">
        <v>1.7827000000000001E-3</v>
      </c>
      <c r="J442" s="1310">
        <v>129.82</v>
      </c>
    </row>
    <row r="443" spans="2:10">
      <c r="B443" s="1307" t="s">
        <v>1083</v>
      </c>
      <c r="C443" s="1308">
        <v>2080</v>
      </c>
      <c r="D443" s="1307">
        <v>1022000</v>
      </c>
      <c r="E443" s="1309">
        <v>1021000</v>
      </c>
      <c r="F443" s="1310">
        <v>15510</v>
      </c>
      <c r="G443" s="1307">
        <v>1.6964999999999999</v>
      </c>
      <c r="H443" s="1309">
        <v>0.14096238999999999</v>
      </c>
      <c r="I443" s="1309">
        <v>3.2765999999999998E-5</v>
      </c>
      <c r="J443" s="1310">
        <v>5.9536999999999995</v>
      </c>
    </row>
    <row r="444" spans="2:10">
      <c r="B444" s="1307" t="s">
        <v>715</v>
      </c>
      <c r="C444" s="1308">
        <v>2080</v>
      </c>
      <c r="D444" s="1307">
        <v>1022000</v>
      </c>
      <c r="E444" s="1309">
        <v>1021000</v>
      </c>
      <c r="F444" s="1310">
        <v>15510</v>
      </c>
      <c r="G444" s="1307">
        <v>1.6964999999999999</v>
      </c>
      <c r="H444" s="1309">
        <v>0.14096238999999999</v>
      </c>
      <c r="I444" s="1309">
        <v>3.2765999999999998E-5</v>
      </c>
      <c r="J444" s="1310">
        <v>5.9536999999999995</v>
      </c>
    </row>
    <row r="445" spans="2:10">
      <c r="B445" s="1307" t="s">
        <v>716</v>
      </c>
      <c r="C445" s="1308">
        <v>2080</v>
      </c>
      <c r="D445" s="1307">
        <v>1022000</v>
      </c>
      <c r="E445" s="1309">
        <v>1021000</v>
      </c>
      <c r="F445" s="1310">
        <v>15510</v>
      </c>
      <c r="G445" s="1307">
        <v>1.6964999999999999</v>
      </c>
      <c r="H445" s="1309">
        <v>0.14096238999999999</v>
      </c>
      <c r="I445" s="1309">
        <v>3.2765999999999998E-5</v>
      </c>
      <c r="J445" s="1310">
        <v>5.9536999999999995</v>
      </c>
    </row>
    <row r="446" spans="2:10">
      <c r="B446" s="1307" t="s">
        <v>908</v>
      </c>
      <c r="C446" s="1308">
        <v>2080</v>
      </c>
      <c r="D446" s="1307">
        <v>1209000</v>
      </c>
      <c r="E446" s="1309">
        <v>1202000</v>
      </c>
      <c r="F446" s="1310">
        <v>1052000</v>
      </c>
      <c r="G446" s="1307">
        <v>17.969000000000001</v>
      </c>
      <c r="H446" s="1309">
        <v>0.164128</v>
      </c>
      <c r="I446" s="1309">
        <v>2.9025999999999998E-4</v>
      </c>
      <c r="J446" s="1310">
        <v>22.988</v>
      </c>
    </row>
    <row r="447" spans="2:10">
      <c r="B447" s="1307" t="s">
        <v>906</v>
      </c>
      <c r="C447" s="1308">
        <v>2080</v>
      </c>
      <c r="D447" s="1307">
        <v>1585000</v>
      </c>
      <c r="E447" s="1309">
        <v>696300</v>
      </c>
      <c r="F447" s="1310">
        <v>286000</v>
      </c>
      <c r="G447" s="1307">
        <v>38.049999999999997</v>
      </c>
      <c r="H447" s="1309">
        <v>0.1118</v>
      </c>
      <c r="I447" s="1309">
        <v>2.5350000000000001E-2</v>
      </c>
      <c r="J447" s="1310">
        <v>45.19</v>
      </c>
    </row>
    <row r="448" spans="2:10">
      <c r="B448" s="1307" t="s">
        <v>909</v>
      </c>
      <c r="C448" s="1308">
        <v>2080</v>
      </c>
      <c r="D448" s="1307">
        <v>1249000</v>
      </c>
      <c r="E448" s="1309">
        <v>1242000</v>
      </c>
      <c r="F448" s="1310">
        <v>1078000</v>
      </c>
      <c r="G448" s="1307">
        <v>23.84</v>
      </c>
      <c r="H448" s="1309">
        <v>0.16985799999999998</v>
      </c>
      <c r="I448" s="1309">
        <v>3.7813000000000001E-4</v>
      </c>
      <c r="J448" s="1310">
        <v>29.157000000000004</v>
      </c>
    </row>
    <row r="449" spans="2:10">
      <c r="B449" s="1307" t="s">
        <v>1077</v>
      </c>
      <c r="C449" s="1308">
        <v>2080</v>
      </c>
      <c r="D449" s="1307">
        <v>1190000</v>
      </c>
      <c r="E449" s="1309">
        <v>51590</v>
      </c>
      <c r="F449" s="1310">
        <v>29220</v>
      </c>
      <c r="G449" s="1307">
        <v>3.7582</v>
      </c>
      <c r="H449" s="1309">
        <v>8.4366999999999984E-3</v>
      </c>
      <c r="I449" s="1309">
        <v>-3.8261190000000002E-3</v>
      </c>
      <c r="J449" s="1310">
        <v>3.0054000000000003</v>
      </c>
    </row>
    <row r="450" spans="2:10">
      <c r="B450" s="1307" t="s">
        <v>814</v>
      </c>
      <c r="C450" s="1308">
        <v>2080</v>
      </c>
      <c r="D450" s="1307">
        <v>1190000</v>
      </c>
      <c r="E450" s="1309">
        <v>51590</v>
      </c>
      <c r="F450" s="1310">
        <v>29220</v>
      </c>
      <c r="G450" s="1307">
        <v>3.7582</v>
      </c>
      <c r="H450" s="1309">
        <v>8.4366999999999984E-3</v>
      </c>
      <c r="I450" s="1309">
        <v>-3.8261190000000002E-3</v>
      </c>
      <c r="J450" s="1310">
        <v>3.0054000000000003</v>
      </c>
    </row>
    <row r="451" spans="2:10">
      <c r="B451" s="1307" t="s">
        <v>823</v>
      </c>
      <c r="C451" s="1308">
        <v>2080</v>
      </c>
      <c r="D451" s="1307">
        <v>1190000</v>
      </c>
      <c r="E451" s="1309">
        <v>51590</v>
      </c>
      <c r="F451" s="1310">
        <v>29220</v>
      </c>
      <c r="G451" s="1307">
        <v>3.7582</v>
      </c>
      <c r="H451" s="1309">
        <v>8.4366999999999984E-3</v>
      </c>
      <c r="I451" s="1309">
        <v>-3.8261190000000002E-3</v>
      </c>
      <c r="J451" s="1310">
        <v>3.0054000000000003</v>
      </c>
    </row>
    <row r="452" spans="2:10" ht="13.5" thickBot="1">
      <c r="B452" s="1311" t="s">
        <v>1084</v>
      </c>
      <c r="C452" s="1312">
        <v>2080</v>
      </c>
      <c r="D452" s="1311">
        <v>1384000</v>
      </c>
      <c r="E452" s="1313">
        <v>1383000</v>
      </c>
      <c r="F452" s="1314">
        <v>5034</v>
      </c>
      <c r="G452" s="1311">
        <v>78.571100000000001</v>
      </c>
      <c r="H452" s="1313">
        <v>0.27494000000000002</v>
      </c>
      <c r="I452" s="1313">
        <v>2.3304000000000003E-3</v>
      </c>
      <c r="J452" s="1314">
        <v>87.594300000000004</v>
      </c>
    </row>
    <row r="453" spans="2:10">
      <c r="B453" s="1303" t="s">
        <v>1081</v>
      </c>
      <c r="C453" s="1304">
        <v>2085</v>
      </c>
      <c r="D453" s="1303">
        <v>1092000</v>
      </c>
      <c r="E453" s="1305">
        <v>1092000</v>
      </c>
      <c r="F453" s="1306">
        <v>3971</v>
      </c>
      <c r="G453" s="1303">
        <v>5.7390999999999996</v>
      </c>
      <c r="H453" s="1305">
        <v>0.18462200000000001</v>
      </c>
      <c r="I453" s="1305">
        <v>8.61E-4</v>
      </c>
      <c r="J453" s="1306">
        <v>11.5648</v>
      </c>
    </row>
    <row r="454" spans="2:10">
      <c r="B454" s="1307" t="s">
        <v>282</v>
      </c>
      <c r="C454" s="1308">
        <v>2085</v>
      </c>
      <c r="D454" s="1307">
        <v>1092000</v>
      </c>
      <c r="E454" s="1309">
        <v>1092000</v>
      </c>
      <c r="F454" s="1310">
        <v>3971</v>
      </c>
      <c r="G454" s="1307">
        <v>5.7390999999999996</v>
      </c>
      <c r="H454" s="1309">
        <v>0.18462200000000001</v>
      </c>
      <c r="I454" s="1309">
        <v>8.61E-4</v>
      </c>
      <c r="J454" s="1310">
        <v>11.5648</v>
      </c>
    </row>
    <row r="455" spans="2:10">
      <c r="B455" s="1307" t="s">
        <v>1082</v>
      </c>
      <c r="C455" s="1308">
        <v>2085</v>
      </c>
      <c r="D455" s="1307">
        <v>1092000</v>
      </c>
      <c r="E455" s="1309">
        <v>1092000</v>
      </c>
      <c r="F455" s="1310">
        <v>3971</v>
      </c>
      <c r="G455" s="1307">
        <v>5.7390999999999996</v>
      </c>
      <c r="H455" s="1309">
        <v>0.18462200000000001</v>
      </c>
      <c r="I455" s="1309">
        <v>8.61E-4</v>
      </c>
      <c r="J455" s="1310">
        <v>11.5648</v>
      </c>
    </row>
    <row r="456" spans="2:10">
      <c r="B456" s="1307" t="s">
        <v>680</v>
      </c>
      <c r="C456" s="1308">
        <v>2085</v>
      </c>
      <c r="D456" s="1307">
        <v>1092000</v>
      </c>
      <c r="E456" s="1309">
        <v>1092000</v>
      </c>
      <c r="F456" s="1310">
        <v>3971</v>
      </c>
      <c r="G456" s="1307">
        <v>5.7390999999999996</v>
      </c>
      <c r="H456" s="1309">
        <v>0.18462200000000001</v>
      </c>
      <c r="I456" s="1309">
        <v>8.61E-4</v>
      </c>
      <c r="J456" s="1310">
        <v>11.5648</v>
      </c>
    </row>
    <row r="457" spans="2:10">
      <c r="B457" s="1307" t="s">
        <v>681</v>
      </c>
      <c r="C457" s="1308">
        <v>2085</v>
      </c>
      <c r="D457" s="1307">
        <v>-1185000</v>
      </c>
      <c r="E457" s="1309">
        <v>0</v>
      </c>
      <c r="F457" s="1310">
        <v>0</v>
      </c>
      <c r="G457" s="1307">
        <v>-85.800000000000011</v>
      </c>
      <c r="H457" s="1309">
        <v>0.54700000000000004</v>
      </c>
      <c r="I457" s="1309">
        <v>-1.8286999999999999E-3</v>
      </c>
      <c r="J457" s="1310">
        <v>-70.08</v>
      </c>
    </row>
    <row r="458" spans="2:10">
      <c r="B458" s="1307" t="s">
        <v>682</v>
      </c>
      <c r="C458" s="1308">
        <v>2085</v>
      </c>
      <c r="D458" s="1307">
        <v>1721000</v>
      </c>
      <c r="E458" s="1309">
        <v>1293000</v>
      </c>
      <c r="F458" s="1310">
        <v>15050</v>
      </c>
      <c r="G458" s="1307">
        <v>125.08</v>
      </c>
      <c r="H458" s="1309">
        <v>0.20477100000000001</v>
      </c>
      <c r="I458" s="1309">
        <v>1.7827000000000001E-3</v>
      </c>
      <c r="J458" s="1310">
        <v>129.82</v>
      </c>
    </row>
    <row r="459" spans="2:10">
      <c r="B459" s="1307" t="s">
        <v>697</v>
      </c>
      <c r="C459" s="1308">
        <v>2085</v>
      </c>
      <c r="D459" s="1307">
        <v>1721000</v>
      </c>
      <c r="E459" s="1309">
        <v>1293000</v>
      </c>
      <c r="F459" s="1310">
        <v>15050</v>
      </c>
      <c r="G459" s="1307">
        <v>125.08</v>
      </c>
      <c r="H459" s="1309">
        <v>0.20477100000000001</v>
      </c>
      <c r="I459" s="1309">
        <v>1.7827000000000001E-3</v>
      </c>
      <c r="J459" s="1310">
        <v>129.82</v>
      </c>
    </row>
    <row r="460" spans="2:10">
      <c r="B460" s="1307" t="s">
        <v>683</v>
      </c>
      <c r="C460" s="1308">
        <v>2085</v>
      </c>
      <c r="D460" s="1307">
        <v>1721000</v>
      </c>
      <c r="E460" s="1309">
        <v>1293000</v>
      </c>
      <c r="F460" s="1310">
        <v>15050</v>
      </c>
      <c r="G460" s="1307">
        <v>125.08</v>
      </c>
      <c r="H460" s="1309">
        <v>0.20477100000000001</v>
      </c>
      <c r="I460" s="1309">
        <v>1.7827000000000001E-3</v>
      </c>
      <c r="J460" s="1310">
        <v>129.82</v>
      </c>
    </row>
    <row r="461" spans="2:10">
      <c r="B461" s="1307" t="s">
        <v>1083</v>
      </c>
      <c r="C461" s="1308">
        <v>2085</v>
      </c>
      <c r="D461" s="1307">
        <v>1022000</v>
      </c>
      <c r="E461" s="1309">
        <v>1021000</v>
      </c>
      <c r="F461" s="1310">
        <v>15510</v>
      </c>
      <c r="G461" s="1307">
        <v>1.6964999999999999</v>
      </c>
      <c r="H461" s="1309">
        <v>0.14096238999999999</v>
      </c>
      <c r="I461" s="1309">
        <v>3.2765999999999998E-5</v>
      </c>
      <c r="J461" s="1310">
        <v>5.9536999999999995</v>
      </c>
    </row>
    <row r="462" spans="2:10">
      <c r="B462" s="1307" t="s">
        <v>715</v>
      </c>
      <c r="C462" s="1308">
        <v>2085</v>
      </c>
      <c r="D462" s="1307">
        <v>1022000</v>
      </c>
      <c r="E462" s="1309">
        <v>1021000</v>
      </c>
      <c r="F462" s="1310">
        <v>15510</v>
      </c>
      <c r="G462" s="1307">
        <v>1.6964999999999999</v>
      </c>
      <c r="H462" s="1309">
        <v>0.14096238999999999</v>
      </c>
      <c r="I462" s="1309">
        <v>3.2765999999999998E-5</v>
      </c>
      <c r="J462" s="1310">
        <v>5.9536999999999995</v>
      </c>
    </row>
    <row r="463" spans="2:10">
      <c r="B463" s="1307" t="s">
        <v>716</v>
      </c>
      <c r="C463" s="1308">
        <v>2085</v>
      </c>
      <c r="D463" s="1307">
        <v>1022000</v>
      </c>
      <c r="E463" s="1309">
        <v>1021000</v>
      </c>
      <c r="F463" s="1310">
        <v>15510</v>
      </c>
      <c r="G463" s="1307">
        <v>1.6964999999999999</v>
      </c>
      <c r="H463" s="1309">
        <v>0.14096238999999999</v>
      </c>
      <c r="I463" s="1309">
        <v>3.2765999999999998E-5</v>
      </c>
      <c r="J463" s="1310">
        <v>5.9536999999999995</v>
      </c>
    </row>
    <row r="464" spans="2:10">
      <c r="B464" s="1307" t="s">
        <v>908</v>
      </c>
      <c r="C464" s="1308">
        <v>2085</v>
      </c>
      <c r="D464" s="1307">
        <v>1209000</v>
      </c>
      <c r="E464" s="1309">
        <v>1202000</v>
      </c>
      <c r="F464" s="1310">
        <v>1052000</v>
      </c>
      <c r="G464" s="1307">
        <v>17.969000000000001</v>
      </c>
      <c r="H464" s="1309">
        <v>0.164128</v>
      </c>
      <c r="I464" s="1309">
        <v>2.9025999999999998E-4</v>
      </c>
      <c r="J464" s="1310">
        <v>22.988</v>
      </c>
    </row>
    <row r="465" spans="2:10">
      <c r="B465" s="1307" t="s">
        <v>906</v>
      </c>
      <c r="C465" s="1308">
        <v>2085</v>
      </c>
      <c r="D465" s="1307">
        <v>1585000</v>
      </c>
      <c r="E465" s="1309">
        <v>696300</v>
      </c>
      <c r="F465" s="1310">
        <v>286000</v>
      </c>
      <c r="G465" s="1307">
        <v>38.049999999999997</v>
      </c>
      <c r="H465" s="1309">
        <v>0.1118</v>
      </c>
      <c r="I465" s="1309">
        <v>2.5350000000000001E-2</v>
      </c>
      <c r="J465" s="1310">
        <v>45.19</v>
      </c>
    </row>
    <row r="466" spans="2:10">
      <c r="B466" s="1307" t="s">
        <v>909</v>
      </c>
      <c r="C466" s="1308">
        <v>2085</v>
      </c>
      <c r="D466" s="1307">
        <v>1249000</v>
      </c>
      <c r="E466" s="1309">
        <v>1242000</v>
      </c>
      <c r="F466" s="1310">
        <v>1078000</v>
      </c>
      <c r="G466" s="1307">
        <v>23.84</v>
      </c>
      <c r="H466" s="1309">
        <v>0.16985799999999998</v>
      </c>
      <c r="I466" s="1309">
        <v>3.7813000000000001E-4</v>
      </c>
      <c r="J466" s="1310">
        <v>29.157000000000004</v>
      </c>
    </row>
    <row r="467" spans="2:10">
      <c r="B467" s="1307" t="s">
        <v>1077</v>
      </c>
      <c r="C467" s="1308">
        <v>2085</v>
      </c>
      <c r="D467" s="1307">
        <v>1190000</v>
      </c>
      <c r="E467" s="1309">
        <v>51590</v>
      </c>
      <c r="F467" s="1310">
        <v>29220</v>
      </c>
      <c r="G467" s="1307">
        <v>3.7582</v>
      </c>
      <c r="H467" s="1309">
        <v>8.4366999999999984E-3</v>
      </c>
      <c r="I467" s="1309">
        <v>-3.8261190000000002E-3</v>
      </c>
      <c r="J467" s="1310">
        <v>3.0054000000000003</v>
      </c>
    </row>
    <row r="468" spans="2:10">
      <c r="B468" s="1307" t="s">
        <v>814</v>
      </c>
      <c r="C468" s="1308">
        <v>2085</v>
      </c>
      <c r="D468" s="1307">
        <v>1190000</v>
      </c>
      <c r="E468" s="1309">
        <v>51590</v>
      </c>
      <c r="F468" s="1310">
        <v>29220</v>
      </c>
      <c r="G468" s="1307">
        <v>3.7582</v>
      </c>
      <c r="H468" s="1309">
        <v>8.4366999999999984E-3</v>
      </c>
      <c r="I468" s="1309">
        <v>-3.8261190000000002E-3</v>
      </c>
      <c r="J468" s="1310">
        <v>3.0054000000000003</v>
      </c>
    </row>
    <row r="469" spans="2:10">
      <c r="B469" s="1307" t="s">
        <v>823</v>
      </c>
      <c r="C469" s="1308">
        <v>2085</v>
      </c>
      <c r="D469" s="1307">
        <v>1190000</v>
      </c>
      <c r="E469" s="1309">
        <v>51590</v>
      </c>
      <c r="F469" s="1310">
        <v>29220</v>
      </c>
      <c r="G469" s="1307">
        <v>3.7582</v>
      </c>
      <c r="H469" s="1309">
        <v>8.4366999999999984E-3</v>
      </c>
      <c r="I469" s="1309">
        <v>-3.8261190000000002E-3</v>
      </c>
      <c r="J469" s="1310">
        <v>3.0054000000000003</v>
      </c>
    </row>
    <row r="470" spans="2:10" ht="13.5" thickBot="1">
      <c r="B470" s="1311" t="s">
        <v>1084</v>
      </c>
      <c r="C470" s="1312">
        <v>2085</v>
      </c>
      <c r="D470" s="1311">
        <v>1384000</v>
      </c>
      <c r="E470" s="1313">
        <v>1383000</v>
      </c>
      <c r="F470" s="1314">
        <v>5034</v>
      </c>
      <c r="G470" s="1311">
        <v>78.571100000000001</v>
      </c>
      <c r="H470" s="1313">
        <v>0.27494000000000002</v>
      </c>
      <c r="I470" s="1313">
        <v>2.3304000000000003E-3</v>
      </c>
      <c r="J470" s="1314">
        <v>87.594300000000004</v>
      </c>
    </row>
    <row r="471" spans="2:10">
      <c r="B471" s="1303" t="s">
        <v>1081</v>
      </c>
      <c r="C471" s="1304">
        <v>2090</v>
      </c>
      <c r="D471" s="1303">
        <v>1092000</v>
      </c>
      <c r="E471" s="1305">
        <v>1092000</v>
      </c>
      <c r="F471" s="1306">
        <v>3971</v>
      </c>
      <c r="G471" s="1303">
        <v>5.7390999999999996</v>
      </c>
      <c r="H471" s="1305">
        <v>0.18462200000000001</v>
      </c>
      <c r="I471" s="1305">
        <v>8.61E-4</v>
      </c>
      <c r="J471" s="1306">
        <v>11.5648</v>
      </c>
    </row>
    <row r="472" spans="2:10">
      <c r="B472" s="1307" t="s">
        <v>282</v>
      </c>
      <c r="C472" s="1308">
        <v>2090</v>
      </c>
      <c r="D472" s="1307">
        <v>1092000</v>
      </c>
      <c r="E472" s="1309">
        <v>1092000</v>
      </c>
      <c r="F472" s="1310">
        <v>3971</v>
      </c>
      <c r="G472" s="1307">
        <v>5.7390999999999996</v>
      </c>
      <c r="H472" s="1309">
        <v>0.18462200000000001</v>
      </c>
      <c r="I472" s="1309">
        <v>8.61E-4</v>
      </c>
      <c r="J472" s="1310">
        <v>11.5648</v>
      </c>
    </row>
    <row r="473" spans="2:10">
      <c r="B473" s="1307" t="s">
        <v>1082</v>
      </c>
      <c r="C473" s="1308">
        <v>2090</v>
      </c>
      <c r="D473" s="1307">
        <v>1092000</v>
      </c>
      <c r="E473" s="1309">
        <v>1092000</v>
      </c>
      <c r="F473" s="1310">
        <v>3971</v>
      </c>
      <c r="G473" s="1307">
        <v>5.7390999999999996</v>
      </c>
      <c r="H473" s="1309">
        <v>0.18462200000000001</v>
      </c>
      <c r="I473" s="1309">
        <v>8.61E-4</v>
      </c>
      <c r="J473" s="1310">
        <v>11.5648</v>
      </c>
    </row>
    <row r="474" spans="2:10">
      <c r="B474" s="1307" t="s">
        <v>680</v>
      </c>
      <c r="C474" s="1308">
        <v>2090</v>
      </c>
      <c r="D474" s="1307">
        <v>1092000</v>
      </c>
      <c r="E474" s="1309">
        <v>1092000</v>
      </c>
      <c r="F474" s="1310">
        <v>3971</v>
      </c>
      <c r="G474" s="1307">
        <v>5.7390999999999996</v>
      </c>
      <c r="H474" s="1309">
        <v>0.18462200000000001</v>
      </c>
      <c r="I474" s="1309">
        <v>8.61E-4</v>
      </c>
      <c r="J474" s="1310">
        <v>11.5648</v>
      </c>
    </row>
    <row r="475" spans="2:10">
      <c r="B475" s="1307" t="s">
        <v>681</v>
      </c>
      <c r="C475" s="1308">
        <v>2090</v>
      </c>
      <c r="D475" s="1307">
        <v>-1185000</v>
      </c>
      <c r="E475" s="1309">
        <v>0</v>
      </c>
      <c r="F475" s="1310">
        <v>0</v>
      </c>
      <c r="G475" s="1307">
        <v>-85.800000000000011</v>
      </c>
      <c r="H475" s="1309">
        <v>0.54700000000000004</v>
      </c>
      <c r="I475" s="1309">
        <v>-1.8286999999999999E-3</v>
      </c>
      <c r="J475" s="1310">
        <v>-70.08</v>
      </c>
    </row>
    <row r="476" spans="2:10">
      <c r="B476" s="1307" t="s">
        <v>682</v>
      </c>
      <c r="C476" s="1308">
        <v>2090</v>
      </c>
      <c r="D476" s="1307">
        <v>1721000</v>
      </c>
      <c r="E476" s="1309">
        <v>1293000</v>
      </c>
      <c r="F476" s="1310">
        <v>15050</v>
      </c>
      <c r="G476" s="1307">
        <v>125.08</v>
      </c>
      <c r="H476" s="1309">
        <v>0.20477100000000001</v>
      </c>
      <c r="I476" s="1309">
        <v>1.7827000000000001E-3</v>
      </c>
      <c r="J476" s="1310">
        <v>129.82</v>
      </c>
    </row>
    <row r="477" spans="2:10">
      <c r="B477" s="1307" t="s">
        <v>697</v>
      </c>
      <c r="C477" s="1308">
        <v>2090</v>
      </c>
      <c r="D477" s="1307">
        <v>1721000</v>
      </c>
      <c r="E477" s="1309">
        <v>1293000</v>
      </c>
      <c r="F477" s="1310">
        <v>15050</v>
      </c>
      <c r="G477" s="1307">
        <v>125.08</v>
      </c>
      <c r="H477" s="1309">
        <v>0.20477100000000001</v>
      </c>
      <c r="I477" s="1309">
        <v>1.7827000000000001E-3</v>
      </c>
      <c r="J477" s="1310">
        <v>129.82</v>
      </c>
    </row>
    <row r="478" spans="2:10">
      <c r="B478" s="1307" t="s">
        <v>683</v>
      </c>
      <c r="C478" s="1308">
        <v>2090</v>
      </c>
      <c r="D478" s="1307">
        <v>1721000</v>
      </c>
      <c r="E478" s="1309">
        <v>1293000</v>
      </c>
      <c r="F478" s="1310">
        <v>15050</v>
      </c>
      <c r="G478" s="1307">
        <v>125.08</v>
      </c>
      <c r="H478" s="1309">
        <v>0.20477100000000001</v>
      </c>
      <c r="I478" s="1309">
        <v>1.7827000000000001E-3</v>
      </c>
      <c r="J478" s="1310">
        <v>129.82</v>
      </c>
    </row>
    <row r="479" spans="2:10">
      <c r="B479" s="1307" t="s">
        <v>1083</v>
      </c>
      <c r="C479" s="1308">
        <v>2090</v>
      </c>
      <c r="D479" s="1307">
        <v>1022000</v>
      </c>
      <c r="E479" s="1309">
        <v>1021000</v>
      </c>
      <c r="F479" s="1310">
        <v>15510</v>
      </c>
      <c r="G479" s="1307">
        <v>1.6964999999999999</v>
      </c>
      <c r="H479" s="1309">
        <v>0.14096238999999999</v>
      </c>
      <c r="I479" s="1309">
        <v>3.2765999999999998E-5</v>
      </c>
      <c r="J479" s="1310">
        <v>5.9536999999999995</v>
      </c>
    </row>
    <row r="480" spans="2:10">
      <c r="B480" s="1307" t="s">
        <v>715</v>
      </c>
      <c r="C480" s="1308">
        <v>2090</v>
      </c>
      <c r="D480" s="1307">
        <v>1022000</v>
      </c>
      <c r="E480" s="1309">
        <v>1021000</v>
      </c>
      <c r="F480" s="1310">
        <v>15510</v>
      </c>
      <c r="G480" s="1307">
        <v>1.6964999999999999</v>
      </c>
      <c r="H480" s="1309">
        <v>0.14096238999999999</v>
      </c>
      <c r="I480" s="1309">
        <v>3.2765999999999998E-5</v>
      </c>
      <c r="J480" s="1310">
        <v>5.9536999999999995</v>
      </c>
    </row>
    <row r="481" spans="2:10">
      <c r="B481" s="1307" t="s">
        <v>716</v>
      </c>
      <c r="C481" s="1308">
        <v>2090</v>
      </c>
      <c r="D481" s="1307">
        <v>1022000</v>
      </c>
      <c r="E481" s="1309">
        <v>1021000</v>
      </c>
      <c r="F481" s="1310">
        <v>15510</v>
      </c>
      <c r="G481" s="1307">
        <v>1.6964999999999999</v>
      </c>
      <c r="H481" s="1309">
        <v>0.14096238999999999</v>
      </c>
      <c r="I481" s="1309">
        <v>3.2765999999999998E-5</v>
      </c>
      <c r="J481" s="1310">
        <v>5.9536999999999995</v>
      </c>
    </row>
    <row r="482" spans="2:10">
      <c r="B482" s="1307" t="s">
        <v>908</v>
      </c>
      <c r="C482" s="1308">
        <v>2090</v>
      </c>
      <c r="D482" s="1307">
        <v>1209000</v>
      </c>
      <c r="E482" s="1309">
        <v>1202000</v>
      </c>
      <c r="F482" s="1310">
        <v>1052000</v>
      </c>
      <c r="G482" s="1307">
        <v>17.969000000000001</v>
      </c>
      <c r="H482" s="1309">
        <v>0.164128</v>
      </c>
      <c r="I482" s="1309">
        <v>2.9025999999999998E-4</v>
      </c>
      <c r="J482" s="1310">
        <v>22.988</v>
      </c>
    </row>
    <row r="483" spans="2:10">
      <c r="B483" s="1307" t="s">
        <v>906</v>
      </c>
      <c r="C483" s="1308">
        <v>2090</v>
      </c>
      <c r="D483" s="1307">
        <v>1585000</v>
      </c>
      <c r="E483" s="1309">
        <v>696300</v>
      </c>
      <c r="F483" s="1310">
        <v>286000</v>
      </c>
      <c r="G483" s="1307">
        <v>38.049999999999997</v>
      </c>
      <c r="H483" s="1309">
        <v>0.1118</v>
      </c>
      <c r="I483" s="1309">
        <v>2.5350000000000001E-2</v>
      </c>
      <c r="J483" s="1310">
        <v>45.19</v>
      </c>
    </row>
    <row r="484" spans="2:10">
      <c r="B484" s="1307" t="s">
        <v>909</v>
      </c>
      <c r="C484" s="1308">
        <v>2090</v>
      </c>
      <c r="D484" s="1307">
        <v>1249000</v>
      </c>
      <c r="E484" s="1309">
        <v>1242000</v>
      </c>
      <c r="F484" s="1310">
        <v>1078000</v>
      </c>
      <c r="G484" s="1307">
        <v>23.84</v>
      </c>
      <c r="H484" s="1309">
        <v>0.16985799999999998</v>
      </c>
      <c r="I484" s="1309">
        <v>3.7813000000000001E-4</v>
      </c>
      <c r="J484" s="1310">
        <v>29.157000000000004</v>
      </c>
    </row>
    <row r="485" spans="2:10">
      <c r="B485" s="1307" t="s">
        <v>1077</v>
      </c>
      <c r="C485" s="1308">
        <v>2090</v>
      </c>
      <c r="D485" s="1307">
        <v>1190000</v>
      </c>
      <c r="E485" s="1309">
        <v>51590</v>
      </c>
      <c r="F485" s="1310">
        <v>29220</v>
      </c>
      <c r="G485" s="1307">
        <v>3.7582</v>
      </c>
      <c r="H485" s="1309">
        <v>8.4366999999999984E-3</v>
      </c>
      <c r="I485" s="1309">
        <v>-3.8261190000000002E-3</v>
      </c>
      <c r="J485" s="1310">
        <v>3.0054000000000003</v>
      </c>
    </row>
    <row r="486" spans="2:10">
      <c r="B486" s="1307" t="s">
        <v>814</v>
      </c>
      <c r="C486" s="1308">
        <v>2090</v>
      </c>
      <c r="D486" s="1307">
        <v>1190000</v>
      </c>
      <c r="E486" s="1309">
        <v>51590</v>
      </c>
      <c r="F486" s="1310">
        <v>29220</v>
      </c>
      <c r="G486" s="1307">
        <v>3.7582</v>
      </c>
      <c r="H486" s="1309">
        <v>8.4366999999999984E-3</v>
      </c>
      <c r="I486" s="1309">
        <v>-3.8261190000000002E-3</v>
      </c>
      <c r="J486" s="1310">
        <v>3.0054000000000003</v>
      </c>
    </row>
    <row r="487" spans="2:10">
      <c r="B487" s="1307" t="s">
        <v>823</v>
      </c>
      <c r="C487" s="1308">
        <v>2090</v>
      </c>
      <c r="D487" s="1307">
        <v>1190000</v>
      </c>
      <c r="E487" s="1309">
        <v>51590</v>
      </c>
      <c r="F487" s="1310">
        <v>29220</v>
      </c>
      <c r="G487" s="1307">
        <v>3.7582</v>
      </c>
      <c r="H487" s="1309">
        <v>8.4366999999999984E-3</v>
      </c>
      <c r="I487" s="1309">
        <v>-3.8261190000000002E-3</v>
      </c>
      <c r="J487" s="1310">
        <v>3.0054000000000003</v>
      </c>
    </row>
    <row r="488" spans="2:10" ht="13.5" thickBot="1">
      <c r="B488" s="1311" t="s">
        <v>1084</v>
      </c>
      <c r="C488" s="1312">
        <v>2090</v>
      </c>
      <c r="D488" s="1311">
        <v>1384000</v>
      </c>
      <c r="E488" s="1313">
        <v>1383000</v>
      </c>
      <c r="F488" s="1314">
        <v>5034</v>
      </c>
      <c r="G488" s="1311">
        <v>78.571100000000001</v>
      </c>
      <c r="H488" s="1313">
        <v>0.27494000000000002</v>
      </c>
      <c r="I488" s="1313">
        <v>2.3304000000000003E-3</v>
      </c>
      <c r="J488" s="1314">
        <v>87.594300000000004</v>
      </c>
    </row>
    <row r="489" spans="2:10">
      <c r="B489" s="1303" t="s">
        <v>1081</v>
      </c>
      <c r="C489" s="1304">
        <v>2095</v>
      </c>
      <c r="D489" s="1303">
        <v>1092000</v>
      </c>
      <c r="E489" s="1305">
        <v>1092000</v>
      </c>
      <c r="F489" s="1306">
        <v>3971</v>
      </c>
      <c r="G489" s="1303">
        <v>5.7390999999999996</v>
      </c>
      <c r="H489" s="1305">
        <v>0.18462200000000001</v>
      </c>
      <c r="I489" s="1305">
        <v>8.61E-4</v>
      </c>
      <c r="J489" s="1306">
        <v>11.5648</v>
      </c>
    </row>
    <row r="490" spans="2:10">
      <c r="B490" s="1307" t="s">
        <v>282</v>
      </c>
      <c r="C490" s="1308">
        <v>2095</v>
      </c>
      <c r="D490" s="1307">
        <v>1092000</v>
      </c>
      <c r="E490" s="1309">
        <v>1092000</v>
      </c>
      <c r="F490" s="1310">
        <v>3971</v>
      </c>
      <c r="G490" s="1307">
        <v>5.7390999999999996</v>
      </c>
      <c r="H490" s="1309">
        <v>0.18462200000000001</v>
      </c>
      <c r="I490" s="1309">
        <v>8.61E-4</v>
      </c>
      <c r="J490" s="1310">
        <v>11.5648</v>
      </c>
    </row>
    <row r="491" spans="2:10">
      <c r="B491" s="1307" t="s">
        <v>1082</v>
      </c>
      <c r="C491" s="1308">
        <v>2095</v>
      </c>
      <c r="D491" s="1307">
        <v>1092000</v>
      </c>
      <c r="E491" s="1309">
        <v>1092000</v>
      </c>
      <c r="F491" s="1310">
        <v>3971</v>
      </c>
      <c r="G491" s="1307">
        <v>5.7390999999999996</v>
      </c>
      <c r="H491" s="1309">
        <v>0.18462200000000001</v>
      </c>
      <c r="I491" s="1309">
        <v>8.61E-4</v>
      </c>
      <c r="J491" s="1310">
        <v>11.5648</v>
      </c>
    </row>
    <row r="492" spans="2:10">
      <c r="B492" s="1307" t="s">
        <v>680</v>
      </c>
      <c r="C492" s="1308">
        <v>2095</v>
      </c>
      <c r="D492" s="1307">
        <v>1092000</v>
      </c>
      <c r="E492" s="1309">
        <v>1092000</v>
      </c>
      <c r="F492" s="1310">
        <v>3971</v>
      </c>
      <c r="G492" s="1307">
        <v>5.7390999999999996</v>
      </c>
      <c r="H492" s="1309">
        <v>0.18462200000000001</v>
      </c>
      <c r="I492" s="1309">
        <v>8.61E-4</v>
      </c>
      <c r="J492" s="1310">
        <v>11.5648</v>
      </c>
    </row>
    <row r="493" spans="2:10">
      <c r="B493" s="1307" t="s">
        <v>681</v>
      </c>
      <c r="C493" s="1308">
        <v>2095</v>
      </c>
      <c r="D493" s="1307">
        <v>-1185000</v>
      </c>
      <c r="E493" s="1309">
        <v>0</v>
      </c>
      <c r="F493" s="1310">
        <v>0</v>
      </c>
      <c r="G493" s="1307">
        <v>-85.800000000000011</v>
      </c>
      <c r="H493" s="1309">
        <v>0.54700000000000004</v>
      </c>
      <c r="I493" s="1309">
        <v>-1.8286999999999999E-3</v>
      </c>
      <c r="J493" s="1310">
        <v>-70.08</v>
      </c>
    </row>
    <row r="494" spans="2:10">
      <c r="B494" s="1307" t="s">
        <v>682</v>
      </c>
      <c r="C494" s="1308">
        <v>2095</v>
      </c>
      <c r="D494" s="1307">
        <v>1721000</v>
      </c>
      <c r="E494" s="1309">
        <v>1293000</v>
      </c>
      <c r="F494" s="1310">
        <v>15050</v>
      </c>
      <c r="G494" s="1307">
        <v>125.08</v>
      </c>
      <c r="H494" s="1309">
        <v>0.20477100000000001</v>
      </c>
      <c r="I494" s="1309">
        <v>1.7827000000000001E-3</v>
      </c>
      <c r="J494" s="1310">
        <v>129.82</v>
      </c>
    </row>
    <row r="495" spans="2:10">
      <c r="B495" s="1307" t="s">
        <v>697</v>
      </c>
      <c r="C495" s="1308">
        <v>2095</v>
      </c>
      <c r="D495" s="1307">
        <v>1721000</v>
      </c>
      <c r="E495" s="1309">
        <v>1293000</v>
      </c>
      <c r="F495" s="1310">
        <v>15050</v>
      </c>
      <c r="G495" s="1307">
        <v>125.08</v>
      </c>
      <c r="H495" s="1309">
        <v>0.20477100000000001</v>
      </c>
      <c r="I495" s="1309">
        <v>1.7827000000000001E-3</v>
      </c>
      <c r="J495" s="1310">
        <v>129.82</v>
      </c>
    </row>
    <row r="496" spans="2:10">
      <c r="B496" s="1307" t="s">
        <v>683</v>
      </c>
      <c r="C496" s="1308">
        <v>2095</v>
      </c>
      <c r="D496" s="1307">
        <v>1721000</v>
      </c>
      <c r="E496" s="1309">
        <v>1293000</v>
      </c>
      <c r="F496" s="1310">
        <v>15050</v>
      </c>
      <c r="G496" s="1307">
        <v>125.08</v>
      </c>
      <c r="H496" s="1309">
        <v>0.20477100000000001</v>
      </c>
      <c r="I496" s="1309">
        <v>1.7827000000000001E-3</v>
      </c>
      <c r="J496" s="1310">
        <v>129.82</v>
      </c>
    </row>
    <row r="497" spans="2:10">
      <c r="B497" s="1307" t="s">
        <v>1083</v>
      </c>
      <c r="C497" s="1308">
        <v>2095</v>
      </c>
      <c r="D497" s="1307">
        <v>1022000</v>
      </c>
      <c r="E497" s="1309">
        <v>1021000</v>
      </c>
      <c r="F497" s="1310">
        <v>15510</v>
      </c>
      <c r="G497" s="1307">
        <v>1.6964999999999999</v>
      </c>
      <c r="H497" s="1309">
        <v>0.14096238999999999</v>
      </c>
      <c r="I497" s="1309">
        <v>3.2765999999999998E-5</v>
      </c>
      <c r="J497" s="1310">
        <v>5.9536999999999995</v>
      </c>
    </row>
    <row r="498" spans="2:10">
      <c r="B498" s="1307" t="s">
        <v>715</v>
      </c>
      <c r="C498" s="1308">
        <v>2095</v>
      </c>
      <c r="D498" s="1307">
        <v>1022000</v>
      </c>
      <c r="E498" s="1309">
        <v>1021000</v>
      </c>
      <c r="F498" s="1310">
        <v>15510</v>
      </c>
      <c r="G498" s="1307">
        <v>1.6964999999999999</v>
      </c>
      <c r="H498" s="1309">
        <v>0.14096238999999999</v>
      </c>
      <c r="I498" s="1309">
        <v>3.2765999999999998E-5</v>
      </c>
      <c r="J498" s="1310">
        <v>5.9536999999999995</v>
      </c>
    </row>
    <row r="499" spans="2:10">
      <c r="B499" s="1307" t="s">
        <v>716</v>
      </c>
      <c r="C499" s="1308">
        <v>2095</v>
      </c>
      <c r="D499" s="1307">
        <v>1022000</v>
      </c>
      <c r="E499" s="1309">
        <v>1021000</v>
      </c>
      <c r="F499" s="1310">
        <v>15510</v>
      </c>
      <c r="G499" s="1307">
        <v>1.6964999999999999</v>
      </c>
      <c r="H499" s="1309">
        <v>0.14096238999999999</v>
      </c>
      <c r="I499" s="1309">
        <v>3.2765999999999998E-5</v>
      </c>
      <c r="J499" s="1310">
        <v>5.9536999999999995</v>
      </c>
    </row>
    <row r="500" spans="2:10">
      <c r="B500" s="1307" t="s">
        <v>908</v>
      </c>
      <c r="C500" s="1308">
        <v>2095</v>
      </c>
      <c r="D500" s="1307">
        <v>1209000</v>
      </c>
      <c r="E500" s="1309">
        <v>1202000</v>
      </c>
      <c r="F500" s="1310">
        <v>1052000</v>
      </c>
      <c r="G500" s="1307">
        <v>17.969000000000001</v>
      </c>
      <c r="H500" s="1309">
        <v>0.164128</v>
      </c>
      <c r="I500" s="1309">
        <v>2.9025999999999998E-4</v>
      </c>
      <c r="J500" s="1310">
        <v>22.988</v>
      </c>
    </row>
    <row r="501" spans="2:10">
      <c r="B501" s="1307" t="s">
        <v>906</v>
      </c>
      <c r="C501" s="1308">
        <v>2095</v>
      </c>
      <c r="D501" s="1307">
        <v>1585000</v>
      </c>
      <c r="E501" s="1309">
        <v>696300</v>
      </c>
      <c r="F501" s="1310">
        <v>286000</v>
      </c>
      <c r="G501" s="1307">
        <v>38.049999999999997</v>
      </c>
      <c r="H501" s="1309">
        <v>0.1118</v>
      </c>
      <c r="I501" s="1309">
        <v>2.5350000000000001E-2</v>
      </c>
      <c r="J501" s="1310">
        <v>45.19</v>
      </c>
    </row>
    <row r="502" spans="2:10">
      <c r="B502" s="1307" t="s">
        <v>909</v>
      </c>
      <c r="C502" s="1308">
        <v>2095</v>
      </c>
      <c r="D502" s="1307">
        <v>1249000</v>
      </c>
      <c r="E502" s="1309">
        <v>1242000</v>
      </c>
      <c r="F502" s="1310">
        <v>1078000</v>
      </c>
      <c r="G502" s="1307">
        <v>23.84</v>
      </c>
      <c r="H502" s="1309">
        <v>0.16985799999999998</v>
      </c>
      <c r="I502" s="1309">
        <v>3.7813000000000001E-4</v>
      </c>
      <c r="J502" s="1310">
        <v>29.157000000000004</v>
      </c>
    </row>
    <row r="503" spans="2:10">
      <c r="B503" s="1307" t="s">
        <v>1077</v>
      </c>
      <c r="C503" s="1308">
        <v>2095</v>
      </c>
      <c r="D503" s="1307">
        <v>1190000</v>
      </c>
      <c r="E503" s="1309">
        <v>51590</v>
      </c>
      <c r="F503" s="1310">
        <v>29220</v>
      </c>
      <c r="G503" s="1307">
        <v>3.7582</v>
      </c>
      <c r="H503" s="1309">
        <v>8.4366999999999984E-3</v>
      </c>
      <c r="I503" s="1309">
        <v>-3.8261190000000002E-3</v>
      </c>
      <c r="J503" s="1310">
        <v>3.0054000000000003</v>
      </c>
    </row>
    <row r="504" spans="2:10">
      <c r="B504" s="1307" t="s">
        <v>814</v>
      </c>
      <c r="C504" s="1308">
        <v>2095</v>
      </c>
      <c r="D504" s="1307">
        <v>1190000</v>
      </c>
      <c r="E504" s="1309">
        <v>51590</v>
      </c>
      <c r="F504" s="1310">
        <v>29220</v>
      </c>
      <c r="G504" s="1307">
        <v>3.7582</v>
      </c>
      <c r="H504" s="1309">
        <v>8.4366999999999984E-3</v>
      </c>
      <c r="I504" s="1309">
        <v>-3.8261190000000002E-3</v>
      </c>
      <c r="J504" s="1310">
        <v>3.0054000000000003</v>
      </c>
    </row>
    <row r="505" spans="2:10">
      <c r="B505" s="1307" t="s">
        <v>823</v>
      </c>
      <c r="C505" s="1308">
        <v>2095</v>
      </c>
      <c r="D505" s="1307">
        <v>1190000</v>
      </c>
      <c r="E505" s="1309">
        <v>51590</v>
      </c>
      <c r="F505" s="1310">
        <v>29220</v>
      </c>
      <c r="G505" s="1307">
        <v>3.7582</v>
      </c>
      <c r="H505" s="1309">
        <v>8.4366999999999984E-3</v>
      </c>
      <c r="I505" s="1309">
        <v>-3.8261190000000002E-3</v>
      </c>
      <c r="J505" s="1310">
        <v>3.0054000000000003</v>
      </c>
    </row>
    <row r="506" spans="2:10" ht="13.5" thickBot="1">
      <c r="B506" s="1311" t="s">
        <v>1084</v>
      </c>
      <c r="C506" s="1312">
        <v>2095</v>
      </c>
      <c r="D506" s="1311">
        <v>1384000</v>
      </c>
      <c r="E506" s="1313">
        <v>1383000</v>
      </c>
      <c r="F506" s="1314">
        <v>5034</v>
      </c>
      <c r="G506" s="1311">
        <v>78.571100000000001</v>
      </c>
      <c r="H506" s="1313">
        <v>0.27494000000000002</v>
      </c>
      <c r="I506" s="1313">
        <v>2.3304000000000003E-3</v>
      </c>
      <c r="J506" s="1314">
        <v>87.594300000000004</v>
      </c>
    </row>
    <row r="507" spans="2:10">
      <c r="B507" s="1303" t="s">
        <v>1081</v>
      </c>
      <c r="C507" s="1304">
        <v>2100</v>
      </c>
      <c r="D507" s="1303">
        <v>1092000</v>
      </c>
      <c r="E507" s="1305">
        <v>1092000</v>
      </c>
      <c r="F507" s="1306">
        <v>3971</v>
      </c>
      <c r="G507" s="1303">
        <v>5.7390999999999996</v>
      </c>
      <c r="H507" s="1305">
        <v>0.18462200000000001</v>
      </c>
      <c r="I507" s="1305">
        <v>8.61E-4</v>
      </c>
      <c r="J507" s="1306">
        <v>11.5648</v>
      </c>
    </row>
    <row r="508" spans="2:10">
      <c r="B508" s="1307" t="s">
        <v>282</v>
      </c>
      <c r="C508" s="1308">
        <v>2100</v>
      </c>
      <c r="D508" s="1307">
        <v>1092000</v>
      </c>
      <c r="E508" s="1309">
        <v>1092000</v>
      </c>
      <c r="F508" s="1310">
        <v>3971</v>
      </c>
      <c r="G508" s="1307">
        <v>5.7390999999999996</v>
      </c>
      <c r="H508" s="1309">
        <v>0.18462200000000001</v>
      </c>
      <c r="I508" s="1309">
        <v>8.61E-4</v>
      </c>
      <c r="J508" s="1310">
        <v>11.5648</v>
      </c>
    </row>
    <row r="509" spans="2:10">
      <c r="B509" s="1307" t="s">
        <v>1082</v>
      </c>
      <c r="C509" s="1308">
        <v>2100</v>
      </c>
      <c r="D509" s="1307">
        <v>1092000</v>
      </c>
      <c r="E509" s="1309">
        <v>1092000</v>
      </c>
      <c r="F509" s="1310">
        <v>3971</v>
      </c>
      <c r="G509" s="1307">
        <v>5.7390999999999996</v>
      </c>
      <c r="H509" s="1309">
        <v>0.18462200000000001</v>
      </c>
      <c r="I509" s="1309">
        <v>8.61E-4</v>
      </c>
      <c r="J509" s="1310">
        <v>11.5648</v>
      </c>
    </row>
    <row r="510" spans="2:10">
      <c r="B510" s="1307" t="s">
        <v>680</v>
      </c>
      <c r="C510" s="1308">
        <v>2100</v>
      </c>
      <c r="D510" s="1307">
        <v>1092000</v>
      </c>
      <c r="E510" s="1309">
        <v>1092000</v>
      </c>
      <c r="F510" s="1310">
        <v>3971</v>
      </c>
      <c r="G510" s="1307">
        <v>5.7390999999999996</v>
      </c>
      <c r="H510" s="1309">
        <v>0.18462200000000001</v>
      </c>
      <c r="I510" s="1309">
        <v>8.61E-4</v>
      </c>
      <c r="J510" s="1310">
        <v>11.5648</v>
      </c>
    </row>
    <row r="511" spans="2:10">
      <c r="B511" s="1307" t="s">
        <v>681</v>
      </c>
      <c r="C511" s="1308">
        <v>2100</v>
      </c>
      <c r="D511" s="1307">
        <v>-1185000</v>
      </c>
      <c r="E511" s="1309">
        <v>0</v>
      </c>
      <c r="F511" s="1310">
        <v>0</v>
      </c>
      <c r="G511" s="1307">
        <v>-85.800000000000011</v>
      </c>
      <c r="H511" s="1309">
        <v>0.54700000000000004</v>
      </c>
      <c r="I511" s="1309">
        <v>-1.8286999999999999E-3</v>
      </c>
      <c r="J511" s="1310">
        <v>-70.08</v>
      </c>
    </row>
    <row r="512" spans="2:10">
      <c r="B512" s="1307" t="s">
        <v>682</v>
      </c>
      <c r="C512" s="1308">
        <v>2100</v>
      </c>
      <c r="D512" s="1307">
        <v>1721000</v>
      </c>
      <c r="E512" s="1309">
        <v>1293000</v>
      </c>
      <c r="F512" s="1310">
        <v>15050</v>
      </c>
      <c r="G512" s="1307">
        <v>125.08</v>
      </c>
      <c r="H512" s="1309">
        <v>0.20477100000000001</v>
      </c>
      <c r="I512" s="1309">
        <v>1.7827000000000001E-3</v>
      </c>
      <c r="J512" s="1310">
        <v>129.82</v>
      </c>
    </row>
    <row r="513" spans="2:10">
      <c r="B513" s="1307" t="s">
        <v>697</v>
      </c>
      <c r="C513" s="1308">
        <v>2100</v>
      </c>
      <c r="D513" s="1307">
        <v>1721000</v>
      </c>
      <c r="E513" s="1309">
        <v>1293000</v>
      </c>
      <c r="F513" s="1310">
        <v>15050</v>
      </c>
      <c r="G513" s="1307">
        <v>125.08</v>
      </c>
      <c r="H513" s="1309">
        <v>0.20477100000000001</v>
      </c>
      <c r="I513" s="1309">
        <v>1.7827000000000001E-3</v>
      </c>
      <c r="J513" s="1310">
        <v>129.82</v>
      </c>
    </row>
    <row r="514" spans="2:10">
      <c r="B514" s="1307" t="s">
        <v>683</v>
      </c>
      <c r="C514" s="1308">
        <v>2100</v>
      </c>
      <c r="D514" s="1307">
        <v>1721000</v>
      </c>
      <c r="E514" s="1309">
        <v>1293000</v>
      </c>
      <c r="F514" s="1310">
        <v>15050</v>
      </c>
      <c r="G514" s="1307">
        <v>125.08</v>
      </c>
      <c r="H514" s="1309">
        <v>0.20477100000000001</v>
      </c>
      <c r="I514" s="1309">
        <v>1.7827000000000001E-3</v>
      </c>
      <c r="J514" s="1310">
        <v>129.82</v>
      </c>
    </row>
    <row r="515" spans="2:10">
      <c r="B515" s="1307" t="s">
        <v>1083</v>
      </c>
      <c r="C515" s="1308">
        <v>2100</v>
      </c>
      <c r="D515" s="1307">
        <v>1022000</v>
      </c>
      <c r="E515" s="1309">
        <v>1021000</v>
      </c>
      <c r="F515" s="1310">
        <v>15510</v>
      </c>
      <c r="G515" s="1307">
        <v>1.6964999999999999</v>
      </c>
      <c r="H515" s="1309">
        <v>0.14096238999999999</v>
      </c>
      <c r="I515" s="1309">
        <v>3.2765999999999998E-5</v>
      </c>
      <c r="J515" s="1310">
        <v>5.9536999999999995</v>
      </c>
    </row>
    <row r="516" spans="2:10">
      <c r="B516" s="1307" t="s">
        <v>715</v>
      </c>
      <c r="C516" s="1308">
        <v>2100</v>
      </c>
      <c r="D516" s="1307">
        <v>1022000</v>
      </c>
      <c r="E516" s="1309">
        <v>1021000</v>
      </c>
      <c r="F516" s="1310">
        <v>15510</v>
      </c>
      <c r="G516" s="1307">
        <v>1.6964999999999999</v>
      </c>
      <c r="H516" s="1309">
        <v>0.14096238999999999</v>
      </c>
      <c r="I516" s="1309">
        <v>3.2765999999999998E-5</v>
      </c>
      <c r="J516" s="1310">
        <v>5.9536999999999995</v>
      </c>
    </row>
    <row r="517" spans="2:10">
      <c r="B517" s="1307" t="s">
        <v>716</v>
      </c>
      <c r="C517" s="1308">
        <v>2100</v>
      </c>
      <c r="D517" s="1307">
        <v>1022000</v>
      </c>
      <c r="E517" s="1309">
        <v>1021000</v>
      </c>
      <c r="F517" s="1310">
        <v>15510</v>
      </c>
      <c r="G517" s="1307">
        <v>1.6964999999999999</v>
      </c>
      <c r="H517" s="1309">
        <v>0.14096238999999999</v>
      </c>
      <c r="I517" s="1309">
        <v>3.2765999999999998E-5</v>
      </c>
      <c r="J517" s="1310">
        <v>5.9536999999999995</v>
      </c>
    </row>
    <row r="518" spans="2:10">
      <c r="B518" s="1307" t="s">
        <v>908</v>
      </c>
      <c r="C518" s="1308">
        <v>2100</v>
      </c>
      <c r="D518" s="1307">
        <v>1209000</v>
      </c>
      <c r="E518" s="1309">
        <v>1202000</v>
      </c>
      <c r="F518" s="1310">
        <v>1052000</v>
      </c>
      <c r="G518" s="1307">
        <v>17.969000000000001</v>
      </c>
      <c r="H518" s="1309">
        <v>0.164128</v>
      </c>
      <c r="I518" s="1309">
        <v>2.9025999999999998E-4</v>
      </c>
      <c r="J518" s="1310">
        <v>22.988</v>
      </c>
    </row>
    <row r="519" spans="2:10">
      <c r="B519" s="1307" t="s">
        <v>906</v>
      </c>
      <c r="C519" s="1308">
        <v>2100</v>
      </c>
      <c r="D519" s="1307">
        <v>1585000</v>
      </c>
      <c r="E519" s="1309">
        <v>696300</v>
      </c>
      <c r="F519" s="1310">
        <v>286000</v>
      </c>
      <c r="G519" s="1307">
        <v>38.049999999999997</v>
      </c>
      <c r="H519" s="1309">
        <v>0.1118</v>
      </c>
      <c r="I519" s="1309">
        <v>2.5350000000000001E-2</v>
      </c>
      <c r="J519" s="1310">
        <v>45.19</v>
      </c>
    </row>
    <row r="520" spans="2:10">
      <c r="B520" s="1307" t="s">
        <v>909</v>
      </c>
      <c r="C520" s="1308">
        <v>2100</v>
      </c>
      <c r="D520" s="1307">
        <v>1249000</v>
      </c>
      <c r="E520" s="1309">
        <v>1242000</v>
      </c>
      <c r="F520" s="1310">
        <v>1078000</v>
      </c>
      <c r="G520" s="1307">
        <v>23.84</v>
      </c>
      <c r="H520" s="1309">
        <v>0.16985799999999998</v>
      </c>
      <c r="I520" s="1309">
        <v>3.7813000000000001E-4</v>
      </c>
      <c r="J520" s="1310">
        <v>29.157000000000004</v>
      </c>
    </row>
    <row r="521" spans="2:10">
      <c r="B521" s="1307" t="s">
        <v>1077</v>
      </c>
      <c r="C521" s="1308">
        <v>2100</v>
      </c>
      <c r="D521" s="1307">
        <v>1190000</v>
      </c>
      <c r="E521" s="1309">
        <v>51590</v>
      </c>
      <c r="F521" s="1310">
        <v>29220</v>
      </c>
      <c r="G521" s="1307">
        <v>3.7582</v>
      </c>
      <c r="H521" s="1309">
        <v>8.4366999999999984E-3</v>
      </c>
      <c r="I521" s="1309">
        <v>-3.8261190000000002E-3</v>
      </c>
      <c r="J521" s="1310">
        <v>3.0054000000000003</v>
      </c>
    </row>
    <row r="522" spans="2:10">
      <c r="B522" s="1307" t="s">
        <v>814</v>
      </c>
      <c r="C522" s="1308">
        <v>2100</v>
      </c>
      <c r="D522" s="1307">
        <v>1190000</v>
      </c>
      <c r="E522" s="1309">
        <v>51590</v>
      </c>
      <c r="F522" s="1310">
        <v>29220</v>
      </c>
      <c r="G522" s="1307">
        <v>3.7582</v>
      </c>
      <c r="H522" s="1309">
        <v>8.4366999999999984E-3</v>
      </c>
      <c r="I522" s="1309">
        <v>-3.8261190000000002E-3</v>
      </c>
      <c r="J522" s="1310">
        <v>3.0054000000000003</v>
      </c>
    </row>
    <row r="523" spans="2:10">
      <c r="B523" s="1307" t="s">
        <v>823</v>
      </c>
      <c r="C523" s="1308">
        <v>2100</v>
      </c>
      <c r="D523" s="1307">
        <v>1190000</v>
      </c>
      <c r="E523" s="1309">
        <v>51590</v>
      </c>
      <c r="F523" s="1310">
        <v>29220</v>
      </c>
      <c r="G523" s="1307">
        <v>3.7582</v>
      </c>
      <c r="H523" s="1309">
        <v>8.4366999999999984E-3</v>
      </c>
      <c r="I523" s="1309">
        <v>-3.8261190000000002E-3</v>
      </c>
      <c r="J523" s="1310">
        <v>3.0054000000000003</v>
      </c>
    </row>
    <row r="524" spans="2:10" ht="13.5" thickBot="1">
      <c r="B524" s="1311" t="s">
        <v>1084</v>
      </c>
      <c r="C524" s="1312">
        <v>2100</v>
      </c>
      <c r="D524" s="1311">
        <v>1384000</v>
      </c>
      <c r="E524" s="1313">
        <v>1383000</v>
      </c>
      <c r="F524" s="1314">
        <v>5034</v>
      </c>
      <c r="G524" s="1311">
        <v>78.571100000000001</v>
      </c>
      <c r="H524" s="1313">
        <v>0.27494000000000002</v>
      </c>
      <c r="I524" s="1313">
        <v>2.3304000000000003E-3</v>
      </c>
      <c r="J524" s="1314">
        <v>87.594300000000004</v>
      </c>
    </row>
  </sheetData>
  <mergeCells count="23">
    <mergeCell ref="K92:L92"/>
    <mergeCell ref="A91:B91"/>
    <mergeCell ref="A58:K58"/>
    <mergeCell ref="A53:K53"/>
    <mergeCell ref="C134:E134"/>
    <mergeCell ref="F134:H134"/>
    <mergeCell ref="A54:K54"/>
    <mergeCell ref="G91:H91"/>
    <mergeCell ref="D92:E92"/>
    <mergeCell ref="A55:K55"/>
    <mergeCell ref="A61:K61"/>
    <mergeCell ref="A62:K62"/>
    <mergeCell ref="K91:L91"/>
    <mergeCell ref="A52:K52"/>
    <mergeCell ref="A51:K51"/>
    <mergeCell ref="D91:E91"/>
    <mergeCell ref="A59:K59"/>
    <mergeCell ref="A2:K2"/>
    <mergeCell ref="A3:K3"/>
    <mergeCell ref="C4:E4"/>
    <mergeCell ref="G4:I4"/>
    <mergeCell ref="A56:K56"/>
    <mergeCell ref="A57:K57"/>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tabSelected="1" workbookViewId="0">
      <selection activeCell="C53" sqref="C53"/>
    </sheetView>
  </sheetViews>
  <sheetFormatPr defaultColWidth="9.140625" defaultRowHeight="12.75"/>
  <cols>
    <col min="1" max="1" width="19" customWidth="1"/>
    <col min="2" max="2" width="16" customWidth="1"/>
    <col min="3" max="3" width="17.140625" customWidth="1"/>
    <col min="4" max="4" width="17.85546875" customWidth="1"/>
    <col min="5" max="5" width="14.140625" customWidth="1"/>
    <col min="6" max="6" width="20.85546875" customWidth="1"/>
    <col min="7" max="7" width="22.42578125" customWidth="1"/>
  </cols>
  <sheetData>
    <row r="1" spans="1:12" ht="30.75" customHeight="1">
      <c r="A1" s="35" t="s">
        <v>32</v>
      </c>
    </row>
    <row r="2" spans="1:12" ht="15" customHeight="1">
      <c r="K2" s="36"/>
      <c r="L2" s="37"/>
    </row>
    <row r="3" spans="1:12" ht="15" customHeight="1">
      <c r="F3" s="40"/>
      <c r="G3" s="40"/>
      <c r="K3" s="36"/>
      <c r="L3" s="37"/>
    </row>
    <row r="4" spans="1:12" ht="15" customHeight="1">
      <c r="F4" s="40"/>
      <c r="G4" s="40"/>
      <c r="K4" s="36"/>
      <c r="L4" s="37"/>
    </row>
    <row r="5" spans="1:12" ht="15" customHeight="1">
      <c r="L5" s="37"/>
    </row>
    <row r="6" spans="1:12" ht="15" customHeight="1">
      <c r="L6" s="37"/>
    </row>
    <row r="7" spans="1:12" ht="15" customHeight="1">
      <c r="L7" s="37"/>
    </row>
    <row r="10" spans="1:12" ht="13.5" thickBot="1"/>
    <row r="11" spans="1:12" s="48" customFormat="1" ht="24.75" customHeight="1" thickTop="1" thickBot="1">
      <c r="A11" s="44" t="s">
        <v>39</v>
      </c>
      <c r="B11" s="45"/>
      <c r="C11" s="46"/>
      <c r="D11" s="46"/>
      <c r="E11" s="46"/>
      <c r="F11" s="46"/>
      <c r="G11" s="47"/>
    </row>
    <row r="12" spans="1:12" s="48" customFormat="1" ht="24.75" customHeight="1" thickTop="1" thickBot="1">
      <c r="A12" s="1374"/>
      <c r="B12" s="1591"/>
      <c r="C12" s="1592"/>
      <c r="D12" s="1592"/>
      <c r="E12" s="1592"/>
      <c r="F12" s="1592"/>
      <c r="G12" s="1592"/>
    </row>
    <row r="13" spans="1:12" s="48" customFormat="1" ht="21" customHeight="1" thickTop="1">
      <c r="A13" s="49" t="s">
        <v>40</v>
      </c>
      <c r="B13" s="50" t="s">
        <v>41</v>
      </c>
      <c r="C13" s="51" t="s">
        <v>42</v>
      </c>
      <c r="D13" s="51" t="s">
        <v>43</v>
      </c>
      <c r="E13" s="51" t="s">
        <v>44</v>
      </c>
      <c r="F13" s="51" t="s">
        <v>45</v>
      </c>
      <c r="G13" s="52" t="s">
        <v>46</v>
      </c>
    </row>
    <row r="14" spans="1:12" s="48" customFormat="1" ht="15" customHeight="1">
      <c r="A14" s="1004">
        <f>'Cash Flow Analysis'!B65</f>
        <v>1</v>
      </c>
      <c r="B14" s="1376">
        <f>IF(B13="","",IF('Cash Flow Analysis'!$B$31=0,"N/A",IF(A14=1,1,IF(A13=debt_period,"",B13+1))))</f>
        <v>1</v>
      </c>
      <c r="C14" s="1007">
        <f ca="1">IF(OR(A14="",B14="",B14="N/A"),"",IF(B14=1,-'Cash Flow Analysis'!G65,IF(B14="N/A",0,G13)))</f>
        <v>49786317.197968736</v>
      </c>
      <c r="D14" s="1007">
        <f ca="1">IF(debt_period=0,
E14+F14,
IF(OR(A14="",B14="",B14="N/A"),"",IF(B14=1,((debt_interest*(1+debt_interest)^debt_period)/((1+debt_interest)^debt_period-1))*(-'Cash Flow Analysis'!G65),IF(G13=0,"",D13))))</f>
        <v>1842093.7363248433</v>
      </c>
      <c r="E14" s="1007">
        <f t="shared" ref="E14:E57" ca="1" si="0">IF(OR(A14="",B14="",B14="N/A"),"",C14*debt_interest)</f>
        <v>1842093.7363248433</v>
      </c>
      <c r="F14" s="1007">
        <f>IF(debt_period=0,
IF(B14=(anal_period+construct),0,0),
IF(OR(A14="",B14="",B14="N/A"),"",D14-E14))</f>
        <v>0</v>
      </c>
      <c r="G14" s="1377">
        <f t="shared" ref="G14:G57" ca="1" si="1">IF(OR(A14="",B14="",B14="N/A"),"",C14-F14)</f>
        <v>49786317.197968736</v>
      </c>
    </row>
    <row r="15" spans="1:12" s="48" customFormat="1" ht="15" customHeight="1">
      <c r="A15" s="1004">
        <f>'Cash Flow Analysis'!B66</f>
        <v>2</v>
      </c>
      <c r="B15" s="1376">
        <f>IF(B14="","",IF('Cash Flow Analysis'!$B$31=0,"N/A",IF(A15=1,1,IF(A14=debt_period,"",B14+1))))</f>
        <v>2</v>
      </c>
      <c r="C15" s="1007">
        <f ca="1">IF(OR(A15="",B15="",B15="N/A"),"",IF(B15=1,-'Cash Flow Analysis'!G66,IF(B15="N/A",0,G14)))</f>
        <v>49786317.197968736</v>
      </c>
      <c r="D15" s="1007">
        <f ca="1">IF(debt_period=0,
E15+F15,
IF(OR(A15="",B15="",B15="N/A"),"",IF(B15=1,((debt_interest*(1+debt_interest)^debt_period)/((1+debt_interest)^debt_period-1))*(-'Cash Flow Analysis'!G66),IF(G14=0,"",D14))))</f>
        <v>1842093.7363248433</v>
      </c>
      <c r="E15" s="1007">
        <f t="shared" ca="1" si="0"/>
        <v>1842093.7363248433</v>
      </c>
      <c r="F15" s="1007">
        <f>IF(debt_period=0,
IF(B15=(anal_period+construct),C14,0),
IF(OR(A15="",B15="",B15="N/A"),"",D15-E15))</f>
        <v>0</v>
      </c>
      <c r="G15" s="1377">
        <f t="shared" ca="1" si="1"/>
        <v>49786317.197968736</v>
      </c>
    </row>
    <row r="16" spans="1:12" s="48" customFormat="1" ht="15" customHeight="1">
      <c r="A16" s="1004">
        <f>'Cash Flow Analysis'!B67</f>
        <v>3</v>
      </c>
      <c r="B16" s="1376">
        <f>IF(B15="","",IF('Cash Flow Analysis'!$B$31=0,"N/A",IF(A16=1,1,IF(A15=debt_period,"",B15+1))))</f>
        <v>3</v>
      </c>
      <c r="C16" s="1007">
        <f ca="1">IF(OR(A16="",B16="",B16="N/A"),"",IF(B16=1,-'Cash Flow Analysis'!G67,IF(B16="N/A",0,G15)))</f>
        <v>49786317.197968736</v>
      </c>
      <c r="D16" s="1007">
        <f ca="1">IF(debt_period=0,
E16+F16,
IF(OR(A16="",B16="",B16="N/A"),"",IF(B16=1,((debt_interest*(1+debt_interest)^debt_period)/((1+debt_interest)^debt_period-1))*(-'Cash Flow Analysis'!G67),IF(G15=0,"",D15))))</f>
        <v>1842093.7363248433</v>
      </c>
      <c r="E16" s="1007">
        <f t="shared" ca="1" si="0"/>
        <v>1842093.7363248433</v>
      </c>
      <c r="F16" s="1007">
        <f t="shared" ref="F16:F57" si="2">IF(debt_period=0,
IF(B16=(anal_period+construct),C16,0),
IF(OR(A16="",B16="",B16="N/A"),"",D16-E16))</f>
        <v>0</v>
      </c>
      <c r="G16" s="1377">
        <f t="shared" ca="1" si="1"/>
        <v>49786317.197968736</v>
      </c>
    </row>
    <row r="17" spans="1:7" s="48" customFormat="1" ht="15" customHeight="1">
      <c r="A17" s="1004">
        <f>'Cash Flow Analysis'!B68</f>
        <v>4</v>
      </c>
      <c r="B17" s="1376">
        <f>IF(B16="","",IF('Cash Flow Analysis'!$B$31=0,"N/A",IF(A17=1,1,IF(A16=debt_period,"",B16+1))))</f>
        <v>4</v>
      </c>
      <c r="C17" s="1007">
        <f ca="1">IF(OR(A17="",B17="",B17="N/A"),"",IF(B17=1,-'Cash Flow Analysis'!G68,IF(B17="N/A",0,G16)))</f>
        <v>49786317.197968736</v>
      </c>
      <c r="D17" s="1007">
        <f ca="1">IF(debt_period=0,
E17+F17,
IF(OR(A17="",B17="",B17="N/A"),"",IF(B17=1,((debt_interest*(1+debt_interest)^debt_period)/((1+debt_interest)^debt_period-1))*(-'Cash Flow Analysis'!G68),IF(G16=0,"",D16))))</f>
        <v>1842093.7363248433</v>
      </c>
      <c r="E17" s="1007">
        <f t="shared" ca="1" si="0"/>
        <v>1842093.7363248433</v>
      </c>
      <c r="F17" s="1007">
        <f t="shared" si="2"/>
        <v>0</v>
      </c>
      <c r="G17" s="1377">
        <f t="shared" ca="1" si="1"/>
        <v>49786317.197968736</v>
      </c>
    </row>
    <row r="18" spans="1:7" s="48" customFormat="1" ht="15" customHeight="1">
      <c r="A18" s="1004">
        <f>'Cash Flow Analysis'!B69</f>
        <v>5</v>
      </c>
      <c r="B18" s="1376">
        <f>IF(B17="","",IF('Cash Flow Analysis'!$B$31=0,"N/A",IF(A18=1,1,IF(A17=debt_period,"",B17+1))))</f>
        <v>5</v>
      </c>
      <c r="C18" s="1007">
        <f ca="1">IF(OR(A18="",B18="",B18="N/A"),"",IF(B18=1,-'Cash Flow Analysis'!G69,IF(B18="N/A",0,G17)))</f>
        <v>49786317.197968736</v>
      </c>
      <c r="D18" s="1007">
        <f ca="1">IF(debt_period=0,
E18+F18,
IF(OR(A18="",B18="",B18="N/A"),"",IF(B18=1,((debt_interest*(1+debt_interest)^debt_period)/((1+debt_interest)^debt_period-1))*(-'Cash Flow Analysis'!G69),IF(G17=0,"",D17))))</f>
        <v>1842093.7363248433</v>
      </c>
      <c r="E18" s="1007">
        <f t="shared" ca="1" si="0"/>
        <v>1842093.7363248433</v>
      </c>
      <c r="F18" s="1007">
        <f t="shared" si="2"/>
        <v>0</v>
      </c>
      <c r="G18" s="1377">
        <f t="shared" ca="1" si="1"/>
        <v>49786317.197968736</v>
      </c>
    </row>
    <row r="19" spans="1:7" s="48" customFormat="1" ht="15" customHeight="1">
      <c r="A19" s="1004">
        <f>'Cash Flow Analysis'!B70</f>
        <v>6</v>
      </c>
      <c r="B19" s="1376">
        <f>IF(B18="","",IF('Cash Flow Analysis'!$B$31=0,"N/A",IF(A19=1,1,IF(A18=debt_period,"",B18+1))))</f>
        <v>6</v>
      </c>
      <c r="C19" s="1007">
        <f ca="1">IF(OR(A19="",B19="",B19="N/A"),"",IF(B19=1,-'Cash Flow Analysis'!G70,IF(B19="N/A",0,G18)))</f>
        <v>49786317.197968736</v>
      </c>
      <c r="D19" s="1007">
        <f ca="1">IF(debt_period=0,
E19+F19,
IF(OR(A19="",B19="",B19="N/A"),"",IF(B19=1,((debt_interest*(1+debt_interest)^debt_period)/((1+debt_interest)^debt_period-1))*(-'Cash Flow Analysis'!G70),IF(G18=0,"",D18))))</f>
        <v>1842093.7363248433</v>
      </c>
      <c r="E19" s="1007">
        <f t="shared" ca="1" si="0"/>
        <v>1842093.7363248433</v>
      </c>
      <c r="F19" s="1007">
        <f t="shared" si="2"/>
        <v>0</v>
      </c>
      <c r="G19" s="1377">
        <f t="shared" ca="1" si="1"/>
        <v>49786317.197968736</v>
      </c>
    </row>
    <row r="20" spans="1:7" s="48" customFormat="1" ht="15" customHeight="1">
      <c r="A20" s="1004">
        <f>'Cash Flow Analysis'!B71</f>
        <v>7</v>
      </c>
      <c r="B20" s="1376">
        <f>IF(B19="","",IF('Cash Flow Analysis'!$B$31=0,"N/A",IF(A20=1,1,IF(A19=debt_period,"",B19+1))))</f>
        <v>7</v>
      </c>
      <c r="C20" s="1007">
        <f ca="1">IF(OR(A20="",B20="",B20="N/A"),"",IF(B20=1,-'Cash Flow Analysis'!G71,IF(B20="N/A",0,G19)))</f>
        <v>49786317.197968736</v>
      </c>
      <c r="D20" s="1007">
        <f ca="1">IF(debt_period=0,
E20+F20,
IF(OR(A20="",B20="",B20="N/A"),"",IF(B20=1,((debt_interest*(1+debt_interest)^debt_period)/((1+debt_interest)^debt_period-1))*(-'Cash Flow Analysis'!G71),IF(G19=0,"",D19))))</f>
        <v>1842093.7363248433</v>
      </c>
      <c r="E20" s="1007">
        <f t="shared" ca="1" si="0"/>
        <v>1842093.7363248433</v>
      </c>
      <c r="F20" s="1007">
        <f t="shared" si="2"/>
        <v>0</v>
      </c>
      <c r="G20" s="1377">
        <f t="shared" ca="1" si="1"/>
        <v>49786317.197968736</v>
      </c>
    </row>
    <row r="21" spans="1:7" s="48" customFormat="1" ht="15" customHeight="1">
      <c r="A21" s="1004">
        <f>'Cash Flow Analysis'!B72</f>
        <v>8</v>
      </c>
      <c r="B21" s="1376">
        <f>IF(B20="","",IF('Cash Flow Analysis'!$B$31=0,"N/A",IF(A21=1,1,IF(A20=debt_period,"",B20+1))))</f>
        <v>8</v>
      </c>
      <c r="C21" s="1007">
        <f ca="1">IF(OR(A21="",B21="",B21="N/A"),"",IF(B21=1,-'Cash Flow Analysis'!G72,IF(B21="N/A",0,G20)))</f>
        <v>49786317.197968736</v>
      </c>
      <c r="D21" s="1007">
        <f ca="1">IF(debt_period=0,
E21+F21,
IF(OR(A21="",B21="",B21="N/A"),"",IF(B21=1,((debt_interest*(1+debt_interest)^debt_period)/((1+debt_interest)^debt_period-1))*(-'Cash Flow Analysis'!G72),IF(G20=0,"",D20))))</f>
        <v>1842093.7363248433</v>
      </c>
      <c r="E21" s="1007">
        <f t="shared" ca="1" si="0"/>
        <v>1842093.7363248433</v>
      </c>
      <c r="F21" s="1007">
        <f t="shared" si="2"/>
        <v>0</v>
      </c>
      <c r="G21" s="1377">
        <f t="shared" ca="1" si="1"/>
        <v>49786317.197968736</v>
      </c>
    </row>
    <row r="22" spans="1:7" s="48" customFormat="1" ht="15" customHeight="1">
      <c r="A22" s="1004">
        <f>'Cash Flow Analysis'!B73</f>
        <v>9</v>
      </c>
      <c r="B22" s="1376">
        <f>IF(B21="","",IF('Cash Flow Analysis'!$B$31=0,"N/A",IF(A22=1,1,IF(A21=debt_period,"",B21+1))))</f>
        <v>9</v>
      </c>
      <c r="C22" s="1007">
        <f ca="1">IF(OR(A22="",B22="",B22="N/A"),"",IF(B22=1,-'Cash Flow Analysis'!G73,IF(B22="N/A",0,G21)))</f>
        <v>49786317.197968736</v>
      </c>
      <c r="D22" s="1007">
        <f ca="1">IF(debt_period=0,
E22+F22,
IF(OR(A22="",B22="",B22="N/A"),"",IF(B22=1,((debt_interest*(1+debt_interest)^debt_period)/((1+debt_interest)^debt_period-1))*(-'Cash Flow Analysis'!G73),IF(G21=0,"",D21))))</f>
        <v>1842093.7363248433</v>
      </c>
      <c r="E22" s="1007">
        <f t="shared" ca="1" si="0"/>
        <v>1842093.7363248433</v>
      </c>
      <c r="F22" s="1007">
        <f t="shared" si="2"/>
        <v>0</v>
      </c>
      <c r="G22" s="1377">
        <f t="shared" ca="1" si="1"/>
        <v>49786317.197968736</v>
      </c>
    </row>
    <row r="23" spans="1:7" s="48" customFormat="1" ht="15" customHeight="1">
      <c r="A23" s="1004">
        <f>'Cash Flow Analysis'!B74</f>
        <v>10</v>
      </c>
      <c r="B23" s="1376">
        <f>IF(B22="","",IF('Cash Flow Analysis'!$B$31=0,"N/A",IF(A23=1,1,IF(A22=debt_period,"",B22+1))))</f>
        <v>10</v>
      </c>
      <c r="C23" s="1007">
        <f ca="1">IF(OR(A23="",B23="",B23="N/A"),"",IF(B23=1,-'Cash Flow Analysis'!G74,IF(B23="N/A",0,G22)))</f>
        <v>49786317.197968736</v>
      </c>
      <c r="D23" s="1007">
        <f ca="1">IF(debt_period=0,
E23+F23,
IF(OR(A23="",B23="",B23="N/A"),"",IF(B23=1,((debt_interest*(1+debt_interest)^debt_period)/((1+debt_interest)^debt_period-1))*(-'Cash Flow Analysis'!G74),IF(G22=0,"",D22))))</f>
        <v>1842093.7363248433</v>
      </c>
      <c r="E23" s="1007">
        <f t="shared" ca="1" si="0"/>
        <v>1842093.7363248433</v>
      </c>
      <c r="F23" s="1007">
        <f t="shared" si="2"/>
        <v>0</v>
      </c>
      <c r="G23" s="1377">
        <f t="shared" ca="1" si="1"/>
        <v>49786317.197968736</v>
      </c>
    </row>
    <row r="24" spans="1:7" s="48" customFormat="1" ht="15" customHeight="1">
      <c r="A24" s="1004">
        <f>'Cash Flow Analysis'!B75</f>
        <v>11</v>
      </c>
      <c r="B24" s="1376">
        <f>IF(B23="","",IF('Cash Flow Analysis'!$B$31=0,"N/A",IF(A24=1,1,IF(A23=debt_period,"",B23+1))))</f>
        <v>11</v>
      </c>
      <c r="C24" s="1007">
        <f ca="1">IF(OR(A24="",B24="",B24="N/A"),"",IF(B24=1,-'Cash Flow Analysis'!G75,IF(B24="N/A",0,G23)))</f>
        <v>49786317.197968736</v>
      </c>
      <c r="D24" s="1007">
        <f ca="1">IF(debt_period=0,
E24+F24,
IF(OR(A24="",B24="",B24="N/A"),"",IF(B24=1,((debt_interest*(1+debt_interest)^debt_period)/((1+debt_interest)^debt_period-1))*(-'Cash Flow Analysis'!G75),IF(G23=0,"",D23))))</f>
        <v>1842093.7363248433</v>
      </c>
      <c r="E24" s="1007">
        <f t="shared" ca="1" si="0"/>
        <v>1842093.7363248433</v>
      </c>
      <c r="F24" s="1007">
        <f t="shared" si="2"/>
        <v>0</v>
      </c>
      <c r="G24" s="1377">
        <f t="shared" ca="1" si="1"/>
        <v>49786317.197968736</v>
      </c>
    </row>
    <row r="25" spans="1:7" s="48" customFormat="1" ht="15" customHeight="1">
      <c r="A25" s="1004">
        <f>'Cash Flow Analysis'!B76</f>
        <v>12</v>
      </c>
      <c r="B25" s="1376">
        <f>IF(B24="","",IF('Cash Flow Analysis'!$B$31=0,"N/A",IF(A25=1,1,IF(A24=debt_period,"",B24+1))))</f>
        <v>12</v>
      </c>
      <c r="C25" s="1007">
        <f ca="1">IF(OR(A25="",B25="",B25="N/A"),"",IF(B25=1,-'Cash Flow Analysis'!G76,IF(B25="N/A",0,G24)))</f>
        <v>49786317.197968736</v>
      </c>
      <c r="D25" s="1007">
        <f ca="1">IF(debt_period=0,
E25+F25,
IF(OR(A25="",B25="",B25="N/A"),"",IF(B25=1,((debt_interest*(1+debt_interest)^debt_period)/((1+debt_interest)^debt_period-1))*(-'Cash Flow Analysis'!G76),IF(G24=0,"",D24))))</f>
        <v>1842093.7363248433</v>
      </c>
      <c r="E25" s="1007">
        <f t="shared" ca="1" si="0"/>
        <v>1842093.7363248433</v>
      </c>
      <c r="F25" s="1007">
        <f t="shared" si="2"/>
        <v>0</v>
      </c>
      <c r="G25" s="1377">
        <f t="shared" ca="1" si="1"/>
        <v>49786317.197968736</v>
      </c>
    </row>
    <row r="26" spans="1:7" s="48" customFormat="1" ht="15" customHeight="1">
      <c r="A26" s="1004">
        <f>'Cash Flow Analysis'!B77</f>
        <v>13</v>
      </c>
      <c r="B26" s="1376">
        <f>IF(B25="","",IF('Cash Flow Analysis'!$B$31=0,"N/A",IF(A26=1,1,IF(A25=debt_period,"",B25+1))))</f>
        <v>13</v>
      </c>
      <c r="C26" s="1007">
        <f ca="1">IF(OR(A26="",B26="",B26="N/A"),"",IF(B26=1,-'Cash Flow Analysis'!G77,IF(B26="N/A",0,G25)))</f>
        <v>49786317.197968736</v>
      </c>
      <c r="D26" s="1007">
        <f ca="1">IF(debt_period=0,
E26+F26,
IF(OR(A26="",B26="",B26="N/A"),"",IF(B26=1,((debt_interest*(1+debt_interest)^debt_period)/((1+debt_interest)^debt_period-1))*(-'Cash Flow Analysis'!G77),IF(G25=0,"",D25))))</f>
        <v>1842093.7363248433</v>
      </c>
      <c r="E26" s="1007">
        <f t="shared" ca="1" si="0"/>
        <v>1842093.7363248433</v>
      </c>
      <c r="F26" s="1007">
        <f t="shared" si="2"/>
        <v>0</v>
      </c>
      <c r="G26" s="1377">
        <f t="shared" ca="1" si="1"/>
        <v>49786317.197968736</v>
      </c>
    </row>
    <row r="27" spans="1:7" s="48" customFormat="1" ht="15" customHeight="1">
      <c r="A27" s="1004">
        <f>'Cash Flow Analysis'!B78</f>
        <v>14</v>
      </c>
      <c r="B27" s="1376">
        <f>IF(B26="","",IF('Cash Flow Analysis'!$B$31=0,"N/A",IF(A27=1,1,IF(A26=debt_period,"",B26+1))))</f>
        <v>14</v>
      </c>
      <c r="C27" s="1007">
        <f ca="1">IF(OR(A27="",B27="",B27="N/A"),"",IF(B27=1,-'Cash Flow Analysis'!G78,IF(B27="N/A",0,G26)))</f>
        <v>49786317.197968736</v>
      </c>
      <c r="D27" s="1007">
        <f ca="1">IF(debt_period=0,
E27+F27,
IF(OR(A27="",B27="",B27="N/A"),"",IF(B27=1,((debt_interest*(1+debt_interest)^debt_period)/((1+debt_interest)^debt_period-1))*(-'Cash Flow Analysis'!G78),IF(G26=0,"",D26))))</f>
        <v>1842093.7363248433</v>
      </c>
      <c r="E27" s="1007">
        <f t="shared" ca="1" si="0"/>
        <v>1842093.7363248433</v>
      </c>
      <c r="F27" s="1007">
        <f t="shared" si="2"/>
        <v>0</v>
      </c>
      <c r="G27" s="1377">
        <f t="shared" ca="1" si="1"/>
        <v>49786317.197968736</v>
      </c>
    </row>
    <row r="28" spans="1:7" s="48" customFormat="1" ht="15" customHeight="1">
      <c r="A28" s="1004">
        <f>'Cash Flow Analysis'!B79</f>
        <v>15</v>
      </c>
      <c r="B28" s="1376">
        <f>IF(B27="","",IF('Cash Flow Analysis'!$B$31=0,"N/A",IF(A28=1,1,IF(A27=debt_period,"",B27+1))))</f>
        <v>15</v>
      </c>
      <c r="C28" s="1007">
        <f ca="1">IF(OR(A28="",B28="",B28="N/A"),"",IF(B28=1,-'Cash Flow Analysis'!G79,IF(B28="N/A",0,G27)))</f>
        <v>49786317.197968736</v>
      </c>
      <c r="D28" s="1007">
        <f ca="1">IF(debt_period=0,
E28+F28,
IF(OR(A28="",B28="",B28="N/A"),"",IF(B28=1,((debt_interest*(1+debt_interest)^debt_period)/((1+debt_interest)^debt_period-1))*(-'Cash Flow Analysis'!G79),IF(G27=0,"",D27))))</f>
        <v>1842093.7363248433</v>
      </c>
      <c r="E28" s="1007">
        <f t="shared" ca="1" si="0"/>
        <v>1842093.7363248433</v>
      </c>
      <c r="F28" s="1007">
        <f t="shared" si="2"/>
        <v>0</v>
      </c>
      <c r="G28" s="1377">
        <f t="shared" ca="1" si="1"/>
        <v>49786317.197968736</v>
      </c>
    </row>
    <row r="29" spans="1:7" s="48" customFormat="1" ht="15" customHeight="1">
      <c r="A29" s="1004">
        <f>'Cash Flow Analysis'!B80</f>
        <v>16</v>
      </c>
      <c r="B29" s="1376">
        <f>IF(B28="","",IF('Cash Flow Analysis'!$B$31=0,"N/A",IF(A29=1,1,IF(A28=debt_period,"",B28+1))))</f>
        <v>16</v>
      </c>
      <c r="C29" s="1007">
        <f ca="1">IF(OR(A29="",B29="",B29="N/A"),"",IF(B29=1,-'Cash Flow Analysis'!G80,IF(B29="N/A",0,G28)))</f>
        <v>49786317.197968736</v>
      </c>
      <c r="D29" s="1007">
        <f ca="1">IF(debt_period=0,
E29+F29,
IF(OR(A29="",B29="",B29="N/A"),"",IF(B29=1,((debt_interest*(1+debt_interest)^debt_period)/((1+debt_interest)^debt_period-1))*(-'Cash Flow Analysis'!G80),IF(G28=0,"",D28))))</f>
        <v>1842093.7363248433</v>
      </c>
      <c r="E29" s="1007">
        <f t="shared" ca="1" si="0"/>
        <v>1842093.7363248433</v>
      </c>
      <c r="F29" s="1007">
        <f t="shared" si="2"/>
        <v>0</v>
      </c>
      <c r="G29" s="1377">
        <f t="shared" ca="1" si="1"/>
        <v>49786317.197968736</v>
      </c>
    </row>
    <row r="30" spans="1:7" s="48" customFormat="1" ht="15" customHeight="1">
      <c r="A30" s="1004">
        <f>'Cash Flow Analysis'!B81</f>
        <v>17</v>
      </c>
      <c r="B30" s="1376">
        <f>IF(B29="","",IF('Cash Flow Analysis'!$B$31=0,"N/A",IF(A30=1,1,IF(A29=debt_period,"",B29+1))))</f>
        <v>17</v>
      </c>
      <c r="C30" s="1007">
        <f ca="1">IF(OR(A30="",B30="",B30="N/A"),"",IF(B30=1,-'Cash Flow Analysis'!G81,IF(B30="N/A",0,G29)))</f>
        <v>49786317.197968736</v>
      </c>
      <c r="D30" s="1007">
        <f ca="1">IF(debt_period=0,
E30+F30,
IF(OR(A30="",B30="",B30="N/A"),"",IF(B30=1,((debt_interest*(1+debt_interest)^debt_period)/((1+debt_interest)^debt_period-1))*(-'Cash Flow Analysis'!G81),IF(G29=0,"",D29))))</f>
        <v>1842093.7363248433</v>
      </c>
      <c r="E30" s="1007">
        <f t="shared" ca="1" si="0"/>
        <v>1842093.7363248433</v>
      </c>
      <c r="F30" s="1007">
        <f t="shared" si="2"/>
        <v>0</v>
      </c>
      <c r="G30" s="1377">
        <f t="shared" ca="1" si="1"/>
        <v>49786317.197968736</v>
      </c>
    </row>
    <row r="31" spans="1:7" s="48" customFormat="1" ht="15" customHeight="1">
      <c r="A31" s="1004">
        <f>'Cash Flow Analysis'!B82</f>
        <v>18</v>
      </c>
      <c r="B31" s="1376">
        <f>IF(B30="","",IF('Cash Flow Analysis'!$B$31=0,"N/A",IF(A31=1,1,IF(A30=debt_period,"",B30+1))))</f>
        <v>18</v>
      </c>
      <c r="C31" s="1007">
        <f ca="1">IF(OR(A31="",B31="",B31="N/A"),"",IF(B31=1,-'Cash Flow Analysis'!G82,IF(B31="N/A",0,G30)))</f>
        <v>49786317.197968736</v>
      </c>
      <c r="D31" s="1007">
        <f ca="1">IF(debt_period=0,
E31+F31,
IF(OR(A31="",B31="",B31="N/A"),"",IF(B31=1,((debt_interest*(1+debt_interest)^debt_period)/((1+debt_interest)^debt_period-1))*(-'Cash Flow Analysis'!G82),IF(G30=0,"",D30))))</f>
        <v>1842093.7363248433</v>
      </c>
      <c r="E31" s="1007">
        <f t="shared" ca="1" si="0"/>
        <v>1842093.7363248433</v>
      </c>
      <c r="F31" s="1007">
        <f t="shared" si="2"/>
        <v>0</v>
      </c>
      <c r="G31" s="1377">
        <f t="shared" ca="1" si="1"/>
        <v>49786317.197968736</v>
      </c>
    </row>
    <row r="32" spans="1:7" s="48" customFormat="1" ht="15" customHeight="1">
      <c r="A32" s="1004">
        <f>'Cash Flow Analysis'!B83</f>
        <v>19</v>
      </c>
      <c r="B32" s="1376">
        <f>IF(B31="","",IF('Cash Flow Analysis'!$B$31=0,"N/A",IF(A32=1,1,IF(A31=debt_period,"",B31+1))))</f>
        <v>19</v>
      </c>
      <c r="C32" s="1007">
        <f ca="1">IF(OR(A32="",B32="",B32="N/A"),"",IF(B32=1,-'Cash Flow Analysis'!G83,IF(B32="N/A",0,G31)))</f>
        <v>49786317.197968736</v>
      </c>
      <c r="D32" s="1007">
        <f ca="1">IF(debt_period=0,
E32+F32,
IF(OR(A32="",B32="",B32="N/A"),"",IF(B32=1,((debt_interest*(1+debt_interest)^debt_period)/((1+debt_interest)^debt_period-1))*(-'Cash Flow Analysis'!G83),IF(G31=0,"",D31))))</f>
        <v>1842093.7363248433</v>
      </c>
      <c r="E32" s="1007">
        <f t="shared" ca="1" si="0"/>
        <v>1842093.7363248433</v>
      </c>
      <c r="F32" s="1007">
        <f t="shared" si="2"/>
        <v>0</v>
      </c>
      <c r="G32" s="1377">
        <f t="shared" ca="1" si="1"/>
        <v>49786317.197968736</v>
      </c>
    </row>
    <row r="33" spans="1:7" s="48" customFormat="1" ht="15" customHeight="1">
      <c r="A33" s="1004">
        <f>'Cash Flow Analysis'!B84</f>
        <v>20</v>
      </c>
      <c r="B33" s="1376">
        <f>IF(B32="","",IF('Cash Flow Analysis'!$B$31=0,"N/A",IF(A33=1,1,IF(A32=debt_period,"",B32+1))))</f>
        <v>20</v>
      </c>
      <c r="C33" s="1007">
        <f ca="1">IF(OR(A33="",B33="",B33="N/A"),"",IF(B33=1,-'Cash Flow Analysis'!G84,IF(B33="N/A",0,G32)))</f>
        <v>49786317.197968736</v>
      </c>
      <c r="D33" s="1007">
        <f ca="1">IF(debt_period=0,
E33+F33,
IF(OR(A33="",B33="",B33="N/A"),"",IF(B33=1,((debt_interest*(1+debt_interest)^debt_period)/((1+debt_interest)^debt_period-1))*(-'Cash Flow Analysis'!G84),IF(G32=0,"",D32))))</f>
        <v>1842093.7363248433</v>
      </c>
      <c r="E33" s="1007">
        <f t="shared" ca="1" si="0"/>
        <v>1842093.7363248433</v>
      </c>
      <c r="F33" s="1007">
        <f t="shared" si="2"/>
        <v>0</v>
      </c>
      <c r="G33" s="1377">
        <f t="shared" ca="1" si="1"/>
        <v>49786317.197968736</v>
      </c>
    </row>
    <row r="34" spans="1:7" s="48" customFormat="1" ht="15" customHeight="1">
      <c r="A34" s="1004">
        <f>'Cash Flow Analysis'!B85</f>
        <v>21</v>
      </c>
      <c r="B34" s="1376">
        <f>IF(B33="","",IF('Cash Flow Analysis'!$B$31=0,"N/A",IF(A34=1,1,IF(A33=debt_period,"",B33+1))))</f>
        <v>21</v>
      </c>
      <c r="C34" s="1007">
        <f ca="1">IF(OR(A34="",B34="",B34="N/A"),"",IF(B34=1,-'Cash Flow Analysis'!G85,IF(B34="N/A",0,G33)))</f>
        <v>49786317.197968736</v>
      </c>
      <c r="D34" s="1007">
        <f ca="1">IF(debt_period=0,
E34+F34,
IF(OR(A34="",B34="",B34="N/A"),"",IF(B34=1,((debt_interest*(1+debt_interest)^debt_period)/((1+debt_interest)^debt_period-1))*(-'Cash Flow Analysis'!G85),IF(G33=0,"",D33))))</f>
        <v>1842093.7363248433</v>
      </c>
      <c r="E34" s="1007">
        <f t="shared" ca="1" si="0"/>
        <v>1842093.7363248433</v>
      </c>
      <c r="F34" s="1007">
        <f t="shared" si="2"/>
        <v>0</v>
      </c>
      <c r="G34" s="1377">
        <f t="shared" ca="1" si="1"/>
        <v>49786317.197968736</v>
      </c>
    </row>
    <row r="35" spans="1:7" s="48" customFormat="1" ht="15" customHeight="1">
      <c r="A35" s="1004">
        <f>'Cash Flow Analysis'!B86</f>
        <v>22</v>
      </c>
      <c r="B35" s="1376">
        <f>IF(B34="","",IF('Cash Flow Analysis'!$B$31=0,"N/A",IF(A35=1,1,IF(A34=debt_period,"",B34+1))))</f>
        <v>22</v>
      </c>
      <c r="C35" s="1007">
        <f ca="1">IF(OR(A35="",B35="",B35="N/A"),"",IF(B35=1,-'Cash Flow Analysis'!G86,IF(B35="N/A",0,G34)))</f>
        <v>49786317.197968736</v>
      </c>
      <c r="D35" s="1007">
        <f ca="1">IF(debt_period=0,
E35+F35,
IF(OR(A35="",B35="",B35="N/A"),"",IF(B35=1,((debt_interest*(1+debt_interest)^debt_period)/((1+debt_interest)^debt_period-1))*(-'Cash Flow Analysis'!G86),IF(G34=0,"",D34))))</f>
        <v>1842093.7363248433</v>
      </c>
      <c r="E35" s="1007">
        <f t="shared" ca="1" si="0"/>
        <v>1842093.7363248433</v>
      </c>
      <c r="F35" s="1007">
        <f t="shared" si="2"/>
        <v>0</v>
      </c>
      <c r="G35" s="1377">
        <f t="shared" ca="1" si="1"/>
        <v>49786317.197968736</v>
      </c>
    </row>
    <row r="36" spans="1:7" s="48" customFormat="1" ht="15" customHeight="1">
      <c r="A36" s="1004">
        <f>'Cash Flow Analysis'!B87</f>
        <v>23</v>
      </c>
      <c r="B36" s="1376">
        <f>IF(B35="","",IF('Cash Flow Analysis'!$B$31=0,"N/A",IF(A36=1,1,IF(A35=debt_period,"",B35+1))))</f>
        <v>23</v>
      </c>
      <c r="C36" s="1007">
        <f ca="1">IF(OR(A36="",B36="",B36="N/A"),"",IF(B36=1,-'Cash Flow Analysis'!G87,IF(B36="N/A",0,G35)))</f>
        <v>49786317.197968736</v>
      </c>
      <c r="D36" s="1007">
        <f ca="1">IF(debt_period=0,
E36+F36,
IF(OR(A36="",B36="",B36="N/A"),"",IF(B36=1,((debt_interest*(1+debt_interest)^debt_period)/((1+debt_interest)^debt_period-1))*(-'Cash Flow Analysis'!G87),IF(G35=0,"",D35))))</f>
        <v>1842093.7363248433</v>
      </c>
      <c r="E36" s="1007">
        <f t="shared" ca="1" si="0"/>
        <v>1842093.7363248433</v>
      </c>
      <c r="F36" s="1007">
        <f t="shared" si="2"/>
        <v>0</v>
      </c>
      <c r="G36" s="1377">
        <f t="shared" ca="1" si="1"/>
        <v>49786317.197968736</v>
      </c>
    </row>
    <row r="37" spans="1:7" s="48" customFormat="1" ht="15" customHeight="1">
      <c r="A37" s="1004">
        <f>'Cash Flow Analysis'!B88</f>
        <v>24</v>
      </c>
      <c r="B37" s="1376">
        <f>IF(B36="","",IF('Cash Flow Analysis'!$B$31=0,"N/A",IF(A37=1,1,IF(A36=debt_period,"",B36+1))))</f>
        <v>24</v>
      </c>
      <c r="C37" s="1007">
        <f ca="1">IF(OR(A37="",B37="",B37="N/A"),"",IF(B37=1,-'Cash Flow Analysis'!G88,IF(B37="N/A",0,G36)))</f>
        <v>49786317.197968736</v>
      </c>
      <c r="D37" s="1007">
        <f ca="1">IF(debt_period=0,
E37+F37,
IF(OR(A37="",B37="",B37="N/A"),"",IF(B37=1,((debt_interest*(1+debt_interest)^debt_period)/((1+debt_interest)^debt_period-1))*(-'Cash Flow Analysis'!G88),IF(G36=0,"",D36))))</f>
        <v>1842093.7363248433</v>
      </c>
      <c r="E37" s="1007">
        <f t="shared" ca="1" si="0"/>
        <v>1842093.7363248433</v>
      </c>
      <c r="F37" s="1007">
        <f t="shared" si="2"/>
        <v>0</v>
      </c>
      <c r="G37" s="1377">
        <f t="shared" ca="1" si="1"/>
        <v>49786317.197968736</v>
      </c>
    </row>
    <row r="38" spans="1:7" s="48" customFormat="1" ht="15" customHeight="1">
      <c r="A38" s="1004">
        <f>'Cash Flow Analysis'!B89</f>
        <v>25</v>
      </c>
      <c r="B38" s="1376">
        <f>IF(B37="","",IF('Cash Flow Analysis'!$B$31=0,"N/A",IF(A38=1,1,IF(A37=debt_period,"",B37+1))))</f>
        <v>25</v>
      </c>
      <c r="C38" s="1007">
        <f ca="1">IF(OR(A38="",B38="",B38="N/A"),"",IF(B38=1,-'Cash Flow Analysis'!G89,IF(B38="N/A",0,G37)))</f>
        <v>49786317.197968736</v>
      </c>
      <c r="D38" s="1007">
        <f ca="1">IF(debt_period=0,
E38+F38,
IF(OR(A38="",B38="",B38="N/A"),"",IF(B38=1,((debt_interest*(1+debt_interest)^debt_period)/((1+debt_interest)^debt_period-1))*(-'Cash Flow Analysis'!G89),IF(G37=0,"",D37))))</f>
        <v>1842093.7363248433</v>
      </c>
      <c r="E38" s="1007">
        <f t="shared" ca="1" si="0"/>
        <v>1842093.7363248433</v>
      </c>
      <c r="F38" s="1007">
        <f t="shared" si="2"/>
        <v>0</v>
      </c>
      <c r="G38" s="1377">
        <f t="shared" ca="1" si="1"/>
        <v>49786317.197968736</v>
      </c>
    </row>
    <row r="39" spans="1:7" s="48" customFormat="1" ht="15" customHeight="1">
      <c r="A39" s="1004">
        <f>'Cash Flow Analysis'!B90</f>
        <v>26</v>
      </c>
      <c r="B39" s="1376">
        <f>IF(B38="","",IF('Cash Flow Analysis'!$B$31=0,"N/A",IF(A39=1,1,IF(A38=debt_period,"",B38+1))))</f>
        <v>26</v>
      </c>
      <c r="C39" s="1007">
        <f ca="1">IF(OR(A39="",B39="",B39="N/A"),"",IF(B39=1,-'Cash Flow Analysis'!G90,IF(B39="N/A",0,G38)))</f>
        <v>49786317.197968736</v>
      </c>
      <c r="D39" s="1007">
        <f ca="1">IF(debt_period=0,
E39+F39,
IF(OR(A39="",B39="",B39="N/A"),"",IF(B39=1,((debt_interest*(1+debt_interest)^debt_period)/((1+debt_interest)^debt_period-1))*(-'Cash Flow Analysis'!G90),IF(G38=0,"",D38))))</f>
        <v>1842093.7363248433</v>
      </c>
      <c r="E39" s="1007">
        <f t="shared" ca="1" si="0"/>
        <v>1842093.7363248433</v>
      </c>
      <c r="F39" s="1007">
        <f t="shared" si="2"/>
        <v>0</v>
      </c>
      <c r="G39" s="1377">
        <f t="shared" ca="1" si="1"/>
        <v>49786317.197968736</v>
      </c>
    </row>
    <row r="40" spans="1:7" s="48" customFormat="1" ht="15" customHeight="1">
      <c r="A40" s="1004">
        <f>'Cash Flow Analysis'!B91</f>
        <v>27</v>
      </c>
      <c r="B40" s="1376">
        <f>IF(B39="","",IF('Cash Flow Analysis'!$B$31=0,"N/A",IF(A40=1,1,IF(A39=debt_period,"",B39+1))))</f>
        <v>27</v>
      </c>
      <c r="C40" s="1007">
        <f ca="1">IF(OR(A40="",B40="",B40="N/A"),"",IF(B40=1,-'Cash Flow Analysis'!G91,IF(B40="N/A",0,G39)))</f>
        <v>49786317.197968736</v>
      </c>
      <c r="D40" s="1007">
        <f ca="1">IF(debt_period=0,
E40+F40,
IF(OR(A40="",B40="",B40="N/A"),"",IF(B40=1,((debt_interest*(1+debt_interest)^debt_period)/((1+debt_interest)^debt_period-1))*(-'Cash Flow Analysis'!G91),IF(G39=0,"",D39))))</f>
        <v>1842093.7363248433</v>
      </c>
      <c r="E40" s="1007">
        <f t="shared" ca="1" si="0"/>
        <v>1842093.7363248433</v>
      </c>
      <c r="F40" s="1007">
        <f t="shared" si="2"/>
        <v>0</v>
      </c>
      <c r="G40" s="1377">
        <f t="shared" ca="1" si="1"/>
        <v>49786317.197968736</v>
      </c>
    </row>
    <row r="41" spans="1:7" s="48" customFormat="1" ht="15" customHeight="1">
      <c r="A41" s="1004">
        <f>'Cash Flow Analysis'!B92</f>
        <v>28</v>
      </c>
      <c r="B41" s="1376">
        <f>IF(B40="","",IF('Cash Flow Analysis'!$B$31=0,"N/A",IF(A41=1,1,IF(A40=debt_period,"",B40+1))))</f>
        <v>28</v>
      </c>
      <c r="C41" s="1007">
        <f ca="1">IF(OR(A41="",B41="",B41="N/A"),"",IF(B41=1,-'Cash Flow Analysis'!G92,IF(B41="N/A",0,G40)))</f>
        <v>49786317.197968736</v>
      </c>
      <c r="D41" s="1007">
        <f ca="1">IF(debt_period=0,
E41+F41,
IF(OR(A41="",B41="",B41="N/A"),"",IF(B41=1,((debt_interest*(1+debt_interest)^debt_period)/((1+debt_interest)^debt_period-1))*(-'Cash Flow Analysis'!G92),IF(G40=0,"",D40))))</f>
        <v>1842093.7363248433</v>
      </c>
      <c r="E41" s="1007">
        <f t="shared" ca="1" si="0"/>
        <v>1842093.7363248433</v>
      </c>
      <c r="F41" s="1007">
        <f t="shared" si="2"/>
        <v>0</v>
      </c>
      <c r="G41" s="1377">
        <f t="shared" ca="1" si="1"/>
        <v>49786317.197968736</v>
      </c>
    </row>
    <row r="42" spans="1:7" s="48" customFormat="1" ht="15" customHeight="1">
      <c r="A42" s="1004">
        <f>'Cash Flow Analysis'!B93</f>
        <v>29</v>
      </c>
      <c r="B42" s="1376">
        <f>IF(B41="","",IF('Cash Flow Analysis'!$B$31=0,"N/A",IF(A42=1,1,IF(A41=debt_period,"",B41+1))))</f>
        <v>29</v>
      </c>
      <c r="C42" s="1007">
        <f ca="1">IF(OR(A42="",B42="",B42="N/A"),"",IF(B42=1,-'Cash Flow Analysis'!G93,IF(B42="N/A",0,G41)))</f>
        <v>49786317.197968736</v>
      </c>
      <c r="D42" s="1007">
        <f ca="1">IF(debt_period=0,
E42+F42,
IF(OR(A42="",B42="",B42="N/A"),"",IF(B42=1,((debt_interest*(1+debt_interest)^debt_period)/((1+debt_interest)^debt_period-1))*(-'Cash Flow Analysis'!G93),IF(G41=0,"",D41))))</f>
        <v>1842093.7363248433</v>
      </c>
      <c r="E42" s="1007">
        <f t="shared" ca="1" si="0"/>
        <v>1842093.7363248433</v>
      </c>
      <c r="F42" s="1007">
        <f t="shared" si="2"/>
        <v>0</v>
      </c>
      <c r="G42" s="1377">
        <f t="shared" ca="1" si="1"/>
        <v>49786317.197968736</v>
      </c>
    </row>
    <row r="43" spans="1:7" s="48" customFormat="1" ht="15" customHeight="1">
      <c r="A43" s="1004">
        <f>'Cash Flow Analysis'!B94</f>
        <v>30</v>
      </c>
      <c r="B43" s="1376">
        <f>IF(B42="","",IF('Cash Flow Analysis'!$B$31=0,"N/A",IF(A43=1,1,IF(A42=debt_period,"",B42+1))))</f>
        <v>30</v>
      </c>
      <c r="C43" s="1007">
        <f ca="1">IF(OR(A43="",B43="",B43="N/A"),"",IF(B43=1,-'Cash Flow Analysis'!G94,IF(B43="N/A",0,G42)))</f>
        <v>49786317.197968736</v>
      </c>
      <c r="D43" s="1007">
        <f ca="1">IF(debt_period=0,
E43+F43,
IF(OR(A43="",B43="",B43="N/A"),"",IF(B43=1,((debt_interest*(1+debt_interest)^debt_period)/((1+debt_interest)^debt_period-1))*(-'Cash Flow Analysis'!G94),IF(G42=0,"",D42))))</f>
        <v>1842093.7363248433</v>
      </c>
      <c r="E43" s="1007">
        <f t="shared" ca="1" si="0"/>
        <v>1842093.7363248433</v>
      </c>
      <c r="F43" s="1007">
        <f t="shared" si="2"/>
        <v>0</v>
      </c>
      <c r="G43" s="1377">
        <f t="shared" ca="1" si="1"/>
        <v>49786317.197968736</v>
      </c>
    </row>
    <row r="44" spans="1:7" s="48" customFormat="1" ht="15" customHeight="1">
      <c r="A44" s="1004">
        <f>'Cash Flow Analysis'!B95</f>
        <v>31</v>
      </c>
      <c r="B44" s="1376">
        <f>IF(B43="","",IF('Cash Flow Analysis'!$B$31=0,"N/A",IF(A44=1,1,IF(A43=debt_period,"",B43+1))))</f>
        <v>31</v>
      </c>
      <c r="C44" s="1007">
        <f ca="1">IF(OR(A44="",B44="",B44="N/A"),"",IF(B44=1,-'Cash Flow Analysis'!G95,IF(B44="N/A",0,G43)))</f>
        <v>49786317.197968736</v>
      </c>
      <c r="D44" s="1007">
        <f ca="1">IF(debt_period=0,
E44+F44,
IF(OR(A44="",B44="",B44="N/A"),"",IF(B44=1,((debt_interest*(1+debt_interest)^debt_period)/((1+debt_interest)^debt_period-1))*(-'Cash Flow Analysis'!G95),IF(G43=0,"",D43))))</f>
        <v>1842093.7363248433</v>
      </c>
      <c r="E44" s="1007">
        <f t="shared" ca="1" si="0"/>
        <v>1842093.7363248433</v>
      </c>
      <c r="F44" s="1007">
        <f t="shared" si="2"/>
        <v>0</v>
      </c>
      <c r="G44" s="1377">
        <f t="shared" ca="1" si="1"/>
        <v>49786317.197968736</v>
      </c>
    </row>
    <row r="45" spans="1:7" s="48" customFormat="1" ht="15" customHeight="1">
      <c r="A45" s="1004">
        <f>'Cash Flow Analysis'!B96</f>
        <v>32</v>
      </c>
      <c r="B45" s="1376">
        <f>IF(B44="","",IF('Cash Flow Analysis'!$B$31=0,"N/A",IF(A45=1,1,IF(A44=debt_period,"",B44+1))))</f>
        <v>32</v>
      </c>
      <c r="C45" s="1007">
        <f ca="1">IF(OR(A45="",B45="",B45="N/A"),"",IF(B45=1,-'Cash Flow Analysis'!G96,IF(B45="N/A",0,G44)))</f>
        <v>49786317.197968736</v>
      </c>
      <c r="D45" s="1007">
        <f ca="1">IF(debt_period=0,
E45+F45,
IF(OR(A45="",B45="",B45="N/A"),"",IF(B45=1,((debt_interest*(1+debt_interest)^debt_period)/((1+debt_interest)^debt_period-1))*(-'Cash Flow Analysis'!G96),IF(G44=0,"",D44))))</f>
        <v>1842093.7363248433</v>
      </c>
      <c r="E45" s="1007">
        <f t="shared" ca="1" si="0"/>
        <v>1842093.7363248433</v>
      </c>
      <c r="F45" s="1007">
        <f t="shared" si="2"/>
        <v>0</v>
      </c>
      <c r="G45" s="1377">
        <f t="shared" ca="1" si="1"/>
        <v>49786317.197968736</v>
      </c>
    </row>
    <row r="46" spans="1:7" s="48" customFormat="1" ht="15" customHeight="1">
      <c r="A46" s="1004">
        <f>'Cash Flow Analysis'!B97</f>
        <v>33</v>
      </c>
      <c r="B46" s="1376">
        <f>IF(B45="","",IF('Cash Flow Analysis'!$B$31=0,"N/A",IF(A46=1,1,IF(A45=debt_period,"",B45+1))))</f>
        <v>33</v>
      </c>
      <c r="C46" s="1007">
        <f ca="1">IF(OR(A46="",B46="",B46="N/A"),"",IF(B46=1,-'Cash Flow Analysis'!G97,IF(B46="N/A",0,G45)))</f>
        <v>49786317.197968736</v>
      </c>
      <c r="D46" s="1007">
        <f ca="1">IF(debt_period=0,
E46+F46,
IF(OR(A46="",B46="",B46="N/A"),"",IF(B46=1,((debt_interest*(1+debt_interest)^debt_period)/((1+debt_interest)^debt_period-1))*(-'Cash Flow Analysis'!G97),IF(G45=0,"",D45))))</f>
        <v>1842093.7363248433</v>
      </c>
      <c r="E46" s="1007">
        <f t="shared" ca="1" si="0"/>
        <v>1842093.7363248433</v>
      </c>
      <c r="F46" s="1007">
        <f t="shared" si="2"/>
        <v>0</v>
      </c>
      <c r="G46" s="1377">
        <f t="shared" ca="1" si="1"/>
        <v>49786317.197968736</v>
      </c>
    </row>
    <row r="47" spans="1:7" s="48" customFormat="1" ht="15" customHeight="1">
      <c r="A47" s="1004">
        <f>'Cash Flow Analysis'!B98</f>
        <v>34</v>
      </c>
      <c r="B47" s="1376">
        <f>IF(B46="","",IF('Cash Flow Analysis'!$B$31=0,"N/A",IF(A47=1,1,IF(A46=debt_period,"",B46+1))))</f>
        <v>34</v>
      </c>
      <c r="C47" s="1007">
        <f ca="1">IF(OR(A47="",B47="",B47="N/A"),"",IF(B47=1,-'Cash Flow Analysis'!G98,IF(B47="N/A",0,G46)))</f>
        <v>49786317.197968736</v>
      </c>
      <c r="D47" s="1007">
        <f ca="1">IF(debt_period=0,
E47+F47,
IF(OR(A47="",B47="",B47="N/A"),"",IF(B47=1,((debt_interest*(1+debt_interest)^debt_period)/((1+debt_interest)^debt_period-1))*(-'Cash Flow Analysis'!G98),IF(G46=0,"",D46))))</f>
        <v>1842093.7363248433</v>
      </c>
      <c r="E47" s="1007">
        <f t="shared" ca="1" si="0"/>
        <v>1842093.7363248433</v>
      </c>
      <c r="F47" s="1007">
        <f t="shared" si="2"/>
        <v>0</v>
      </c>
      <c r="G47" s="1377">
        <f t="shared" ca="1" si="1"/>
        <v>49786317.197968736</v>
      </c>
    </row>
    <row r="48" spans="1:7" s="48" customFormat="1" ht="15" customHeight="1">
      <c r="A48" s="1004">
        <f>'Cash Flow Analysis'!B99</f>
        <v>35</v>
      </c>
      <c r="B48" s="1376">
        <f>IF(B47="","",IF('Cash Flow Analysis'!$B$31=0,"N/A",IF(A48=1,1,IF(A47=debt_period,"",B47+1))))</f>
        <v>35</v>
      </c>
      <c r="C48" s="1007">
        <f ca="1">IF(OR(A48="",B48="",B48="N/A"),"",IF(B48=1,-'Cash Flow Analysis'!G99,IF(B48="N/A",0,G47)))</f>
        <v>49786317.197968736</v>
      </c>
      <c r="D48" s="1007">
        <f ca="1">IF(debt_period=0,
E48+F48,
IF(OR(A48="",B48="",B48="N/A"),"",IF(B48=1,((debt_interest*(1+debt_interest)^debt_period)/((1+debt_interest)^debt_period-1))*(-'Cash Flow Analysis'!G99),IF(G47=0,"",D47))))</f>
        <v>1842093.7363248433</v>
      </c>
      <c r="E48" s="1007">
        <f t="shared" ca="1" si="0"/>
        <v>1842093.7363248433</v>
      </c>
      <c r="F48" s="1007">
        <f t="shared" si="2"/>
        <v>0</v>
      </c>
      <c r="G48" s="1377">
        <f t="shared" ca="1" si="1"/>
        <v>49786317.197968736</v>
      </c>
    </row>
    <row r="49" spans="1:7" s="48" customFormat="1" ht="15" customHeight="1">
      <c r="A49" s="1004">
        <f>'Cash Flow Analysis'!B100</f>
        <v>36</v>
      </c>
      <c r="B49" s="1376">
        <f>IF(B48="","",IF('Cash Flow Analysis'!$B$31=0,"N/A",IF(A49=1,1,IF(A48=debt_period,"",B48+1))))</f>
        <v>36</v>
      </c>
      <c r="C49" s="1007">
        <f ca="1">IF(OR(A49="",B49="",B49="N/A"),"",IF(B49=1,-'Cash Flow Analysis'!G100,IF(B49="N/A",0,G48)))</f>
        <v>49786317.197968736</v>
      </c>
      <c r="D49" s="1007">
        <f ca="1">IF(debt_period=0,
E49+F49,
IF(OR(A49="",B49="",B49="N/A"),"",IF(B49=1,((debt_interest*(1+debt_interest)^debt_period)/((1+debt_interest)^debt_period-1))*(-'Cash Flow Analysis'!G100),IF(G48=0,"",D48))))</f>
        <v>1842093.7363248433</v>
      </c>
      <c r="E49" s="1007">
        <f t="shared" ca="1" si="0"/>
        <v>1842093.7363248433</v>
      </c>
      <c r="F49" s="1007">
        <f t="shared" si="2"/>
        <v>0</v>
      </c>
      <c r="G49" s="1377">
        <f t="shared" ca="1" si="1"/>
        <v>49786317.197968736</v>
      </c>
    </row>
    <row r="50" spans="1:7" s="48" customFormat="1" ht="15" customHeight="1">
      <c r="A50" s="1004">
        <f>'Cash Flow Analysis'!B101</f>
        <v>37</v>
      </c>
      <c r="B50" s="1376">
        <f>IF(B49="","",IF('Cash Flow Analysis'!$B$31=0,"N/A",IF(A50=1,1,IF(A49=debt_period,"",B49+1))))</f>
        <v>37</v>
      </c>
      <c r="C50" s="1007">
        <f ca="1">IF(OR(A50="",B50="",B50="N/A"),"",IF(B50=1,-'Cash Flow Analysis'!G101,IF(B50="N/A",0,G49)))</f>
        <v>49786317.197968736</v>
      </c>
      <c r="D50" s="1007">
        <f ca="1">IF(debt_period=0,
E50+F50,
IF(OR(A50="",B50="",B50="N/A"),"",IF(B50=1,((debt_interest*(1+debt_interest)^debt_period)/((1+debt_interest)^debt_period-1))*(-'Cash Flow Analysis'!G101),IF(G49=0,"",D49))))</f>
        <v>1842093.7363248433</v>
      </c>
      <c r="E50" s="1007">
        <f t="shared" ca="1" si="0"/>
        <v>1842093.7363248433</v>
      </c>
      <c r="F50" s="1007">
        <f t="shared" si="2"/>
        <v>0</v>
      </c>
      <c r="G50" s="1377">
        <f t="shared" ca="1" si="1"/>
        <v>49786317.197968736</v>
      </c>
    </row>
    <row r="51" spans="1:7" s="48" customFormat="1" ht="15" customHeight="1">
      <c r="A51" s="1004">
        <f>'Cash Flow Analysis'!B102</f>
        <v>38</v>
      </c>
      <c r="B51" s="1376">
        <f>IF(B50="","",IF('Cash Flow Analysis'!$B$31=0,"N/A",IF(A51=1,1,IF(A50=debt_period,"",B50+1))))</f>
        <v>38</v>
      </c>
      <c r="C51" s="1007">
        <f ca="1">IF(OR(A51="",B51="",B51="N/A"),"",IF(B51=1,-'Cash Flow Analysis'!G102,IF(B51="N/A",0,G50)))</f>
        <v>49786317.197968736</v>
      </c>
      <c r="D51" s="1007">
        <f ca="1">IF(debt_period=0,
E51+F51,
IF(OR(A51="",B51="",B51="N/A"),"",IF(B51=1,((debt_interest*(1+debt_interest)^debt_period)/((1+debt_interest)^debt_period-1))*(-'Cash Flow Analysis'!G102),IF(G50=0,"",D50))))</f>
        <v>1842093.7363248433</v>
      </c>
      <c r="E51" s="1007">
        <f t="shared" ca="1" si="0"/>
        <v>1842093.7363248433</v>
      </c>
      <c r="F51" s="1007">
        <f t="shared" si="2"/>
        <v>0</v>
      </c>
      <c r="G51" s="1377">
        <f t="shared" ca="1" si="1"/>
        <v>49786317.197968736</v>
      </c>
    </row>
    <row r="52" spans="1:7" s="48" customFormat="1" ht="15" customHeight="1">
      <c r="A52" s="1004">
        <f>'Cash Flow Analysis'!B103</f>
        <v>39</v>
      </c>
      <c r="B52" s="1376">
        <f>IF(B51="","",IF('Cash Flow Analysis'!$B$31=0,"N/A",IF(A52=1,1,IF(A51=debt_period,"",B51+1))))</f>
        <v>39</v>
      </c>
      <c r="C52" s="1007">
        <f ca="1">IF(OR(A52="",B52="",B52="N/A"),"",IF(B52=1,-'Cash Flow Analysis'!G103,IF(B52="N/A",0,G51)))</f>
        <v>49786317.197968736</v>
      </c>
      <c r="D52" s="1007">
        <f ca="1">IF(debt_period=0,
E52+F52,
IF(OR(A52="",B52="",B52="N/A"),"",IF(B52=1,((debt_interest*(1+debt_interest)^debt_period)/((1+debt_interest)^debt_period-1))*(-'Cash Flow Analysis'!G103),IF(G51=0,"",D51))))</f>
        <v>1842093.7363248433</v>
      </c>
      <c r="E52" s="1007">
        <f t="shared" ca="1" si="0"/>
        <v>1842093.7363248433</v>
      </c>
      <c r="F52" s="1007">
        <f t="shared" si="2"/>
        <v>0</v>
      </c>
      <c r="G52" s="1377">
        <f t="shared" ca="1" si="1"/>
        <v>49786317.197968736</v>
      </c>
    </row>
    <row r="53" spans="1:7" s="48" customFormat="1" ht="15" customHeight="1">
      <c r="A53" s="1004">
        <f>'Cash Flow Analysis'!B104</f>
        <v>40</v>
      </c>
      <c r="B53" s="1376">
        <f>IF(B52="","",IF('Cash Flow Analysis'!$B$31=0,"N/A",IF(A53=1,1,IF(A52=debt_period,"",B52+1))))</f>
        <v>40</v>
      </c>
      <c r="C53" s="1007">
        <f ca="1">IF(OR(A53="",B53="",B53="N/A"),"",IF(B53=1,-'Cash Flow Analysis'!G104,IF(B53="N/A",0,G52)))</f>
        <v>49786317.197968736</v>
      </c>
      <c r="D53" s="1007">
        <f ca="1">IF(debt_period=0,
E53+F53,
IF(OR(A53="",B53="",B53="N/A"),"",IF(B53=1,((debt_interest*(1+debt_interest)^debt_period)/((1+debt_interest)^debt_period-1))*(-'Cash Flow Analysis'!G104),IF(G52=0,"",D52))))</f>
        <v>1842093.7363248433</v>
      </c>
      <c r="E53" s="1007">
        <f t="shared" ca="1" si="0"/>
        <v>1842093.7363248433</v>
      </c>
      <c r="F53" s="1007">
        <f t="shared" si="2"/>
        <v>0</v>
      </c>
      <c r="G53" s="1377">
        <f t="shared" ca="1" si="1"/>
        <v>49786317.197968736</v>
      </c>
    </row>
    <row r="54" spans="1:7" s="48" customFormat="1" ht="15" customHeight="1">
      <c r="A54" s="1004">
        <f>'Cash Flow Analysis'!B105</f>
        <v>41</v>
      </c>
      <c r="B54" s="1376">
        <f>IF(B53="","",IF('Cash Flow Analysis'!$B$31=0,"N/A",IF(A54=1,1,IF(A53=debt_period,"",B53+1))))</f>
        <v>41</v>
      </c>
      <c r="C54" s="1007">
        <f ca="1">IF(OR(A54="",B54="",B54="N/A"),"",IF(B54=1,-'Cash Flow Analysis'!G105,IF(B54="N/A",0,G53)))</f>
        <v>49786317.197968736</v>
      </c>
      <c r="D54" s="1007">
        <f ca="1">IF(debt_period=0,
E54+F54,
IF(OR(A54="",B54="",B54="N/A"),"",IF(B54=1,((debt_interest*(1+debt_interest)^debt_period)/((1+debt_interest)^debt_period-1))*(-'Cash Flow Analysis'!G105),IF(G53=0,"",D53))))</f>
        <v>51628410.934293583</v>
      </c>
      <c r="E54" s="1007">
        <f t="shared" ca="1" si="0"/>
        <v>1842093.7363248433</v>
      </c>
      <c r="F54" s="1007">
        <f t="shared" ca="1" si="2"/>
        <v>49786317.197968736</v>
      </c>
      <c r="G54" s="1377">
        <f t="shared" ca="1" si="1"/>
        <v>0</v>
      </c>
    </row>
    <row r="55" spans="1:7" s="48" customFormat="1" ht="15" customHeight="1">
      <c r="A55" s="1004" t="str">
        <f>'Cash Flow Analysis'!B106</f>
        <v/>
      </c>
      <c r="B55" s="1376">
        <f>IF(B54="","",IF('Cash Flow Analysis'!$B$31=0,"N/A",IF(A55=1,1,IF(A54=debt_period,"",B54+1))))</f>
        <v>42</v>
      </c>
      <c r="C55" s="1007" t="str">
        <f>IF(OR(A55="",B55="",B55="N/A"),"",IF(B55=1,-'Cash Flow Analysis'!G106,IF(B55="N/A",0,G54)))</f>
        <v/>
      </c>
      <c r="D55" s="1007" t="e">
        <f>IF(debt_period=0,
E55+F55,
IF(OR(A55="",B55="",B55="N/A"),"",IF(B55=1,((debt_interest*(1+debt_interest)^debt_period)/((1+debt_interest)^debt_period-1))*(-'Cash Flow Analysis'!G106),IF(G54=0,"",D54))))</f>
        <v>#VALUE!</v>
      </c>
      <c r="E55" s="1007" t="str">
        <f t="shared" si="0"/>
        <v/>
      </c>
      <c r="F55" s="1007">
        <f t="shared" si="2"/>
        <v>0</v>
      </c>
      <c r="G55" s="1377" t="str">
        <f t="shared" si="1"/>
        <v/>
      </c>
    </row>
    <row r="56" spans="1:7" s="48" customFormat="1" ht="15" customHeight="1">
      <c r="A56" s="1004" t="str">
        <f>'Cash Flow Analysis'!B107</f>
        <v/>
      </c>
      <c r="B56" s="1376">
        <f>IF(B55="","",IF('Cash Flow Analysis'!$B$31=0,"N/A",IF(A56=1,1,IF(A55=debt_period,"",B55+1))))</f>
        <v>43</v>
      </c>
      <c r="C56" s="1007" t="str">
        <f>IF(OR(A56="",B56="",B56="N/A"),"",IF(B56=1,-'Cash Flow Analysis'!G107,IF(B56="N/A",0,G55)))</f>
        <v/>
      </c>
      <c r="D56" s="1007" t="e">
        <f>IF(debt_period=0,
E56+F56,
IF(OR(A56="",B56="",B56="N/A"),"",IF(B56=1,((debt_interest*(1+debt_interest)^debt_period)/((1+debt_interest)^debt_period-1))*(-'Cash Flow Analysis'!G107),IF(G55=0,"",D55))))</f>
        <v>#VALUE!</v>
      </c>
      <c r="E56" s="1007" t="str">
        <f t="shared" si="0"/>
        <v/>
      </c>
      <c r="F56" s="1007">
        <f t="shared" si="2"/>
        <v>0</v>
      </c>
      <c r="G56" s="1377" t="str">
        <f t="shared" si="1"/>
        <v/>
      </c>
    </row>
    <row r="57" spans="1:7" s="48" customFormat="1" ht="15" customHeight="1" thickBot="1">
      <c r="A57" s="1378" t="str">
        <f>'Cash Flow Analysis'!B108</f>
        <v/>
      </c>
      <c r="B57" s="1379">
        <f>IF(B56="","",IF('Cash Flow Analysis'!$B$31=0,"N/A",IF(A57=1,1,IF(A56=debt_period,"",B56+1))))</f>
        <v>44</v>
      </c>
      <c r="C57" s="1380" t="str">
        <f>IF(OR(A57="",B57="",B57="N/A"),"",IF(B57=1,-'Cash Flow Analysis'!G108,IF(B57="N/A",0,G56)))</f>
        <v/>
      </c>
      <c r="D57" s="1380" t="str">
        <f>IF(F57=0,E57,
IF(OR(A57="",B57="",B57="N/A"),"",IF(B57=1,((debt_interest*(1+debt_interest)^debt_period)/((1+debt_interest)^debt_period-1))*(-'Cash Flow Analysis'!G108),IF(G56=0,"",D56))))</f>
        <v/>
      </c>
      <c r="E57" s="1380" t="str">
        <f t="shared" si="0"/>
        <v/>
      </c>
      <c r="F57" s="1380">
        <f t="shared" si="2"/>
        <v>0</v>
      </c>
      <c r="G57" s="1381" t="str">
        <f t="shared" si="1"/>
        <v/>
      </c>
    </row>
    <row r="58" spans="1:7" ht="13.5" thickTop="1"/>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40625" defaultRowHeight="12.75"/>
  <cols>
    <col min="1" max="1" width="31.140625" customWidth="1"/>
    <col min="2" max="2" width="23.5703125" customWidth="1"/>
    <col min="3" max="3" width="19" customWidth="1"/>
    <col min="4" max="4" width="11.28515625" customWidth="1"/>
    <col min="5" max="5" width="12.85546875" customWidth="1"/>
    <col min="6" max="6" width="10.85546875" customWidth="1"/>
    <col min="7" max="7" width="13.140625" customWidth="1"/>
    <col min="8" max="8" width="13.85546875" customWidth="1"/>
    <col min="9" max="9" width="11" customWidth="1"/>
    <col min="10" max="25" width="17.140625" customWidth="1"/>
  </cols>
  <sheetData>
    <row r="1" spans="1:8" ht="30.75" customHeight="1">
      <c r="A1" s="35" t="s">
        <v>47</v>
      </c>
    </row>
    <row r="2" spans="1:8" ht="15" customHeight="1"/>
    <row r="3" spans="1:8" ht="15" customHeight="1">
      <c r="A3" s="38" t="s">
        <v>33</v>
      </c>
      <c r="B3" s="39"/>
      <c r="C3" s="39"/>
      <c r="D3" s="39"/>
      <c r="E3" s="40"/>
      <c r="F3" s="40"/>
      <c r="G3" s="40"/>
    </row>
    <row r="4" spans="1:8" ht="15" customHeight="1">
      <c r="A4" s="38" t="s">
        <v>34</v>
      </c>
      <c r="B4" s="39"/>
      <c r="C4" s="39"/>
      <c r="D4" s="39"/>
      <c r="E4" s="40"/>
      <c r="F4" s="40"/>
      <c r="G4" s="40"/>
    </row>
    <row r="5" spans="1:8" ht="15" customHeight="1"/>
    <row r="6" spans="1:8" ht="15" customHeight="1">
      <c r="A6" s="34"/>
      <c r="B6" s="37" t="s">
        <v>35</v>
      </c>
    </row>
    <row r="7" spans="1:8" ht="15" customHeight="1">
      <c r="A7" s="41"/>
      <c r="B7" s="37" t="s">
        <v>36</v>
      </c>
    </row>
    <row r="8" spans="1:8" ht="15" customHeight="1">
      <c r="A8" s="42"/>
      <c r="B8" s="37" t="s">
        <v>37</v>
      </c>
    </row>
    <row r="9" spans="1:8" ht="15" customHeight="1">
      <c r="A9" s="43"/>
      <c r="B9" s="37" t="s">
        <v>38</v>
      </c>
    </row>
    <row r="10" spans="1:8" ht="15" customHeight="1"/>
    <row r="11" spans="1:8" ht="15" customHeight="1" thickBot="1"/>
    <row r="12" spans="1:8" ht="29.25" customHeight="1" thickTop="1" thickBot="1">
      <c r="B12" s="58" t="s">
        <v>48</v>
      </c>
      <c r="C12" s="59"/>
      <c r="D12" s="59"/>
      <c r="E12" s="59"/>
      <c r="F12" s="59"/>
      <c r="G12" s="59"/>
      <c r="H12" s="60"/>
    </row>
    <row r="13" spans="1:8" ht="15" customHeight="1" thickTop="1" thickBot="1">
      <c r="B13" s="61"/>
      <c r="C13" s="1593" t="s">
        <v>49</v>
      </c>
      <c r="D13" s="1593"/>
      <c r="E13" s="1593"/>
      <c r="F13" s="1593"/>
      <c r="G13" s="1593"/>
      <c r="H13" s="1594"/>
    </row>
    <row r="14" spans="1:8" ht="15" customHeight="1" thickTop="1" thickBot="1">
      <c r="B14" s="64" t="s">
        <v>49</v>
      </c>
      <c r="C14" s="65">
        <v>3</v>
      </c>
      <c r="D14" s="62">
        <v>5</v>
      </c>
      <c r="E14" s="62">
        <v>7</v>
      </c>
      <c r="F14" s="62">
        <v>10</v>
      </c>
      <c r="G14" s="62">
        <v>15</v>
      </c>
      <c r="H14" s="63">
        <v>20</v>
      </c>
    </row>
    <row r="15" spans="1:8" ht="15" customHeight="1" thickTop="1">
      <c r="B15" s="66">
        <v>1</v>
      </c>
      <c r="C15" s="67">
        <v>0.33329999999999999</v>
      </c>
      <c r="D15" s="68">
        <v>0.2</v>
      </c>
      <c r="E15" s="68">
        <v>0.1429</v>
      </c>
      <c r="F15" s="68">
        <v>0.1</v>
      </c>
      <c r="G15" s="68">
        <v>0.05</v>
      </c>
      <c r="H15" s="69">
        <v>3.7499999999999999E-2</v>
      </c>
    </row>
    <row r="16" spans="1:8" ht="15" customHeight="1">
      <c r="B16" s="70">
        <v>2</v>
      </c>
      <c r="C16" s="71">
        <v>0.44450000000000001</v>
      </c>
      <c r="D16" s="72">
        <v>0.32</v>
      </c>
      <c r="E16" s="72">
        <v>0.24490000000000001</v>
      </c>
      <c r="F16" s="72">
        <v>0.18</v>
      </c>
      <c r="G16" s="72">
        <v>9.5000000000000001E-2</v>
      </c>
      <c r="H16" s="73">
        <v>7.2190000000000004E-2</v>
      </c>
    </row>
    <row r="17" spans="2:8" ht="15" customHeight="1">
      <c r="B17" s="70">
        <v>3</v>
      </c>
      <c r="C17" s="71">
        <v>0.14810000000000001</v>
      </c>
      <c r="D17" s="72">
        <v>0.192</v>
      </c>
      <c r="E17" s="72">
        <v>0.1749</v>
      </c>
      <c r="F17" s="72">
        <v>0.14399999999999999</v>
      </c>
      <c r="G17" s="72">
        <v>8.5500000000000007E-2</v>
      </c>
      <c r="H17" s="73">
        <v>6.6769999999999996E-2</v>
      </c>
    </row>
    <row r="18" spans="2:8" ht="15" customHeight="1">
      <c r="B18" s="70">
        <v>4</v>
      </c>
      <c r="C18" s="71">
        <v>7.4099999999999999E-2</v>
      </c>
      <c r="D18" s="72">
        <v>0.1152</v>
      </c>
      <c r="E18" s="72">
        <v>0.1249</v>
      </c>
      <c r="F18" s="72">
        <v>0.1152</v>
      </c>
      <c r="G18" s="72">
        <v>7.6999999999999999E-2</v>
      </c>
      <c r="H18" s="73">
        <v>6.1769999999999999E-2</v>
      </c>
    </row>
    <row r="19" spans="2:8" ht="15" customHeight="1">
      <c r="B19" s="70">
        <v>5</v>
      </c>
      <c r="C19" s="71"/>
      <c r="D19" s="72">
        <v>0.1152</v>
      </c>
      <c r="E19" s="72">
        <v>8.9300000000000004E-2</v>
      </c>
      <c r="F19" s="72">
        <v>9.2200000000000004E-2</v>
      </c>
      <c r="G19" s="72">
        <v>6.93E-2</v>
      </c>
      <c r="H19" s="73">
        <v>5.713E-2</v>
      </c>
    </row>
    <row r="20" spans="2:8" ht="15" customHeight="1">
      <c r="B20" s="70">
        <v>6</v>
      </c>
      <c r="C20" s="71"/>
      <c r="D20" s="72">
        <v>5.7599999999999998E-2</v>
      </c>
      <c r="E20" s="72">
        <v>8.9200000000000002E-2</v>
      </c>
      <c r="F20" s="72">
        <v>7.3700000000000002E-2</v>
      </c>
      <c r="G20" s="72">
        <v>6.2300000000000001E-2</v>
      </c>
      <c r="H20" s="73">
        <v>5.2850000000000001E-2</v>
      </c>
    </row>
    <row r="21" spans="2:8" ht="15" customHeight="1">
      <c r="B21" s="70">
        <v>7</v>
      </c>
      <c r="C21" s="71"/>
      <c r="D21" s="72"/>
      <c r="E21" s="72">
        <v>8.9300000000000004E-2</v>
      </c>
      <c r="F21" s="72">
        <v>6.5500000000000003E-2</v>
      </c>
      <c r="G21" s="72">
        <v>5.8999999999999997E-2</v>
      </c>
      <c r="H21" s="73">
        <v>4.888E-2</v>
      </c>
    </row>
    <row r="22" spans="2:8" ht="15" customHeight="1">
      <c r="B22" s="70">
        <v>8</v>
      </c>
      <c r="C22" s="71"/>
      <c r="D22" s="72"/>
      <c r="E22" s="72">
        <v>4.4600000000000001E-2</v>
      </c>
      <c r="F22" s="72">
        <v>6.5500000000000003E-2</v>
      </c>
      <c r="G22" s="72">
        <v>5.8999999999999997E-2</v>
      </c>
      <c r="H22" s="73">
        <v>4.5220000000000003E-2</v>
      </c>
    </row>
    <row r="23" spans="2:8" ht="15" customHeight="1">
      <c r="B23" s="70">
        <v>9</v>
      </c>
      <c r="C23" s="71"/>
      <c r="D23" s="72"/>
      <c r="E23" s="72"/>
      <c r="F23" s="72">
        <v>6.5600000000000006E-2</v>
      </c>
      <c r="G23" s="72">
        <v>5.91E-2</v>
      </c>
      <c r="H23" s="73">
        <v>4.462E-2</v>
      </c>
    </row>
    <row r="24" spans="2:8" ht="15" customHeight="1">
      <c r="B24" s="70">
        <v>10</v>
      </c>
      <c r="C24" s="71"/>
      <c r="D24" s="72"/>
      <c r="E24" s="72"/>
      <c r="F24" s="72">
        <v>6.5500000000000003E-2</v>
      </c>
      <c r="G24" s="72">
        <v>5.8999999999999997E-2</v>
      </c>
      <c r="H24" s="73">
        <v>4.4609999999999997E-2</v>
      </c>
    </row>
    <row r="25" spans="2:8" ht="15" customHeight="1">
      <c r="B25" s="70">
        <v>11</v>
      </c>
      <c r="C25" s="71"/>
      <c r="D25" s="72"/>
      <c r="E25" s="72"/>
      <c r="F25" s="72">
        <v>3.2800000000000003E-2</v>
      </c>
      <c r="G25" s="72">
        <v>5.91E-2</v>
      </c>
      <c r="H25" s="73">
        <v>4.462E-2</v>
      </c>
    </row>
    <row r="26" spans="2:8" ht="15" customHeight="1">
      <c r="B26" s="70">
        <v>12</v>
      </c>
      <c r="C26" s="71"/>
      <c r="D26" s="72"/>
      <c r="E26" s="72"/>
      <c r="F26" s="72"/>
      <c r="G26" s="72">
        <v>5.8999999999999997E-2</v>
      </c>
      <c r="H26" s="73">
        <v>4.4609999999999997E-2</v>
      </c>
    </row>
    <row r="27" spans="2:8" ht="15" customHeight="1">
      <c r="B27" s="70">
        <v>13</v>
      </c>
      <c r="C27" s="71"/>
      <c r="D27" s="72"/>
      <c r="E27" s="72"/>
      <c r="F27" s="72"/>
      <c r="G27" s="72">
        <v>5.91E-2</v>
      </c>
      <c r="H27" s="73">
        <v>4.462E-2</v>
      </c>
    </row>
    <row r="28" spans="2:8" ht="15" customHeight="1">
      <c r="B28" s="70">
        <v>14</v>
      </c>
      <c r="C28" s="71"/>
      <c r="D28" s="72"/>
      <c r="E28" s="72"/>
      <c r="F28" s="72"/>
      <c r="G28" s="72">
        <v>5.8999999999999997E-2</v>
      </c>
      <c r="H28" s="73">
        <v>4.4609999999999997E-2</v>
      </c>
    </row>
    <row r="29" spans="2:8" ht="15" customHeight="1">
      <c r="B29" s="70">
        <v>15</v>
      </c>
      <c r="C29" s="71"/>
      <c r="D29" s="72"/>
      <c r="E29" s="72"/>
      <c r="F29" s="72"/>
      <c r="G29" s="72">
        <v>5.91E-2</v>
      </c>
      <c r="H29" s="73">
        <v>4.462E-2</v>
      </c>
    </row>
    <row r="30" spans="2:8" ht="15" customHeight="1">
      <c r="B30" s="70">
        <v>16</v>
      </c>
      <c r="C30" s="71"/>
      <c r="D30" s="72"/>
      <c r="E30" s="72"/>
      <c r="F30" s="72"/>
      <c r="G30" s="72">
        <v>2.9499999999999998E-2</v>
      </c>
      <c r="H30" s="73">
        <v>4.4609999999999997E-2</v>
      </c>
    </row>
    <row r="31" spans="2:8" ht="15" customHeight="1">
      <c r="B31" s="70">
        <v>17</v>
      </c>
      <c r="C31" s="71"/>
      <c r="D31" s="72"/>
      <c r="E31" s="72"/>
      <c r="F31" s="72"/>
      <c r="G31" s="72"/>
      <c r="H31" s="73">
        <v>4.462E-2</v>
      </c>
    </row>
    <row r="32" spans="2:8" ht="15" customHeight="1">
      <c r="B32" s="70">
        <v>18</v>
      </c>
      <c r="C32" s="71"/>
      <c r="D32" s="72"/>
      <c r="E32" s="72"/>
      <c r="F32" s="72"/>
      <c r="G32" s="72"/>
      <c r="H32" s="73">
        <v>4.4609999999999997E-2</v>
      </c>
    </row>
    <row r="33" spans="1:24" ht="15" customHeight="1">
      <c r="B33" s="70">
        <v>19</v>
      </c>
      <c r="C33" s="71"/>
      <c r="D33" s="72"/>
      <c r="E33" s="72"/>
      <c r="F33" s="72"/>
      <c r="G33" s="72"/>
      <c r="H33" s="73">
        <v>4.462E-2</v>
      </c>
    </row>
    <row r="34" spans="1:24" ht="15" customHeight="1">
      <c r="B34" s="70">
        <v>20</v>
      </c>
      <c r="C34" s="71"/>
      <c r="D34" s="72"/>
      <c r="E34" s="72"/>
      <c r="F34" s="72"/>
      <c r="G34" s="72"/>
      <c r="H34" s="73">
        <v>4.4609999999999997E-2</v>
      </c>
    </row>
    <row r="35" spans="1:24" ht="15" customHeight="1" thickBot="1">
      <c r="B35" s="74">
        <v>21</v>
      </c>
      <c r="C35" s="75"/>
      <c r="D35" s="76"/>
      <c r="E35" s="76"/>
      <c r="F35" s="76"/>
      <c r="G35" s="76"/>
      <c r="H35" s="77">
        <v>2.231E-2</v>
      </c>
    </row>
    <row r="36" spans="1:24" ht="15" customHeight="1" thickTop="1">
      <c r="B36" s="78" t="s">
        <v>50</v>
      </c>
      <c r="C36" s="79">
        <f t="shared" ref="C36:H36" ca="1" si="0">NPV(real_irr,C15:C35)</f>
        <v>0.861730483722558</v>
      </c>
      <c r="D36" s="80">
        <f t="shared" ca="1" si="0"/>
        <v>0.81132579180653486</v>
      </c>
      <c r="E36" s="80">
        <f t="shared" ca="1" si="0"/>
        <v>0.76611247423420981</v>
      </c>
      <c r="F36" s="80">
        <f t="shared" ca="1" si="0"/>
        <v>0.70592323058796147</v>
      </c>
      <c r="G36" s="80">
        <f t="shared" ca="1" si="0"/>
        <v>0.57966874115937961</v>
      </c>
      <c r="H36" s="81">
        <f t="shared" ca="1" si="0"/>
        <v>0.50624177952518146</v>
      </c>
    </row>
    <row r="37" spans="1:24" ht="15" customHeight="1" thickBot="1">
      <c r="B37" s="74" t="s">
        <v>51</v>
      </c>
      <c r="C37" s="82">
        <f t="shared" ref="C37:H37" ca="1" si="1">NPV(nominal_irr,C15:C35)</f>
        <v>0.83149291060393982</v>
      </c>
      <c r="D37" s="83">
        <f t="shared" ca="1" si="1"/>
        <v>0.77231075823151107</v>
      </c>
      <c r="E37" s="83">
        <f t="shared" ca="1" si="1"/>
        <v>0.72034649543580254</v>
      </c>
      <c r="F37" s="83">
        <f t="shared" ca="1" si="1"/>
        <v>0.65286934217044934</v>
      </c>
      <c r="G37" s="83">
        <f t="shared" ca="1" si="1"/>
        <v>0.51586770297474116</v>
      </c>
      <c r="H37" s="84">
        <f t="shared" ca="1" si="1"/>
        <v>0.44094384285873256</v>
      </c>
    </row>
    <row r="38" spans="1:24" ht="15" customHeight="1" thickTop="1"/>
    <row r="39" spans="1:24" ht="15" customHeight="1"/>
    <row r="40" spans="1:24" ht="15" customHeight="1" thickBot="1"/>
    <row r="41" spans="1:24" ht="29.25" customHeight="1" thickTop="1" thickBot="1">
      <c r="A41" s="85" t="s">
        <v>52</v>
      </c>
      <c r="B41" s="86"/>
    </row>
    <row r="42" spans="1:24" ht="15" customHeight="1" thickTop="1">
      <c r="A42" s="87" t="s">
        <v>388</v>
      </c>
      <c r="B42" s="88" t="str">
        <f>depr_type</f>
        <v>MACRS</v>
      </c>
    </row>
    <row r="43" spans="1:24" ht="15" customHeight="1">
      <c r="A43" s="89" t="s">
        <v>53</v>
      </c>
      <c r="B43" s="90">
        <f>depr_length</f>
        <v>20</v>
      </c>
    </row>
    <row r="44" spans="1:24" ht="15" customHeight="1" thickBot="1">
      <c r="A44" s="91" t="s">
        <v>54</v>
      </c>
      <c r="B44" s="92">
        <f ca="1">-('Cash Flow Analysis'!G65+SUM('Cash Flow Analysis'!H65:H113))</f>
        <v>82977195.329947889</v>
      </c>
    </row>
    <row r="45" spans="1:24" ht="15" customHeight="1" thickTop="1"/>
    <row r="46" spans="1:24" ht="15" customHeight="1" thickBot="1"/>
    <row r="47" spans="1:24" ht="27" customHeight="1" thickTop="1" thickBot="1">
      <c r="A47" s="93" t="s">
        <v>55</v>
      </c>
      <c r="B47" s="59"/>
      <c r="C47" s="59"/>
      <c r="D47" s="59"/>
      <c r="E47" s="59"/>
      <c r="F47" s="59"/>
      <c r="G47" s="59"/>
      <c r="H47" s="59"/>
      <c r="I47" s="59"/>
      <c r="J47" s="59"/>
      <c r="K47" s="59"/>
      <c r="L47" s="59"/>
      <c r="M47" s="59"/>
      <c r="N47" s="59"/>
      <c r="O47" s="59"/>
      <c r="P47" s="59"/>
      <c r="Q47" s="59"/>
      <c r="R47" s="59"/>
      <c r="S47" s="59"/>
      <c r="T47" s="59"/>
      <c r="U47" s="59"/>
      <c r="V47" s="59"/>
      <c r="W47" s="59"/>
      <c r="X47" s="60"/>
    </row>
    <row r="48" spans="1:24" ht="30.75" customHeight="1" thickTop="1" thickBot="1">
      <c r="A48" s="94" t="s">
        <v>56</v>
      </c>
      <c r="B48" s="95" t="s">
        <v>57</v>
      </c>
      <c r="C48" s="96">
        <v>1</v>
      </c>
      <c r="D48" s="97">
        <v>2</v>
      </c>
      <c r="E48" s="97">
        <v>3</v>
      </c>
      <c r="F48" s="97">
        <v>4</v>
      </c>
      <c r="G48" s="97">
        <v>5</v>
      </c>
      <c r="H48" s="97">
        <v>6</v>
      </c>
      <c r="I48" s="97">
        <v>7</v>
      </c>
      <c r="J48" s="97">
        <v>8</v>
      </c>
      <c r="K48" s="97">
        <v>9</v>
      </c>
      <c r="L48" s="97">
        <v>10</v>
      </c>
      <c r="M48" s="97">
        <v>11</v>
      </c>
      <c r="N48" s="97">
        <v>12</v>
      </c>
      <c r="O48" s="97">
        <v>13</v>
      </c>
      <c r="P48" s="97">
        <v>14</v>
      </c>
      <c r="Q48" s="97">
        <v>15</v>
      </c>
      <c r="R48" s="97">
        <v>16</v>
      </c>
      <c r="S48" s="97">
        <v>17</v>
      </c>
      <c r="T48" s="97">
        <v>18</v>
      </c>
      <c r="U48" s="97">
        <v>19</v>
      </c>
      <c r="V48" s="97">
        <v>20</v>
      </c>
      <c r="W48" s="86">
        <v>21</v>
      </c>
      <c r="X48" s="64" t="s">
        <v>58</v>
      </c>
    </row>
    <row r="49" spans="1:24" ht="15" customHeight="1" thickTop="1">
      <c r="A49" s="78">
        <f>IF('Cash Flow Analysis'!C65="","",'Cash Flow Analysis'!C65)</f>
        <v>-1</v>
      </c>
      <c r="B49" s="1001">
        <f>IF(A49="","",IF(A49&lt;1,0,IF(A49=1,$B$44-'Cash Flow Analysis'!I65,-'Cash Flow Analysis'!I65)))</f>
        <v>0</v>
      </c>
      <c r="C49" s="98">
        <f>IF(B49="","",IF(AND($B$42="Straight Line",$C$48&lt;=depr_length),B49/depr_length,IF(AND($B$42="MACRS",$C$48&lt;=depr_length+1),B49*INDEX(MACRS_Table,MATCH($C$48,recovery_year,0),MATCH($B$43,recovery_period,0)),"")))</f>
        <v>0</v>
      </c>
      <c r="D49" s="99">
        <f t="shared" ref="D49:W49" si="2">IF($B$49="","",IF(AND($B$42="Straight Line",D48&lt;=depr_length),$B$49/depr_length,IF(AND($B$42="MACRS",D48&lt;=depr_length+1),$B$49*INDEX(MACRS_Table,MATCH(D48,recovery_year,0),MATCH($B$43,recovery_period,0)),"")))</f>
        <v>0</v>
      </c>
      <c r="E49" s="99">
        <f t="shared" si="2"/>
        <v>0</v>
      </c>
      <c r="F49" s="99">
        <f t="shared" si="2"/>
        <v>0</v>
      </c>
      <c r="G49" s="99">
        <f t="shared" si="2"/>
        <v>0</v>
      </c>
      <c r="H49" s="99">
        <f t="shared" si="2"/>
        <v>0</v>
      </c>
      <c r="I49" s="99">
        <f t="shared" si="2"/>
        <v>0</v>
      </c>
      <c r="J49" s="99">
        <f t="shared" si="2"/>
        <v>0</v>
      </c>
      <c r="K49" s="99">
        <f t="shared" si="2"/>
        <v>0</v>
      </c>
      <c r="L49" s="99">
        <f t="shared" si="2"/>
        <v>0</v>
      </c>
      <c r="M49" s="99">
        <f t="shared" si="2"/>
        <v>0</v>
      </c>
      <c r="N49" s="99">
        <f t="shared" si="2"/>
        <v>0</v>
      </c>
      <c r="O49" s="99">
        <f t="shared" si="2"/>
        <v>0</v>
      </c>
      <c r="P49" s="99">
        <f t="shared" si="2"/>
        <v>0</v>
      </c>
      <c r="Q49" s="99">
        <f t="shared" si="2"/>
        <v>0</v>
      </c>
      <c r="R49" s="99">
        <f t="shared" si="2"/>
        <v>0</v>
      </c>
      <c r="S49" s="99">
        <f t="shared" si="2"/>
        <v>0</v>
      </c>
      <c r="T49" s="99">
        <f t="shared" si="2"/>
        <v>0</v>
      </c>
      <c r="U49" s="99">
        <f t="shared" si="2"/>
        <v>0</v>
      </c>
      <c r="V49" s="99">
        <f t="shared" si="2"/>
        <v>0</v>
      </c>
      <c r="W49" s="100">
        <f t="shared" si="2"/>
        <v>0</v>
      </c>
      <c r="X49" s="101">
        <f t="shared" ref="X49:X92" si="3">SUM(C49:W49)</f>
        <v>0</v>
      </c>
    </row>
    <row r="50" spans="1:24" ht="15" customHeight="1">
      <c r="A50" s="70">
        <f>IF('Cash Flow Analysis'!C66="","",'Cash Flow Analysis'!C66)</f>
        <v>1</v>
      </c>
      <c r="B50" s="1002">
        <f ca="1">IF(A50="","",IF(A50&lt;1,0,IF(A50=1,$B$44-'Cash Flow Analysis'!I66,-'Cash Flow Analysis'!I66)))</f>
        <v>83399964.140153974</v>
      </c>
      <c r="C50" s="103">
        <f t="shared" ref="C50:W50" ca="1" si="4">IF($B$50="","",IF(AND($B$42="Straight Line",C48&lt;=depr_length),$B$50/depr_length,IF(AND($B$42="MACRS",C48&lt;=depr_length+1),$B$50*INDEX(MACRS_Table,MATCH(C48,recovery_year,0),MATCH($B$43,recovery_period,0)),"")))</f>
        <v>3127498.655255774</v>
      </c>
      <c r="D50" s="104">
        <f t="shared" ca="1" si="4"/>
        <v>6020643.411277716</v>
      </c>
      <c r="E50" s="104">
        <f t="shared" ca="1" si="4"/>
        <v>5568615.6056380803</v>
      </c>
      <c r="F50" s="104">
        <f t="shared" ca="1" si="4"/>
        <v>5151615.784937311</v>
      </c>
      <c r="G50" s="104">
        <f t="shared" ca="1" si="4"/>
        <v>4764639.951326997</v>
      </c>
      <c r="H50" s="104">
        <f t="shared" ca="1" si="4"/>
        <v>4407688.1048071375</v>
      </c>
      <c r="I50" s="104">
        <f t="shared" ca="1" si="4"/>
        <v>4076590.2471707263</v>
      </c>
      <c r="J50" s="104">
        <f t="shared" ca="1" si="4"/>
        <v>3771346.3784177629</v>
      </c>
      <c r="K50" s="104">
        <f t="shared" ca="1" si="4"/>
        <v>3721306.3999336702</v>
      </c>
      <c r="L50" s="104">
        <f t="shared" ca="1" si="4"/>
        <v>3720472.4002922685</v>
      </c>
      <c r="M50" s="104">
        <f t="shared" ca="1" si="4"/>
        <v>3721306.3999336702</v>
      </c>
      <c r="N50" s="104">
        <f t="shared" ca="1" si="4"/>
        <v>3720472.4002922685</v>
      </c>
      <c r="O50" s="104">
        <f t="shared" ca="1" si="4"/>
        <v>3721306.3999336702</v>
      </c>
      <c r="P50" s="104">
        <f t="shared" ca="1" si="4"/>
        <v>3720472.4002922685</v>
      </c>
      <c r="Q50" s="104">
        <f t="shared" ca="1" si="4"/>
        <v>3721306.3999336702</v>
      </c>
      <c r="R50" s="104">
        <f t="shared" ca="1" si="4"/>
        <v>3720472.4002922685</v>
      </c>
      <c r="S50" s="104">
        <f t="shared" ca="1" si="4"/>
        <v>3721306.3999336702</v>
      </c>
      <c r="T50" s="104">
        <f t="shared" ca="1" si="4"/>
        <v>3720472.4002922685</v>
      </c>
      <c r="U50" s="104">
        <f t="shared" ca="1" si="4"/>
        <v>3721306.3999336702</v>
      </c>
      <c r="V50" s="104">
        <f t="shared" ca="1" si="4"/>
        <v>3720472.4002922685</v>
      </c>
      <c r="W50" s="105">
        <f t="shared" ca="1" si="4"/>
        <v>1860653.1999668351</v>
      </c>
      <c r="X50" s="102">
        <f t="shared" ca="1" si="3"/>
        <v>83399964.140153974</v>
      </c>
    </row>
    <row r="51" spans="1:24" ht="15" customHeight="1">
      <c r="A51" s="70">
        <f>IF('Cash Flow Analysis'!C67="","",'Cash Flow Analysis'!C67)</f>
        <v>2</v>
      </c>
      <c r="B51" s="1002">
        <f ca="1">IF(A51="","",IF(A51&lt;1,0,IF(A51=1,$B$44-'Cash Flow Analysis'!I67,-'Cash Flow Analysis'!I67)))</f>
        <v>430801.4176000001</v>
      </c>
      <c r="C51" s="103">
        <f t="shared" ref="C51:W51" ca="1" si="5">IF($B$51="","",IF(AND($B$42="Straight Line",C48&lt;=depr_length),$B$51/depr_length,IF(AND($B$42="MACRS",C48&lt;=depr_length+1),$B$51*INDEX(MACRS_Table,MATCH(C48,recovery_year,0),MATCH($B$43,recovery_period,0)),"")))</f>
        <v>16155.053160000003</v>
      </c>
      <c r="D51" s="104">
        <f t="shared" ca="1" si="5"/>
        <v>31099.55433654401</v>
      </c>
      <c r="E51" s="104">
        <f t="shared" ca="1" si="5"/>
        <v>28764.610653152005</v>
      </c>
      <c r="F51" s="104">
        <f t="shared" ca="1" si="5"/>
        <v>26610.603565152007</v>
      </c>
      <c r="G51" s="104">
        <f t="shared" ca="1" si="5"/>
        <v>24611.684987488006</v>
      </c>
      <c r="H51" s="104">
        <f t="shared" ca="1" si="5"/>
        <v>22767.854920160007</v>
      </c>
      <c r="I51" s="104">
        <f t="shared" ca="1" si="5"/>
        <v>21057.573292288005</v>
      </c>
      <c r="J51" s="104">
        <f t="shared" ca="1" si="5"/>
        <v>19480.840103872008</v>
      </c>
      <c r="K51" s="104">
        <f t="shared" ca="1" si="5"/>
        <v>19222.359253312006</v>
      </c>
      <c r="L51" s="104">
        <f t="shared" ca="1" si="5"/>
        <v>19218.051239136003</v>
      </c>
      <c r="M51" s="104">
        <f t="shared" ca="1" si="5"/>
        <v>19222.359253312006</v>
      </c>
      <c r="N51" s="104">
        <f t="shared" ca="1" si="5"/>
        <v>19218.051239136003</v>
      </c>
      <c r="O51" s="104">
        <f t="shared" ca="1" si="5"/>
        <v>19222.359253312006</v>
      </c>
      <c r="P51" s="104">
        <f t="shared" ca="1" si="5"/>
        <v>19218.051239136003</v>
      </c>
      <c r="Q51" s="104">
        <f t="shared" ca="1" si="5"/>
        <v>19222.359253312006</v>
      </c>
      <c r="R51" s="104">
        <f t="shared" ca="1" si="5"/>
        <v>19218.051239136003</v>
      </c>
      <c r="S51" s="104">
        <f t="shared" ca="1" si="5"/>
        <v>19222.359253312006</v>
      </c>
      <c r="T51" s="104">
        <f t="shared" ca="1" si="5"/>
        <v>19218.051239136003</v>
      </c>
      <c r="U51" s="104">
        <f t="shared" ca="1" si="5"/>
        <v>19222.359253312006</v>
      </c>
      <c r="V51" s="104">
        <f t="shared" ca="1" si="5"/>
        <v>19218.051239136003</v>
      </c>
      <c r="W51" s="105">
        <f t="shared" ca="1" si="5"/>
        <v>9611.1796266560032</v>
      </c>
      <c r="X51" s="102">
        <f t="shared" ca="1" si="3"/>
        <v>430801.4176000001</v>
      </c>
    </row>
    <row r="52" spans="1:24" ht="15" customHeight="1">
      <c r="A52" s="70">
        <f>IF('Cash Flow Analysis'!C68="","",'Cash Flow Analysis'!C68)</f>
        <v>3</v>
      </c>
      <c r="B52" s="1002">
        <f ca="1">IF(A52="","",IF(A52&lt;1,0,IF(A52=1,$B$44-'Cash Flow Analysis'!I68,-'Cash Flow Analysis'!I68)))</f>
        <v>438986.64453440008</v>
      </c>
      <c r="C52" s="103">
        <f t="shared" ref="C52:W52" ca="1" si="6">IF($B$52="","",IF(AND($B$42="Straight Line",C48&lt;=depr_length),$B$52/depr_length,IF(AND($B$42="MACRS",C48&lt;=depr_length+1),$B$52*INDEX(MACRS_Table,MATCH(C48,recovery_year,0),MATCH($B$43,recovery_period,0)),"")))</f>
        <v>16461.999170040002</v>
      </c>
      <c r="D52" s="104">
        <f t="shared" ca="1" si="6"/>
        <v>31690.445868938343</v>
      </c>
      <c r="E52" s="104">
        <f t="shared" ca="1" si="6"/>
        <v>29311.138255561891</v>
      </c>
      <c r="F52" s="104">
        <f t="shared" ca="1" si="6"/>
        <v>27116.205032889891</v>
      </c>
      <c r="G52" s="104">
        <f t="shared" ca="1" si="6"/>
        <v>25079.307002250276</v>
      </c>
      <c r="H52" s="104">
        <f t="shared" ca="1" si="6"/>
        <v>23200.444163643046</v>
      </c>
      <c r="I52" s="104">
        <f t="shared" ca="1" si="6"/>
        <v>21457.667184841477</v>
      </c>
      <c r="J52" s="104">
        <f t="shared" ca="1" si="6"/>
        <v>19850.976065845574</v>
      </c>
      <c r="K52" s="104">
        <f t="shared" ca="1" si="6"/>
        <v>19587.584079124932</v>
      </c>
      <c r="L52" s="104">
        <f t="shared" ca="1" si="6"/>
        <v>19583.194212679588</v>
      </c>
      <c r="M52" s="104">
        <f t="shared" ca="1" si="6"/>
        <v>19587.584079124932</v>
      </c>
      <c r="N52" s="104">
        <f t="shared" ca="1" si="6"/>
        <v>19583.194212679588</v>
      </c>
      <c r="O52" s="104">
        <f t="shared" ca="1" si="6"/>
        <v>19587.584079124932</v>
      </c>
      <c r="P52" s="104">
        <f t="shared" ca="1" si="6"/>
        <v>19583.194212679588</v>
      </c>
      <c r="Q52" s="104">
        <f t="shared" ca="1" si="6"/>
        <v>19587.584079124932</v>
      </c>
      <c r="R52" s="104">
        <f t="shared" ca="1" si="6"/>
        <v>19583.194212679588</v>
      </c>
      <c r="S52" s="104">
        <f t="shared" ca="1" si="6"/>
        <v>19587.584079124932</v>
      </c>
      <c r="T52" s="104">
        <f t="shared" ca="1" si="6"/>
        <v>19583.194212679588</v>
      </c>
      <c r="U52" s="104">
        <f t="shared" ca="1" si="6"/>
        <v>19587.584079124932</v>
      </c>
      <c r="V52" s="104">
        <f t="shared" ca="1" si="6"/>
        <v>19583.194212679588</v>
      </c>
      <c r="W52" s="105">
        <f t="shared" ca="1" si="6"/>
        <v>9793.792039562466</v>
      </c>
      <c r="X52" s="102">
        <f t="shared" ca="1" si="3"/>
        <v>438986.64453439997</v>
      </c>
    </row>
    <row r="53" spans="1:24" ht="15" customHeight="1">
      <c r="A53" s="70">
        <f>IF('Cash Flow Analysis'!C69="","",'Cash Flow Analysis'!C69)</f>
        <v>4</v>
      </c>
      <c r="B53" s="1002">
        <f ca="1">IF(A53="","",IF(A53&lt;1,0,IF(A53=1,$B$44-'Cash Flow Analysis'!I69,-'Cash Flow Analysis'!I69)))</f>
        <v>447327.39078055369</v>
      </c>
      <c r="C53" s="103">
        <f t="shared" ref="C53:W53" ca="1" si="7">IF($B$53="","",IF(AND($B$42="Straight Line",C48&lt;=depr_length),$B$53/depr_length,IF(AND($B$42="MACRS",C48&lt;=depr_length+1),$B$53*INDEX(MACRS_Table,MATCH(C48,recovery_year,0),MATCH($B$43,recovery_period,0)),"")))</f>
        <v>16774.777154270763</v>
      </c>
      <c r="D53" s="104">
        <f t="shared" ca="1" si="7"/>
        <v>32292.564340448174</v>
      </c>
      <c r="E53" s="104">
        <f t="shared" ca="1" si="7"/>
        <v>29868.049882417567</v>
      </c>
      <c r="F53" s="104">
        <f t="shared" ca="1" si="7"/>
        <v>27631.412928514801</v>
      </c>
      <c r="G53" s="104">
        <f t="shared" ca="1" si="7"/>
        <v>25555.813835293033</v>
      </c>
      <c r="H53" s="104">
        <f t="shared" ca="1" si="7"/>
        <v>23641.252602752262</v>
      </c>
      <c r="I53" s="104">
        <f t="shared" ca="1" si="7"/>
        <v>21865.362861353464</v>
      </c>
      <c r="J53" s="104">
        <f t="shared" ca="1" si="7"/>
        <v>20228.144611096639</v>
      </c>
      <c r="K53" s="104">
        <f t="shared" ca="1" si="7"/>
        <v>19959.748176628305</v>
      </c>
      <c r="L53" s="104">
        <f t="shared" ca="1" si="7"/>
        <v>19955.274902720499</v>
      </c>
      <c r="M53" s="104">
        <f t="shared" ca="1" si="7"/>
        <v>19959.748176628305</v>
      </c>
      <c r="N53" s="104">
        <f t="shared" ca="1" si="7"/>
        <v>19955.274902720499</v>
      </c>
      <c r="O53" s="104">
        <f t="shared" ca="1" si="7"/>
        <v>19959.748176628305</v>
      </c>
      <c r="P53" s="104">
        <f t="shared" ca="1" si="7"/>
        <v>19955.274902720499</v>
      </c>
      <c r="Q53" s="104">
        <f t="shared" ca="1" si="7"/>
        <v>19959.748176628305</v>
      </c>
      <c r="R53" s="104">
        <f t="shared" ca="1" si="7"/>
        <v>19955.274902720499</v>
      </c>
      <c r="S53" s="104">
        <f t="shared" ca="1" si="7"/>
        <v>19959.748176628305</v>
      </c>
      <c r="T53" s="104">
        <f t="shared" ca="1" si="7"/>
        <v>19955.274902720499</v>
      </c>
      <c r="U53" s="104">
        <f t="shared" ca="1" si="7"/>
        <v>19959.748176628305</v>
      </c>
      <c r="V53" s="104">
        <f t="shared" ca="1" si="7"/>
        <v>19955.274902720499</v>
      </c>
      <c r="W53" s="105">
        <f t="shared" ca="1" si="7"/>
        <v>9979.8740883141527</v>
      </c>
      <c r="X53" s="102">
        <f t="shared" ca="1" si="3"/>
        <v>447327.3907805538</v>
      </c>
    </row>
    <row r="54" spans="1:24" ht="15" customHeight="1">
      <c r="A54" s="70">
        <f>IF('Cash Flow Analysis'!C70="","",'Cash Flow Analysis'!C70)</f>
        <v>5</v>
      </c>
      <c r="B54" s="1002">
        <f ca="1">IF(A54="","",IF(A54&lt;1,0,IF(A54=1,$B$44-'Cash Flow Analysis'!I70,-'Cash Flow Analysis'!I70)))</f>
        <v>455826.61120538419</v>
      </c>
      <c r="C54" s="103">
        <f t="shared" ref="C54:W54" ca="1" si="8">IF($B$54="","",IF(AND($B$42="Straight Line",C48&lt;=depr_length),$B$54/depr_length,IF(AND($B$42="MACRS",C48&lt;=depr_length+1),$B$54*INDEX(MACRS_Table,MATCH(C48,recovery_year,0),MATCH($B$43,recovery_period,0)),"")))</f>
        <v>17093.497920201906</v>
      </c>
      <c r="D54" s="104">
        <f t="shared" ca="1" si="8"/>
        <v>32906.123062916689</v>
      </c>
      <c r="E54" s="104">
        <f t="shared" ca="1" si="8"/>
        <v>30435.542830183502</v>
      </c>
      <c r="F54" s="104">
        <f t="shared" ca="1" si="8"/>
        <v>28156.409774156582</v>
      </c>
      <c r="G54" s="104">
        <f t="shared" ca="1" si="8"/>
        <v>26041.374298163599</v>
      </c>
      <c r="H54" s="104">
        <f t="shared" ca="1" si="8"/>
        <v>24090.436402204556</v>
      </c>
      <c r="I54" s="104">
        <f t="shared" ca="1" si="8"/>
        <v>22280.804755719179</v>
      </c>
      <c r="J54" s="104">
        <f t="shared" ca="1" si="8"/>
        <v>20612.479358707475</v>
      </c>
      <c r="K54" s="104">
        <f t="shared" ca="1" si="8"/>
        <v>20338.983391984242</v>
      </c>
      <c r="L54" s="104">
        <f t="shared" ca="1" si="8"/>
        <v>20334.425125872189</v>
      </c>
      <c r="M54" s="104">
        <f t="shared" ca="1" si="8"/>
        <v>20338.983391984242</v>
      </c>
      <c r="N54" s="104">
        <f t="shared" ca="1" si="8"/>
        <v>20334.425125872189</v>
      </c>
      <c r="O54" s="104">
        <f t="shared" ca="1" si="8"/>
        <v>20338.983391984242</v>
      </c>
      <c r="P54" s="104">
        <f t="shared" ca="1" si="8"/>
        <v>20334.425125872189</v>
      </c>
      <c r="Q54" s="104">
        <f t="shared" ca="1" si="8"/>
        <v>20338.983391984242</v>
      </c>
      <c r="R54" s="104">
        <f t="shared" ca="1" si="8"/>
        <v>20334.425125872189</v>
      </c>
      <c r="S54" s="104">
        <f t="shared" ca="1" si="8"/>
        <v>20338.983391984242</v>
      </c>
      <c r="T54" s="104">
        <f t="shared" ca="1" si="8"/>
        <v>20334.425125872189</v>
      </c>
      <c r="U54" s="104">
        <f t="shared" ca="1" si="8"/>
        <v>20338.983391984242</v>
      </c>
      <c r="V54" s="104">
        <f t="shared" ca="1" si="8"/>
        <v>20334.425125872189</v>
      </c>
      <c r="W54" s="105">
        <f t="shared" ca="1" si="8"/>
        <v>10169.491695992121</v>
      </c>
      <c r="X54" s="102">
        <f t="shared" ca="1" si="3"/>
        <v>455826.61120538425</v>
      </c>
    </row>
    <row r="55" spans="1:24" ht="15" customHeight="1">
      <c r="A55" s="70">
        <f>IF('Cash Flow Analysis'!C71="","",'Cash Flow Analysis'!C71)</f>
        <v>6</v>
      </c>
      <c r="B55" s="1002">
        <f ca="1">IF(A55="","",IF(A55&lt;1,0,IF(A55=1,$B$44-'Cash Flow Analysis'!I71,-'Cash Flow Analysis'!I71)))</f>
        <v>464487.31681828637</v>
      </c>
      <c r="C55" s="103">
        <f t="shared" ref="C55:W55" ca="1" si="9">IF($B$55="","",IF(AND($B$42="Straight Line",C48&lt;=depr_length),$B$55/depr_length,IF(AND($B$42="MACRS",C48&lt;=depr_length+1),$B$55*INDEX(MACRS_Table,MATCH(C48,recovery_year,0),MATCH($B$43,recovery_period,0)),"")))</f>
        <v>17418.27438068574</v>
      </c>
      <c r="D55" s="104">
        <f t="shared" ca="1" si="9"/>
        <v>33531.339401112098</v>
      </c>
      <c r="E55" s="104">
        <f t="shared" ca="1" si="9"/>
        <v>31013.818143956978</v>
      </c>
      <c r="F55" s="104">
        <f t="shared" ca="1" si="9"/>
        <v>28691.381559865549</v>
      </c>
      <c r="G55" s="104">
        <f t="shared" ca="1" si="9"/>
        <v>26536.160409828699</v>
      </c>
      <c r="H55" s="104">
        <f t="shared" ca="1" si="9"/>
        <v>24548.154693846434</v>
      </c>
      <c r="I55" s="104">
        <f t="shared" ca="1" si="9"/>
        <v>22704.140046077839</v>
      </c>
      <c r="J55" s="104">
        <f t="shared" ca="1" si="9"/>
        <v>21004.116466522912</v>
      </c>
      <c r="K55" s="104">
        <f t="shared" ca="1" si="9"/>
        <v>20725.424076431937</v>
      </c>
      <c r="L55" s="104">
        <f t="shared" ca="1" si="9"/>
        <v>20720.779203263755</v>
      </c>
      <c r="M55" s="104">
        <f t="shared" ca="1" si="9"/>
        <v>20725.424076431937</v>
      </c>
      <c r="N55" s="104">
        <f t="shared" ca="1" si="9"/>
        <v>20720.779203263755</v>
      </c>
      <c r="O55" s="104">
        <f t="shared" ca="1" si="9"/>
        <v>20725.424076431937</v>
      </c>
      <c r="P55" s="104">
        <f t="shared" ca="1" si="9"/>
        <v>20720.779203263755</v>
      </c>
      <c r="Q55" s="104">
        <f t="shared" ca="1" si="9"/>
        <v>20725.424076431937</v>
      </c>
      <c r="R55" s="104">
        <f t="shared" ca="1" si="9"/>
        <v>20720.779203263755</v>
      </c>
      <c r="S55" s="104">
        <f t="shared" ca="1" si="9"/>
        <v>20725.424076431937</v>
      </c>
      <c r="T55" s="104">
        <f t="shared" ca="1" si="9"/>
        <v>20720.779203263755</v>
      </c>
      <c r="U55" s="104">
        <f t="shared" ca="1" si="9"/>
        <v>20725.424076431937</v>
      </c>
      <c r="V55" s="104">
        <f t="shared" ca="1" si="9"/>
        <v>20720.779203263755</v>
      </c>
      <c r="W55" s="105">
        <f t="shared" ca="1" si="9"/>
        <v>10362.712038215968</v>
      </c>
      <c r="X55" s="102">
        <f t="shared" ca="1" si="3"/>
        <v>464487.31681828643</v>
      </c>
    </row>
    <row r="56" spans="1:24" ht="15" customHeight="1">
      <c r="A56" s="70">
        <f>IF('Cash Flow Analysis'!C72="","",'Cash Flow Analysis'!C72)</f>
        <v>7</v>
      </c>
      <c r="B56" s="1002">
        <f ca="1">IF(A56="","",IF(A56&lt;1,0,IF(A56=1,$B$44-'Cash Flow Analysis'!I72,-'Cash Flow Analysis'!I72)))</f>
        <v>473312.57583783387</v>
      </c>
      <c r="C56" s="103">
        <f t="shared" ref="C56:W56" ca="1" si="10">IF($B$56="","",IF(AND($B$42="Straight Line",C48&lt;=depr_length),$B$56/depr_length,IF(AND($B$42="MACRS",C48&lt;=depr_length+1),$B$56*INDEX(MACRS_Table,MATCH(C48,recovery_year,0),MATCH($B$43,recovery_period,0)),"")))</f>
        <v>17749.22159391877</v>
      </c>
      <c r="D56" s="104">
        <f t="shared" ca="1" si="10"/>
        <v>34168.434849733232</v>
      </c>
      <c r="E56" s="104">
        <f t="shared" ca="1" si="10"/>
        <v>31603.080688692164</v>
      </c>
      <c r="F56" s="104">
        <f t="shared" ca="1" si="10"/>
        <v>29236.517809502999</v>
      </c>
      <c r="G56" s="104">
        <f t="shared" ca="1" si="10"/>
        <v>27040.347457615448</v>
      </c>
      <c r="H56" s="104">
        <f t="shared" ca="1" si="10"/>
        <v>25014.569633029521</v>
      </c>
      <c r="I56" s="104">
        <f t="shared" ca="1" si="10"/>
        <v>23135.51870695332</v>
      </c>
      <c r="J56" s="104">
        <f t="shared" ca="1" si="10"/>
        <v>21403.194679386848</v>
      </c>
      <c r="K56" s="104">
        <f t="shared" ca="1" si="10"/>
        <v>21119.207133884149</v>
      </c>
      <c r="L56" s="104">
        <f t="shared" ca="1" si="10"/>
        <v>21114.474008125766</v>
      </c>
      <c r="M56" s="104">
        <f t="shared" ca="1" si="10"/>
        <v>21119.207133884149</v>
      </c>
      <c r="N56" s="104">
        <f t="shared" ca="1" si="10"/>
        <v>21114.474008125766</v>
      </c>
      <c r="O56" s="104">
        <f t="shared" ca="1" si="10"/>
        <v>21119.207133884149</v>
      </c>
      <c r="P56" s="104">
        <f t="shared" ca="1" si="10"/>
        <v>21114.474008125766</v>
      </c>
      <c r="Q56" s="104">
        <f t="shared" ca="1" si="10"/>
        <v>21119.207133884149</v>
      </c>
      <c r="R56" s="104">
        <f t="shared" ca="1" si="10"/>
        <v>21114.474008125766</v>
      </c>
      <c r="S56" s="104">
        <f t="shared" ca="1" si="10"/>
        <v>21119.207133884149</v>
      </c>
      <c r="T56" s="104">
        <f t="shared" ca="1" si="10"/>
        <v>21114.474008125766</v>
      </c>
      <c r="U56" s="104">
        <f t="shared" ca="1" si="10"/>
        <v>21119.207133884149</v>
      </c>
      <c r="V56" s="104">
        <f t="shared" ca="1" si="10"/>
        <v>21114.474008125766</v>
      </c>
      <c r="W56" s="105">
        <f t="shared" ca="1" si="10"/>
        <v>10559.603566942074</v>
      </c>
      <c r="X56" s="102">
        <f t="shared" ca="1" si="3"/>
        <v>473312.57583783387</v>
      </c>
    </row>
    <row r="57" spans="1:24" ht="15" customHeight="1">
      <c r="A57" s="70">
        <f>IF('Cash Flow Analysis'!C73="","",'Cash Flow Analysis'!C73)</f>
        <v>8</v>
      </c>
      <c r="B57" s="1002">
        <f ca="1">IF(A57="","",IF(A57&lt;1,0,IF(A57=1,$B$44-'Cash Flow Analysis'!I73,-'Cash Flow Analysis'!I73)))</f>
        <v>10671858.643907331</v>
      </c>
      <c r="C57" s="103">
        <f t="shared" ref="C57:W57" ca="1" si="11">IF($B$57="","",IF(AND($B$42="Straight Line",C48&lt;=depr_length),$B$57/depr_length,IF(AND($B$42="MACRS",C48&lt;=depr_length+1),$B$57*INDEX(MACRS_Table,MATCH(C48,recovery_year,0),MATCH($B$43,recovery_period,0)),"")))</f>
        <v>400194.69914652489</v>
      </c>
      <c r="D57" s="104">
        <f t="shared" ca="1" si="11"/>
        <v>770401.47550367028</v>
      </c>
      <c r="E57" s="104">
        <f t="shared" ca="1" si="11"/>
        <v>712560.00165369245</v>
      </c>
      <c r="F57" s="104">
        <f t="shared" ca="1" si="11"/>
        <v>659200.70843415579</v>
      </c>
      <c r="G57" s="104">
        <f t="shared" ca="1" si="11"/>
        <v>609683.28432642587</v>
      </c>
      <c r="H57" s="104">
        <f t="shared" ca="1" si="11"/>
        <v>564007.72933050245</v>
      </c>
      <c r="I57" s="104">
        <f t="shared" ca="1" si="11"/>
        <v>521640.45051419031</v>
      </c>
      <c r="J57" s="104">
        <f t="shared" ca="1" si="11"/>
        <v>482581.44787748955</v>
      </c>
      <c r="K57" s="104">
        <f t="shared" ca="1" si="11"/>
        <v>476178.33269114513</v>
      </c>
      <c r="L57" s="104">
        <f t="shared" ca="1" si="11"/>
        <v>476071.61410470598</v>
      </c>
      <c r="M57" s="104">
        <f t="shared" ca="1" si="11"/>
        <v>476178.33269114513</v>
      </c>
      <c r="N57" s="104">
        <f t="shared" ca="1" si="11"/>
        <v>476071.61410470598</v>
      </c>
      <c r="O57" s="104">
        <f t="shared" ca="1" si="11"/>
        <v>476178.33269114513</v>
      </c>
      <c r="P57" s="104">
        <f t="shared" ca="1" si="11"/>
        <v>476071.61410470598</v>
      </c>
      <c r="Q57" s="104">
        <f t="shared" ca="1" si="11"/>
        <v>476178.33269114513</v>
      </c>
      <c r="R57" s="104">
        <f t="shared" ca="1" si="11"/>
        <v>476071.61410470598</v>
      </c>
      <c r="S57" s="104">
        <f t="shared" ca="1" si="11"/>
        <v>476178.33269114513</v>
      </c>
      <c r="T57" s="104">
        <f t="shared" ca="1" si="11"/>
        <v>476071.61410470598</v>
      </c>
      <c r="U57" s="104">
        <f t="shared" ca="1" si="11"/>
        <v>476178.33269114513</v>
      </c>
      <c r="V57" s="104">
        <f t="shared" ca="1" si="11"/>
        <v>476071.61410470598</v>
      </c>
      <c r="W57" s="105">
        <f t="shared" ca="1" si="11"/>
        <v>238089.16634557256</v>
      </c>
      <c r="X57" s="102">
        <f t="shared" ca="1" si="3"/>
        <v>10671858.643907333</v>
      </c>
    </row>
    <row r="58" spans="1:24" ht="15" customHeight="1">
      <c r="A58" s="70">
        <f>IF('Cash Flow Analysis'!C74="","",'Cash Flow Analysis'!C74)</f>
        <v>9</v>
      </c>
      <c r="B58" s="1002">
        <f ca="1">IF(A58="","",IF(A58&lt;1,0,IF(A58=1,$B$44-'Cash Flow Analysis'!I74,-'Cash Flow Analysis'!I74)))</f>
        <v>491469.31955954898</v>
      </c>
      <c r="C58" s="103">
        <f t="shared" ref="C58:W58" ca="1" si="12">IF($B$58="","",IF(AND($B$42="Straight Line",C48&lt;=depr_length),$B$58/depr_length,IF(AND($B$42="MACRS",C48&lt;=depr_length+1),$B$58*INDEX(MACRS_Table,MATCH(C48,recovery_year,0),MATCH($B$43,recovery_period,0)),"")))</f>
        <v>18430.099483483085</v>
      </c>
      <c r="D58" s="104">
        <f t="shared" ca="1" si="12"/>
        <v>35479.170179003842</v>
      </c>
      <c r="E58" s="104">
        <f t="shared" ca="1" si="12"/>
        <v>32815.40646699108</v>
      </c>
      <c r="F58" s="104">
        <f t="shared" ca="1" si="12"/>
        <v>30358.059869193341</v>
      </c>
      <c r="G58" s="104">
        <f t="shared" ca="1" si="12"/>
        <v>28077.642226437034</v>
      </c>
      <c r="H58" s="104">
        <f t="shared" ca="1" si="12"/>
        <v>25974.153538722163</v>
      </c>
      <c r="I58" s="104">
        <f t="shared" ca="1" si="12"/>
        <v>24023.020340070754</v>
      </c>
      <c r="J58" s="104">
        <f t="shared" ca="1" si="12"/>
        <v>22224.242630482808</v>
      </c>
      <c r="K58" s="104">
        <f t="shared" ca="1" si="12"/>
        <v>21929.361038747076</v>
      </c>
      <c r="L58" s="104">
        <f t="shared" ca="1" si="12"/>
        <v>21924.446345551478</v>
      </c>
      <c r="M58" s="104">
        <f t="shared" ca="1" si="12"/>
        <v>21929.361038747076</v>
      </c>
      <c r="N58" s="104">
        <f t="shared" ca="1" si="12"/>
        <v>21924.446345551478</v>
      </c>
      <c r="O58" s="104">
        <f t="shared" ca="1" si="12"/>
        <v>21929.361038747076</v>
      </c>
      <c r="P58" s="104">
        <f t="shared" ca="1" si="12"/>
        <v>21924.446345551478</v>
      </c>
      <c r="Q58" s="104">
        <f t="shared" ca="1" si="12"/>
        <v>21929.361038747076</v>
      </c>
      <c r="R58" s="104">
        <f t="shared" ca="1" si="12"/>
        <v>21924.446345551478</v>
      </c>
      <c r="S58" s="104">
        <f t="shared" ca="1" si="12"/>
        <v>21929.361038747076</v>
      </c>
      <c r="T58" s="104">
        <f t="shared" ca="1" si="12"/>
        <v>21924.446345551478</v>
      </c>
      <c r="U58" s="104">
        <f t="shared" ca="1" si="12"/>
        <v>21929.361038747076</v>
      </c>
      <c r="V58" s="104">
        <f t="shared" ca="1" si="12"/>
        <v>21924.446345551478</v>
      </c>
      <c r="W58" s="105">
        <f t="shared" ca="1" si="12"/>
        <v>10964.680519373538</v>
      </c>
      <c r="X58" s="102">
        <f t="shared" ca="1" si="3"/>
        <v>491469.31955954887</v>
      </c>
    </row>
    <row r="59" spans="1:24" ht="15" customHeight="1">
      <c r="A59" s="70">
        <f>IF('Cash Flow Analysis'!C75="","",'Cash Flow Analysis'!C75)</f>
        <v>10</v>
      </c>
      <c r="B59" s="1002">
        <f ca="1">IF(A59="","",IF(A59&lt;1,0,IF(A59=1,$B$44-'Cash Flow Analysis'!I75,-'Cash Flow Analysis'!I75)))</f>
        <v>500807.23663118033</v>
      </c>
      <c r="C59" s="103">
        <f t="shared" ref="C59:W59" ca="1" si="13">IF($B$59="","",IF(AND($B$42="Straight Line",C48&lt;=depr_length),$B$59/depr_length,IF(AND($B$42="MACRS",C48&lt;=depr_length+1),$B$59*INDEX(MACRS_Table,MATCH(C48,recovery_year,0),MATCH($B$43,recovery_period,0)),"")))</f>
        <v>18780.27137366926</v>
      </c>
      <c r="D59" s="104">
        <f t="shared" ca="1" si="13"/>
        <v>36153.274412404913</v>
      </c>
      <c r="E59" s="104">
        <f t="shared" ca="1" si="13"/>
        <v>33438.899189863907</v>
      </c>
      <c r="F59" s="104">
        <f t="shared" ca="1" si="13"/>
        <v>30934.863006708008</v>
      </c>
      <c r="G59" s="104">
        <f t="shared" ca="1" si="13"/>
        <v>28611.117428739333</v>
      </c>
      <c r="H59" s="104">
        <f t="shared" ca="1" si="13"/>
        <v>26467.662455957881</v>
      </c>
      <c r="I59" s="104">
        <f t="shared" ca="1" si="13"/>
        <v>24479.457726532095</v>
      </c>
      <c r="J59" s="104">
        <f t="shared" ca="1" si="13"/>
        <v>22646.503240461978</v>
      </c>
      <c r="K59" s="104">
        <f t="shared" ca="1" si="13"/>
        <v>22346.018898483268</v>
      </c>
      <c r="L59" s="104">
        <f t="shared" ca="1" si="13"/>
        <v>22341.010826116952</v>
      </c>
      <c r="M59" s="104">
        <f t="shared" ca="1" si="13"/>
        <v>22346.018898483268</v>
      </c>
      <c r="N59" s="104">
        <f t="shared" ca="1" si="13"/>
        <v>22341.010826116952</v>
      </c>
      <c r="O59" s="104">
        <f t="shared" ca="1" si="13"/>
        <v>22346.018898483268</v>
      </c>
      <c r="P59" s="104">
        <f t="shared" ca="1" si="13"/>
        <v>22341.010826116952</v>
      </c>
      <c r="Q59" s="104">
        <f t="shared" ca="1" si="13"/>
        <v>22346.018898483268</v>
      </c>
      <c r="R59" s="104">
        <f t="shared" ca="1" si="13"/>
        <v>22341.010826116952</v>
      </c>
      <c r="S59" s="104">
        <f t="shared" ca="1" si="13"/>
        <v>22346.018898483268</v>
      </c>
      <c r="T59" s="104">
        <f t="shared" ca="1" si="13"/>
        <v>22341.010826116952</v>
      </c>
      <c r="U59" s="104">
        <f t="shared" ca="1" si="13"/>
        <v>22346.018898483268</v>
      </c>
      <c r="V59" s="104">
        <f t="shared" ca="1" si="13"/>
        <v>22341.010826116952</v>
      </c>
      <c r="W59" s="105">
        <f t="shared" ca="1" si="13"/>
        <v>11173.009449241634</v>
      </c>
      <c r="X59" s="102">
        <f t="shared" ca="1" si="3"/>
        <v>500807.23663118028</v>
      </c>
    </row>
    <row r="60" spans="1:24" ht="15" customHeight="1">
      <c r="A60" s="70">
        <f>IF('Cash Flow Analysis'!C76="","",'Cash Flow Analysis'!C76)</f>
        <v>11</v>
      </c>
      <c r="B60" s="1002">
        <f ca="1">IF(A60="","",IF(A60&lt;1,0,IF(A60=1,$B$44-'Cash Flow Analysis'!I76,-'Cash Flow Analysis'!I76)))</f>
        <v>510322.57412717276</v>
      </c>
      <c r="C60" s="103">
        <f t="shared" ref="C60:W60" ca="1" si="14">IF($B$60="","",IF(AND($B$42="Straight Line",C48&lt;=depr_length),$B$60/depr_length,IF(AND($B$42="MACRS",C48&lt;=depr_length+1),$B$60*INDEX(MACRS_Table,MATCH(C48,recovery_year,0),MATCH($B$43,recovery_period,0)),"")))</f>
        <v>19137.096529768976</v>
      </c>
      <c r="D60" s="104">
        <f t="shared" ca="1" si="14"/>
        <v>36840.186626240604</v>
      </c>
      <c r="E60" s="104">
        <f t="shared" ca="1" si="14"/>
        <v>34074.238274471325</v>
      </c>
      <c r="F60" s="104">
        <f t="shared" ca="1" si="14"/>
        <v>31522.62540383546</v>
      </c>
      <c r="G60" s="104">
        <f t="shared" ca="1" si="14"/>
        <v>29154.728659885379</v>
      </c>
      <c r="H60" s="104">
        <f t="shared" ca="1" si="14"/>
        <v>26970.548042621082</v>
      </c>
      <c r="I60" s="104">
        <f t="shared" ca="1" si="14"/>
        <v>24944.567423336204</v>
      </c>
      <c r="J60" s="104">
        <f t="shared" ca="1" si="14"/>
        <v>23076.786802030754</v>
      </c>
      <c r="K60" s="104">
        <f t="shared" ca="1" si="14"/>
        <v>22770.59325755445</v>
      </c>
      <c r="L60" s="104">
        <f t="shared" ca="1" si="14"/>
        <v>22765.490031813177</v>
      </c>
      <c r="M60" s="104">
        <f t="shared" ca="1" si="14"/>
        <v>22770.59325755445</v>
      </c>
      <c r="N60" s="104">
        <f t="shared" ca="1" si="14"/>
        <v>22765.490031813177</v>
      </c>
      <c r="O60" s="104">
        <f t="shared" ca="1" si="14"/>
        <v>22770.59325755445</v>
      </c>
      <c r="P60" s="104">
        <f t="shared" ca="1" si="14"/>
        <v>22765.490031813177</v>
      </c>
      <c r="Q60" s="104">
        <f t="shared" ca="1" si="14"/>
        <v>22770.59325755445</v>
      </c>
      <c r="R60" s="104">
        <f t="shared" ca="1" si="14"/>
        <v>22765.490031813177</v>
      </c>
      <c r="S60" s="104">
        <f t="shared" ca="1" si="14"/>
        <v>22770.59325755445</v>
      </c>
      <c r="T60" s="104">
        <f t="shared" ca="1" si="14"/>
        <v>22765.490031813177</v>
      </c>
      <c r="U60" s="104">
        <f t="shared" ca="1" si="14"/>
        <v>22770.59325755445</v>
      </c>
      <c r="V60" s="104">
        <f t="shared" ca="1" si="14"/>
        <v>22765.490031813177</v>
      </c>
      <c r="W60" s="105">
        <f t="shared" ca="1" si="14"/>
        <v>11385.296628777225</v>
      </c>
      <c r="X60" s="102">
        <f t="shared" ca="1" si="3"/>
        <v>510322.5741271727</v>
      </c>
    </row>
    <row r="61" spans="1:24" ht="15" customHeight="1">
      <c r="A61" s="70">
        <f>IF('Cash Flow Analysis'!C77="","",'Cash Flow Analysis'!C77)</f>
        <v>12</v>
      </c>
      <c r="B61" s="1002">
        <f ca="1">IF(A61="","",IF(A61&lt;1,0,IF(A61=1,$B$44-'Cash Flow Analysis'!I77,-'Cash Flow Analysis'!I77)))</f>
        <v>520018.70303558907</v>
      </c>
      <c r="C61" s="103">
        <f t="shared" ref="C61:W61" ca="1" si="15">IF($B$61="","",IF(AND($B$42="Straight Line",C48&lt;=depr_length),$B$61/depr_length,IF(AND($B$42="MACRS",C48&lt;=depr_length+1),$B$61*INDEX(MACRS_Table,MATCH(C48,recovery_year,0),MATCH($B$43,recovery_period,0)),"")))</f>
        <v>19500.701363834589</v>
      </c>
      <c r="D61" s="104">
        <f t="shared" ca="1" si="15"/>
        <v>37540.150172139176</v>
      </c>
      <c r="E61" s="104">
        <f t="shared" ca="1" si="15"/>
        <v>34721.648801686279</v>
      </c>
      <c r="F61" s="104">
        <f t="shared" ca="1" si="15"/>
        <v>32121.555286508337</v>
      </c>
      <c r="G61" s="104">
        <f t="shared" ca="1" si="15"/>
        <v>29708.668504423204</v>
      </c>
      <c r="H61" s="104">
        <f t="shared" ca="1" si="15"/>
        <v>27482.988455430885</v>
      </c>
      <c r="I61" s="104">
        <f t="shared" ca="1" si="15"/>
        <v>25418.514204379593</v>
      </c>
      <c r="J61" s="104">
        <f t="shared" ca="1" si="15"/>
        <v>23515.24575126934</v>
      </c>
      <c r="K61" s="104">
        <f t="shared" ca="1" si="15"/>
        <v>23203.234529447986</v>
      </c>
      <c r="L61" s="104">
        <f t="shared" ca="1" si="15"/>
        <v>23198.034342417628</v>
      </c>
      <c r="M61" s="104">
        <f t="shared" ca="1" si="15"/>
        <v>23203.234529447986</v>
      </c>
      <c r="N61" s="104">
        <f t="shared" ca="1" si="15"/>
        <v>23198.034342417628</v>
      </c>
      <c r="O61" s="104">
        <f t="shared" ca="1" si="15"/>
        <v>23203.234529447986</v>
      </c>
      <c r="P61" s="104">
        <f t="shared" ca="1" si="15"/>
        <v>23198.034342417628</v>
      </c>
      <c r="Q61" s="104">
        <f t="shared" ca="1" si="15"/>
        <v>23203.234529447986</v>
      </c>
      <c r="R61" s="104">
        <f t="shared" ca="1" si="15"/>
        <v>23198.034342417628</v>
      </c>
      <c r="S61" s="104">
        <f t="shared" ca="1" si="15"/>
        <v>23203.234529447986</v>
      </c>
      <c r="T61" s="104">
        <f t="shared" ca="1" si="15"/>
        <v>23198.034342417628</v>
      </c>
      <c r="U61" s="104">
        <f t="shared" ca="1" si="15"/>
        <v>23203.234529447986</v>
      </c>
      <c r="V61" s="104">
        <f t="shared" ca="1" si="15"/>
        <v>23198.034342417628</v>
      </c>
      <c r="W61" s="105">
        <f t="shared" ca="1" si="15"/>
        <v>11601.617264723993</v>
      </c>
      <c r="X61" s="102">
        <f t="shared" ca="1" si="3"/>
        <v>520018.7030355889</v>
      </c>
    </row>
    <row r="62" spans="1:24" ht="15" customHeight="1">
      <c r="A62" s="70">
        <f>IF('Cash Flow Analysis'!C78="","",'Cash Flow Analysis'!C78)</f>
        <v>13</v>
      </c>
      <c r="B62" s="1002">
        <f ca="1">IF(A62="","",IF(A62&lt;1,0,IF(A62=1,$B$44-'Cash Flow Analysis'!I78,-'Cash Flow Analysis'!I78)))</f>
        <v>529899.05839326524</v>
      </c>
      <c r="C62" s="103">
        <f t="shared" ref="C62:W62" ca="1" si="16">IF($B$62="","",IF(AND($B$42="Straight Line",C48&lt;=depr_length),$B$62/depr_length,IF(AND($B$42="MACRS",C48&lt;=depr_length+1),$B$62*INDEX(MACRS_Table,MATCH(C48,recovery_year,0),MATCH($B$43,recovery_period,0)),"")))</f>
        <v>19871.214689747445</v>
      </c>
      <c r="D62" s="104">
        <f t="shared" ca="1" si="16"/>
        <v>38253.41302540982</v>
      </c>
      <c r="E62" s="104">
        <f t="shared" ca="1" si="16"/>
        <v>35381.360128918321</v>
      </c>
      <c r="F62" s="104">
        <f t="shared" ca="1" si="16"/>
        <v>32731.864836951994</v>
      </c>
      <c r="G62" s="104">
        <f t="shared" ca="1" si="16"/>
        <v>30273.133206007242</v>
      </c>
      <c r="H62" s="104">
        <f t="shared" ca="1" si="16"/>
        <v>28005.165236084067</v>
      </c>
      <c r="I62" s="104">
        <f t="shared" ca="1" si="16"/>
        <v>25901.465974262806</v>
      </c>
      <c r="J62" s="104">
        <f t="shared" ca="1" si="16"/>
        <v>23962.035420543456</v>
      </c>
      <c r="K62" s="104">
        <f t="shared" ca="1" si="16"/>
        <v>23644.095985507494</v>
      </c>
      <c r="L62" s="104">
        <f t="shared" ca="1" si="16"/>
        <v>23638.796994923559</v>
      </c>
      <c r="M62" s="104">
        <f t="shared" ca="1" si="16"/>
        <v>23644.095985507494</v>
      </c>
      <c r="N62" s="104">
        <f t="shared" ca="1" si="16"/>
        <v>23638.796994923559</v>
      </c>
      <c r="O62" s="104">
        <f t="shared" ca="1" si="16"/>
        <v>23644.095985507494</v>
      </c>
      <c r="P62" s="104">
        <f t="shared" ca="1" si="16"/>
        <v>23638.796994923559</v>
      </c>
      <c r="Q62" s="104">
        <f t="shared" ca="1" si="16"/>
        <v>23644.095985507494</v>
      </c>
      <c r="R62" s="104">
        <f t="shared" ca="1" si="16"/>
        <v>23638.796994923559</v>
      </c>
      <c r="S62" s="104">
        <f t="shared" ca="1" si="16"/>
        <v>23644.095985507494</v>
      </c>
      <c r="T62" s="104">
        <f t="shared" ca="1" si="16"/>
        <v>23638.796994923559</v>
      </c>
      <c r="U62" s="104">
        <f t="shared" ca="1" si="16"/>
        <v>23644.095985507494</v>
      </c>
      <c r="V62" s="104">
        <f t="shared" ca="1" si="16"/>
        <v>23638.796994923559</v>
      </c>
      <c r="W62" s="105">
        <f t="shared" ca="1" si="16"/>
        <v>11822.047992753747</v>
      </c>
      <c r="X62" s="102">
        <f t="shared" ca="1" si="3"/>
        <v>529899.05839326512</v>
      </c>
    </row>
    <row r="63" spans="1:24" ht="15" customHeight="1">
      <c r="A63" s="70">
        <f>IF('Cash Flow Analysis'!C79="","",'Cash Flow Analysis'!C79)</f>
        <v>14</v>
      </c>
      <c r="B63" s="1002">
        <f ca="1">IF(A63="","",IF(A63&lt;1,0,IF(A63=1,$B$44-'Cash Flow Analysis'!I79,-'Cash Flow Analysis'!I79)))</f>
        <v>539967.14050273714</v>
      </c>
      <c r="C63" s="103">
        <f t="shared" ref="C63:W63" ca="1" si="17">IF($B$63="","",IF(AND($B$42="Straight Line",C48&lt;=depr_length),$B$63/depr_length,IF(AND($B$42="MACRS",C48&lt;=depr_length+1),$B$63*INDEX(MACRS_Table,MATCH(C48,recovery_year,0),MATCH($B$43,recovery_period,0)),"")))</f>
        <v>20248.767768852642</v>
      </c>
      <c r="D63" s="104">
        <f t="shared" ca="1" si="17"/>
        <v>38980.227872892596</v>
      </c>
      <c r="E63" s="104">
        <f t="shared" ca="1" si="17"/>
        <v>36053.605971367753</v>
      </c>
      <c r="F63" s="104">
        <f t="shared" ca="1" si="17"/>
        <v>33353.770268854074</v>
      </c>
      <c r="G63" s="104">
        <f t="shared" ca="1" si="17"/>
        <v>30848.322736921371</v>
      </c>
      <c r="H63" s="104">
        <f t="shared" ca="1" si="17"/>
        <v>28537.263375569659</v>
      </c>
      <c r="I63" s="104">
        <f t="shared" ca="1" si="17"/>
        <v>26393.593827773791</v>
      </c>
      <c r="J63" s="104">
        <f t="shared" ca="1" si="17"/>
        <v>24417.314093533776</v>
      </c>
      <c r="K63" s="104">
        <f t="shared" ca="1" si="17"/>
        <v>24093.333809232132</v>
      </c>
      <c r="L63" s="104">
        <f t="shared" ca="1" si="17"/>
        <v>24087.934137827102</v>
      </c>
      <c r="M63" s="104">
        <f t="shared" ca="1" si="17"/>
        <v>24093.333809232132</v>
      </c>
      <c r="N63" s="104">
        <f t="shared" ca="1" si="17"/>
        <v>24087.934137827102</v>
      </c>
      <c r="O63" s="104">
        <f t="shared" ca="1" si="17"/>
        <v>24093.333809232132</v>
      </c>
      <c r="P63" s="104">
        <f t="shared" ca="1" si="17"/>
        <v>24087.934137827102</v>
      </c>
      <c r="Q63" s="104">
        <f t="shared" ca="1" si="17"/>
        <v>24093.333809232132</v>
      </c>
      <c r="R63" s="104">
        <f t="shared" ca="1" si="17"/>
        <v>24087.934137827102</v>
      </c>
      <c r="S63" s="104">
        <f t="shared" ca="1" si="17"/>
        <v>24093.333809232132</v>
      </c>
      <c r="T63" s="104">
        <f t="shared" ca="1" si="17"/>
        <v>24087.934137827102</v>
      </c>
      <c r="U63" s="104">
        <f t="shared" ca="1" si="17"/>
        <v>24093.333809232132</v>
      </c>
      <c r="V63" s="104">
        <f t="shared" ca="1" si="17"/>
        <v>24087.934137827102</v>
      </c>
      <c r="W63" s="105">
        <f t="shared" ca="1" si="17"/>
        <v>12046.666904616066</v>
      </c>
      <c r="X63" s="102">
        <f t="shared" ca="1" si="3"/>
        <v>539967.1405027369</v>
      </c>
    </row>
    <row r="64" spans="1:24" ht="15" customHeight="1">
      <c r="A64" s="70">
        <f>IF('Cash Flow Analysis'!C80="","",'Cash Flow Analysis'!C80)</f>
        <v>15</v>
      </c>
      <c r="B64" s="1002">
        <f ca="1">IF(A64="","",IF(A64&lt;1,0,IF(A64=1,$B$44-'Cash Flow Analysis'!I80,-'Cash Flow Analysis'!I80)))</f>
        <v>12174730.378967132</v>
      </c>
      <c r="C64" s="103">
        <f t="shared" ref="C64:W64" ca="1" si="18">IF($B$64="","",IF(AND($B$42="Straight Line",C48&lt;=depr_length),$B$64/depr_length,IF(AND($B$42="MACRS",C48&lt;=depr_length+1),$B$64*INDEX(MACRS_Table,MATCH(C48,recovery_year,0),MATCH($B$43,recovery_period,0)),"")))</f>
        <v>456552.38921126747</v>
      </c>
      <c r="D64" s="104">
        <f t="shared" ca="1" si="18"/>
        <v>878893.78605763731</v>
      </c>
      <c r="E64" s="104">
        <f t="shared" ca="1" si="18"/>
        <v>812906.74740363541</v>
      </c>
      <c r="F64" s="104">
        <f t="shared" ca="1" si="18"/>
        <v>752033.09550879977</v>
      </c>
      <c r="G64" s="104">
        <f t="shared" ca="1" si="18"/>
        <v>695542.34655039222</v>
      </c>
      <c r="H64" s="104">
        <f t="shared" ca="1" si="18"/>
        <v>643434.50052841299</v>
      </c>
      <c r="I64" s="104">
        <f t="shared" ca="1" si="18"/>
        <v>595100.82092391339</v>
      </c>
      <c r="J64" s="104">
        <f t="shared" ca="1" si="18"/>
        <v>550541.30773689377</v>
      </c>
      <c r="K64" s="104">
        <f t="shared" ca="1" si="18"/>
        <v>543236.46950951347</v>
      </c>
      <c r="L64" s="104">
        <f t="shared" ca="1" si="18"/>
        <v>543114.72220572375</v>
      </c>
      <c r="M64" s="104">
        <f t="shared" ca="1" si="18"/>
        <v>543236.46950951347</v>
      </c>
      <c r="N64" s="104">
        <f t="shared" ca="1" si="18"/>
        <v>543114.72220572375</v>
      </c>
      <c r="O64" s="104">
        <f t="shared" ca="1" si="18"/>
        <v>543236.46950951347</v>
      </c>
      <c r="P64" s="104">
        <f t="shared" ca="1" si="18"/>
        <v>543114.72220572375</v>
      </c>
      <c r="Q64" s="104">
        <f t="shared" ca="1" si="18"/>
        <v>543236.46950951347</v>
      </c>
      <c r="R64" s="104">
        <f t="shared" ca="1" si="18"/>
        <v>543114.72220572375</v>
      </c>
      <c r="S64" s="104">
        <f t="shared" ca="1" si="18"/>
        <v>543236.46950951347</v>
      </c>
      <c r="T64" s="104">
        <f t="shared" ca="1" si="18"/>
        <v>543114.72220572375</v>
      </c>
      <c r="U64" s="104">
        <f t="shared" ca="1" si="18"/>
        <v>543236.46950951347</v>
      </c>
      <c r="V64" s="104">
        <f t="shared" ca="1" si="18"/>
        <v>543114.72220572375</v>
      </c>
      <c r="W64" s="105">
        <f t="shared" ca="1" si="18"/>
        <v>271618.23475475673</v>
      </c>
      <c r="X64" s="102">
        <f t="shared" ca="1" si="3"/>
        <v>12174730.378967134</v>
      </c>
    </row>
    <row r="65" spans="1:24" ht="15" customHeight="1">
      <c r="A65" s="70">
        <f>IF('Cash Flow Analysis'!C81="","",'Cash Flow Analysis'!C81)</f>
        <v>16</v>
      </c>
      <c r="B65" s="1002">
        <f ca="1">IF(A65="","",IF(A65&lt;1,0,IF(A65=1,$B$44-'Cash Flow Analysis'!I81,-'Cash Flow Analysis'!I81)))</f>
        <v>560680.81997956266</v>
      </c>
      <c r="C65" s="103">
        <f t="shared" ref="C65:W65" ca="1" si="19">IF($B$65="","",IF(AND($B$42="Straight Line",C48&lt;=depr_length),$B$65/depr_length,IF(AND($B$42="MACRS",C48&lt;=depr_length+1),$B$65*INDEX(MACRS_Table,MATCH(C48,recovery_year,0),MATCH($B$43,recovery_period,0)),"")))</f>
        <v>21025.5307492336</v>
      </c>
      <c r="D65" s="104">
        <f t="shared" ca="1" si="19"/>
        <v>40475.548394324629</v>
      </c>
      <c r="E65" s="104">
        <f t="shared" ca="1" si="19"/>
        <v>37436.658350035395</v>
      </c>
      <c r="F65" s="104">
        <f t="shared" ca="1" si="19"/>
        <v>34633.254250137586</v>
      </c>
      <c r="G65" s="104">
        <f t="shared" ca="1" si="19"/>
        <v>32031.695245432416</v>
      </c>
      <c r="H65" s="104">
        <f t="shared" ca="1" si="19"/>
        <v>29631.981335919889</v>
      </c>
      <c r="I65" s="104">
        <f t="shared" ca="1" si="19"/>
        <v>27406.078480601023</v>
      </c>
      <c r="J65" s="104">
        <f t="shared" ca="1" si="19"/>
        <v>25353.986679475824</v>
      </c>
      <c r="K65" s="104">
        <f t="shared" ca="1" si="19"/>
        <v>25017.578187488085</v>
      </c>
      <c r="L65" s="104">
        <f t="shared" ca="1" si="19"/>
        <v>25011.971379288287</v>
      </c>
      <c r="M65" s="104">
        <f t="shared" ca="1" si="19"/>
        <v>25017.578187488085</v>
      </c>
      <c r="N65" s="104">
        <f t="shared" ca="1" si="19"/>
        <v>25011.971379288287</v>
      </c>
      <c r="O65" s="104">
        <f t="shared" ca="1" si="19"/>
        <v>25017.578187488085</v>
      </c>
      <c r="P65" s="104">
        <f t="shared" ca="1" si="19"/>
        <v>25011.971379288287</v>
      </c>
      <c r="Q65" s="104">
        <f t="shared" ca="1" si="19"/>
        <v>25017.578187488085</v>
      </c>
      <c r="R65" s="104">
        <f t="shared" ca="1" si="19"/>
        <v>25011.971379288287</v>
      </c>
      <c r="S65" s="104">
        <f t="shared" ca="1" si="19"/>
        <v>25017.578187488085</v>
      </c>
      <c r="T65" s="104">
        <f t="shared" ca="1" si="19"/>
        <v>25011.971379288287</v>
      </c>
      <c r="U65" s="104">
        <f t="shared" ca="1" si="19"/>
        <v>25017.578187488085</v>
      </c>
      <c r="V65" s="104">
        <f t="shared" ca="1" si="19"/>
        <v>25011.971379288287</v>
      </c>
      <c r="W65" s="105">
        <f t="shared" ca="1" si="19"/>
        <v>12508.789093744042</v>
      </c>
      <c r="X65" s="102">
        <f t="shared" ca="1" si="3"/>
        <v>560680.81997956254</v>
      </c>
    </row>
    <row r="66" spans="1:24" ht="15" customHeight="1">
      <c r="A66" s="70">
        <f>IF('Cash Flow Analysis'!C82="","",'Cash Flow Analysis'!C82)</f>
        <v>17</v>
      </c>
      <c r="B66" s="1002">
        <f ca="1">IF(A66="","",IF(A66&lt;1,0,IF(A66=1,$B$44-'Cash Flow Analysis'!I82,-'Cash Flow Analysis'!I82)))</f>
        <v>571333.75555917434</v>
      </c>
      <c r="C66" s="103">
        <f t="shared" ref="C66:W66" ca="1" si="20">IF($B$66="","",IF(AND($B$42="Straight Line",C48&lt;=depr_length),$B$66/depr_length,IF(AND($B$42="MACRS",C48&lt;=depr_length+1),$B$66*INDEX(MACRS_Table,MATCH(C48,recovery_year,0),MATCH($B$43,recovery_period,0)),"")))</f>
        <v>21425.015833469039</v>
      </c>
      <c r="D66" s="104">
        <f t="shared" ca="1" si="20"/>
        <v>41244.583813816796</v>
      </c>
      <c r="E66" s="104">
        <f t="shared" ca="1" si="20"/>
        <v>38147.954858686069</v>
      </c>
      <c r="F66" s="104">
        <f t="shared" ca="1" si="20"/>
        <v>35291.286080890197</v>
      </c>
      <c r="G66" s="104">
        <f t="shared" ca="1" si="20"/>
        <v>32640.297455095631</v>
      </c>
      <c r="H66" s="104">
        <f t="shared" ca="1" si="20"/>
        <v>30194.988981302366</v>
      </c>
      <c r="I66" s="104">
        <f t="shared" ca="1" si="20"/>
        <v>27926.793971732441</v>
      </c>
      <c r="J66" s="104">
        <f t="shared" ca="1" si="20"/>
        <v>25835.712426385864</v>
      </c>
      <c r="K66" s="104">
        <f t="shared" ca="1" si="20"/>
        <v>25492.912173050358</v>
      </c>
      <c r="L66" s="104">
        <f t="shared" ca="1" si="20"/>
        <v>25487.198835494764</v>
      </c>
      <c r="M66" s="104">
        <f t="shared" ca="1" si="20"/>
        <v>25492.912173050358</v>
      </c>
      <c r="N66" s="104">
        <f t="shared" ca="1" si="20"/>
        <v>25487.198835494764</v>
      </c>
      <c r="O66" s="104">
        <f t="shared" ca="1" si="20"/>
        <v>25492.912173050358</v>
      </c>
      <c r="P66" s="104">
        <f t="shared" ca="1" si="20"/>
        <v>25487.198835494764</v>
      </c>
      <c r="Q66" s="104">
        <f t="shared" ca="1" si="20"/>
        <v>25492.912173050358</v>
      </c>
      <c r="R66" s="104">
        <f t="shared" ca="1" si="20"/>
        <v>25487.198835494764</v>
      </c>
      <c r="S66" s="104">
        <f t="shared" ca="1" si="20"/>
        <v>25492.912173050358</v>
      </c>
      <c r="T66" s="104">
        <f t="shared" ca="1" si="20"/>
        <v>25487.198835494764</v>
      </c>
      <c r="U66" s="104">
        <f t="shared" ca="1" si="20"/>
        <v>25492.912173050358</v>
      </c>
      <c r="V66" s="104">
        <f t="shared" ca="1" si="20"/>
        <v>25487.198835494764</v>
      </c>
      <c r="W66" s="105">
        <f t="shared" ca="1" si="20"/>
        <v>12746.456086525179</v>
      </c>
      <c r="X66" s="102">
        <f t="shared" ca="1" si="3"/>
        <v>571333.75555917423</v>
      </c>
    </row>
    <row r="67" spans="1:24" ht="15" customHeight="1">
      <c r="A67" s="70">
        <f>IF('Cash Flow Analysis'!C83="","",'Cash Flow Analysis'!C83)</f>
        <v>18</v>
      </c>
      <c r="B67" s="1002">
        <f ca="1">IF(A67="","",IF(A67&lt;1,0,IF(A67=1,$B$44-'Cash Flow Analysis'!I83,-'Cash Flow Analysis'!I83)))</f>
        <v>582189.09691479872</v>
      </c>
      <c r="C67" s="103">
        <f t="shared" ref="C67:W67" ca="1" si="21">IF($B$67="","",IF(AND($B$42="Straight Line",C48&lt;=depr_length),$B$67/depr_length,IF(AND($B$42="MACRS",C48&lt;=depr_length+1),$B$67*INDEX(MACRS_Table,MATCH(C48,recovery_year,0),MATCH($B$43,recovery_period,0)),"")))</f>
        <v>21832.091134304952</v>
      </c>
      <c r="D67" s="104">
        <f t="shared" ca="1" si="21"/>
        <v>42028.230906279321</v>
      </c>
      <c r="E67" s="104">
        <f t="shared" ca="1" si="21"/>
        <v>38872.76600100111</v>
      </c>
      <c r="F67" s="104">
        <f t="shared" ca="1" si="21"/>
        <v>35961.820516427113</v>
      </c>
      <c r="G67" s="104">
        <f t="shared" ca="1" si="21"/>
        <v>33260.463106742449</v>
      </c>
      <c r="H67" s="104">
        <f t="shared" ca="1" si="21"/>
        <v>30768.693771947113</v>
      </c>
      <c r="I67" s="104">
        <f t="shared" ca="1" si="21"/>
        <v>28457.403057195363</v>
      </c>
      <c r="J67" s="104">
        <f t="shared" ca="1" si="21"/>
        <v>26326.5909624872</v>
      </c>
      <c r="K67" s="104">
        <f t="shared" ca="1" si="21"/>
        <v>25977.277504338319</v>
      </c>
      <c r="L67" s="104">
        <f t="shared" ca="1" si="21"/>
        <v>25971.455613369169</v>
      </c>
      <c r="M67" s="104">
        <f t="shared" ca="1" si="21"/>
        <v>25977.277504338319</v>
      </c>
      <c r="N67" s="104">
        <f t="shared" ca="1" si="21"/>
        <v>25971.455613369169</v>
      </c>
      <c r="O67" s="104">
        <f t="shared" ca="1" si="21"/>
        <v>25977.277504338319</v>
      </c>
      <c r="P67" s="104">
        <f t="shared" ca="1" si="21"/>
        <v>25971.455613369169</v>
      </c>
      <c r="Q67" s="104">
        <f t="shared" ca="1" si="21"/>
        <v>25977.277504338319</v>
      </c>
      <c r="R67" s="104">
        <f t="shared" ca="1" si="21"/>
        <v>25971.455613369169</v>
      </c>
      <c r="S67" s="104">
        <f t="shared" ca="1" si="21"/>
        <v>25977.277504338319</v>
      </c>
      <c r="T67" s="104">
        <f t="shared" ca="1" si="21"/>
        <v>25971.455613369169</v>
      </c>
      <c r="U67" s="104">
        <f t="shared" ca="1" si="21"/>
        <v>25977.277504338319</v>
      </c>
      <c r="V67" s="104">
        <f t="shared" ca="1" si="21"/>
        <v>25971.455613369169</v>
      </c>
      <c r="W67" s="105">
        <f t="shared" ca="1" si="21"/>
        <v>12988.638752169159</v>
      </c>
      <c r="X67" s="102">
        <f t="shared" ca="1" si="3"/>
        <v>582189.09691479872</v>
      </c>
    </row>
    <row r="68" spans="1:24" ht="15" customHeight="1">
      <c r="A68" s="70">
        <f>IF('Cash Flow Analysis'!C84="","",'Cash Flow Analysis'!C84)</f>
        <v>19</v>
      </c>
      <c r="B68" s="1002">
        <f ca="1">IF(A68="","",IF(A68&lt;1,0,IF(A68=1,$B$44-'Cash Flow Analysis'!I84,-'Cash Flow Analysis'!I84)))</f>
        <v>593250.68975617969</v>
      </c>
      <c r="C68" s="103">
        <f t="shared" ref="C68:W68" ca="1" si="22">IF($B$68="","",IF(AND($B$42="Straight Line",C48&lt;=depr_length),$B$68/depr_length,IF(AND($B$42="MACRS",C48&lt;=depr_length+1),$B$68*INDEX(MACRS_Table,MATCH(C48,recovery_year,0),MATCH($B$43,recovery_period,0)),"")))</f>
        <v>22246.900865856736</v>
      </c>
      <c r="D68" s="104">
        <f t="shared" ca="1" si="22"/>
        <v>42826.767293498611</v>
      </c>
      <c r="E68" s="104">
        <f t="shared" ca="1" si="22"/>
        <v>39611.348555020115</v>
      </c>
      <c r="F68" s="104">
        <f t="shared" ca="1" si="22"/>
        <v>36645.09510623922</v>
      </c>
      <c r="G68" s="104">
        <f t="shared" ca="1" si="22"/>
        <v>33892.411905770547</v>
      </c>
      <c r="H68" s="104">
        <f t="shared" ca="1" si="22"/>
        <v>31353.298953614096</v>
      </c>
      <c r="I68" s="104">
        <f t="shared" ca="1" si="22"/>
        <v>28998.093715282062</v>
      </c>
      <c r="J68" s="104">
        <f t="shared" ca="1" si="22"/>
        <v>26826.796190774447</v>
      </c>
      <c r="K68" s="104">
        <f t="shared" ca="1" si="22"/>
        <v>26470.845776920738</v>
      </c>
      <c r="L68" s="104">
        <f t="shared" ca="1" si="22"/>
        <v>26464.913270023175</v>
      </c>
      <c r="M68" s="104">
        <f t="shared" ca="1" si="22"/>
        <v>26470.845776920738</v>
      </c>
      <c r="N68" s="104">
        <f t="shared" ca="1" si="22"/>
        <v>26464.913270023175</v>
      </c>
      <c r="O68" s="104">
        <f t="shared" ca="1" si="22"/>
        <v>26470.845776920738</v>
      </c>
      <c r="P68" s="104">
        <f t="shared" ca="1" si="22"/>
        <v>26464.913270023175</v>
      </c>
      <c r="Q68" s="104">
        <f t="shared" ca="1" si="22"/>
        <v>26470.845776920738</v>
      </c>
      <c r="R68" s="104">
        <f t="shared" ca="1" si="22"/>
        <v>26464.913270023175</v>
      </c>
      <c r="S68" s="104">
        <f t="shared" ca="1" si="22"/>
        <v>26470.845776920738</v>
      </c>
      <c r="T68" s="104">
        <f t="shared" ca="1" si="22"/>
        <v>26464.913270023175</v>
      </c>
      <c r="U68" s="104">
        <f t="shared" ca="1" si="22"/>
        <v>26470.845776920738</v>
      </c>
      <c r="V68" s="104">
        <f t="shared" ca="1" si="22"/>
        <v>26464.913270023175</v>
      </c>
      <c r="W68" s="105">
        <f t="shared" ca="1" si="22"/>
        <v>13235.422888460369</v>
      </c>
      <c r="X68" s="102">
        <f t="shared" ca="1" si="3"/>
        <v>593250.68975617969</v>
      </c>
    </row>
    <row r="69" spans="1:24" ht="15" customHeight="1">
      <c r="A69" s="70">
        <f>IF('Cash Flow Analysis'!C85="","",'Cash Flow Analysis'!C85)</f>
        <v>20</v>
      </c>
      <c r="B69" s="1002">
        <f ca="1">IF(A69="","",IF(A69&lt;1,0,IF(A69=1,$B$44-'Cash Flow Analysis'!I85,-'Cash Flow Analysis'!I85)))</f>
        <v>604522.45286154724</v>
      </c>
      <c r="C69" s="103">
        <f t="shared" ref="C69:W69" ca="1" si="23">IF($B$69="","",IF(AND($B$42="Straight Line",C48&lt;=depr_length),$B$69/depr_length,IF(AND($B$42="MACRS",C48&lt;=depr_length+1),$B$69*INDEX(MACRS_Table,MATCH(C48,recovery_year,0),MATCH($B$43,recovery_period,0)),"")))</f>
        <v>22669.591982308022</v>
      </c>
      <c r="D69" s="104">
        <f t="shared" ca="1" si="23"/>
        <v>43640.475872075098</v>
      </c>
      <c r="E69" s="104">
        <f t="shared" ca="1" si="23"/>
        <v>40363.964177565504</v>
      </c>
      <c r="F69" s="104">
        <f t="shared" ca="1" si="23"/>
        <v>37341.351913257771</v>
      </c>
      <c r="G69" s="104">
        <f t="shared" ca="1" si="23"/>
        <v>34536.367731980194</v>
      </c>
      <c r="H69" s="104">
        <f t="shared" ca="1" si="23"/>
        <v>31949.011633732771</v>
      </c>
      <c r="I69" s="104">
        <f t="shared" ca="1" si="23"/>
        <v>29549.057495872428</v>
      </c>
      <c r="J69" s="104">
        <f t="shared" ca="1" si="23"/>
        <v>27336.505318399169</v>
      </c>
      <c r="K69" s="104">
        <f t="shared" ca="1" si="23"/>
        <v>26973.791846682238</v>
      </c>
      <c r="L69" s="104">
        <f t="shared" ca="1" si="23"/>
        <v>26967.74662215362</v>
      </c>
      <c r="M69" s="104">
        <f t="shared" ca="1" si="23"/>
        <v>26973.791846682238</v>
      </c>
      <c r="N69" s="104">
        <f t="shared" ca="1" si="23"/>
        <v>26967.74662215362</v>
      </c>
      <c r="O69" s="104">
        <f t="shared" ca="1" si="23"/>
        <v>26973.791846682238</v>
      </c>
      <c r="P69" s="104">
        <f t="shared" ca="1" si="23"/>
        <v>26967.74662215362</v>
      </c>
      <c r="Q69" s="104">
        <f t="shared" ca="1" si="23"/>
        <v>26973.791846682238</v>
      </c>
      <c r="R69" s="104">
        <f t="shared" ca="1" si="23"/>
        <v>26967.74662215362</v>
      </c>
      <c r="S69" s="104">
        <f t="shared" ca="1" si="23"/>
        <v>26973.791846682238</v>
      </c>
      <c r="T69" s="104">
        <f t="shared" ca="1" si="23"/>
        <v>26967.74662215362</v>
      </c>
      <c r="U69" s="104">
        <f t="shared" ca="1" si="23"/>
        <v>26973.791846682238</v>
      </c>
      <c r="V69" s="104">
        <f t="shared" ca="1" si="23"/>
        <v>26967.74662215362</v>
      </c>
      <c r="W69" s="105">
        <f t="shared" ca="1" si="23"/>
        <v>13486.895923341119</v>
      </c>
      <c r="X69" s="102">
        <f t="shared" ca="1" si="3"/>
        <v>604522.45286154735</v>
      </c>
    </row>
    <row r="70" spans="1:24" ht="15" customHeight="1">
      <c r="A70" s="70">
        <f>IF('Cash Flow Analysis'!C86="","",'Cash Flow Analysis'!C86)</f>
        <v>21</v>
      </c>
      <c r="B70" s="1002">
        <f ca="1">IF(A70="","",IF(A70&lt;1,0,IF(A70=1,$B$44-'Cash Flow Analysis'!I86,-'Cash Flow Analysis'!I86)))</f>
        <v>616008.37946591654</v>
      </c>
      <c r="C70" s="103">
        <f t="shared" ref="C70:W70" ca="1" si="24">IF($B$70="","",IF(AND($B$42="Straight Line",C48&lt;=depr_length),$B$70/depr_length,IF(AND($B$42="MACRS",C48&lt;=depr_length+1),$B$70*INDEX(MACRS_Table,MATCH(C48,recovery_year,0),MATCH($B$43,recovery_period,0)),"")))</f>
        <v>23100.314229971871</v>
      </c>
      <c r="D70" s="104">
        <f t="shared" ca="1" si="24"/>
        <v>44469.644913644515</v>
      </c>
      <c r="E70" s="104">
        <f t="shared" ca="1" si="24"/>
        <v>41130.879496939247</v>
      </c>
      <c r="F70" s="104">
        <f t="shared" ca="1" si="24"/>
        <v>38050.837599609666</v>
      </c>
      <c r="G70" s="104">
        <f t="shared" ca="1" si="24"/>
        <v>35192.558718887813</v>
      </c>
      <c r="H70" s="104">
        <f t="shared" ca="1" si="24"/>
        <v>32556.042854773688</v>
      </c>
      <c r="I70" s="104">
        <f t="shared" ca="1" si="24"/>
        <v>30110.489588294</v>
      </c>
      <c r="J70" s="104">
        <f t="shared" ca="1" si="24"/>
        <v>27855.898919448748</v>
      </c>
      <c r="K70" s="104">
        <f t="shared" ca="1" si="24"/>
        <v>27486.293891769197</v>
      </c>
      <c r="L70" s="104">
        <f t="shared" ca="1" si="24"/>
        <v>27480.133807974536</v>
      </c>
      <c r="M70" s="104">
        <f t="shared" ca="1" si="24"/>
        <v>27486.293891769197</v>
      </c>
      <c r="N70" s="104">
        <f t="shared" ca="1" si="24"/>
        <v>27480.133807974536</v>
      </c>
      <c r="O70" s="104">
        <f t="shared" ca="1" si="24"/>
        <v>27486.293891769197</v>
      </c>
      <c r="P70" s="104">
        <f t="shared" ca="1" si="24"/>
        <v>27480.133807974536</v>
      </c>
      <c r="Q70" s="104">
        <f t="shared" ca="1" si="24"/>
        <v>27486.293891769197</v>
      </c>
      <c r="R70" s="104">
        <f t="shared" ca="1" si="24"/>
        <v>27480.133807974536</v>
      </c>
      <c r="S70" s="104">
        <f t="shared" ca="1" si="24"/>
        <v>27486.293891769197</v>
      </c>
      <c r="T70" s="104">
        <f t="shared" ca="1" si="24"/>
        <v>27480.133807974536</v>
      </c>
      <c r="U70" s="104">
        <f t="shared" ca="1" si="24"/>
        <v>27486.293891769197</v>
      </c>
      <c r="V70" s="104">
        <f t="shared" ca="1" si="24"/>
        <v>27480.133807974536</v>
      </c>
      <c r="W70" s="105">
        <f t="shared" ca="1" si="24"/>
        <v>13743.146945884599</v>
      </c>
      <c r="X70" s="102">
        <f t="shared" ca="1" si="3"/>
        <v>616008.37946591643</v>
      </c>
    </row>
    <row r="71" spans="1:24" ht="15" customHeight="1">
      <c r="A71" s="70">
        <f>IF('Cash Flow Analysis'!C87="","",'Cash Flow Analysis'!C87)</f>
        <v>22</v>
      </c>
      <c r="B71" s="1002">
        <f ca="1">IF(A71="","",IF(A71&lt;1,0,IF(A71=1,$B$44-'Cash Flow Analysis'!I87,-'Cash Flow Analysis'!I87)))</f>
        <v>13889245.045910323</v>
      </c>
      <c r="C71" s="103">
        <f t="shared" ref="C71:W71" ca="1" si="25">IF($B$71="","",IF(AND($B$42="Straight Line",C48&lt;=depr_length),$B$71/depr_length,IF(AND($B$42="MACRS",C48&lt;=depr_length+1),$B$71*INDEX(MACRS_Table,MATCH(C48,recovery_year,0),MATCH($B$43,recovery_period,0)),"")))</f>
        <v>520846.68922163709</v>
      </c>
      <c r="D71" s="104">
        <f t="shared" ca="1" si="25"/>
        <v>1002664.5998642662</v>
      </c>
      <c r="E71" s="104">
        <f t="shared" ca="1" si="25"/>
        <v>927384.89171543217</v>
      </c>
      <c r="F71" s="104">
        <f t="shared" ca="1" si="25"/>
        <v>857938.66648588062</v>
      </c>
      <c r="G71" s="104">
        <f t="shared" ca="1" si="25"/>
        <v>793492.5694728567</v>
      </c>
      <c r="H71" s="104">
        <f t="shared" ca="1" si="25"/>
        <v>734046.60067636054</v>
      </c>
      <c r="I71" s="104">
        <f t="shared" ca="1" si="25"/>
        <v>678906.29784409655</v>
      </c>
      <c r="J71" s="104">
        <f t="shared" ca="1" si="25"/>
        <v>628071.66097606486</v>
      </c>
      <c r="K71" s="104">
        <f t="shared" ca="1" si="25"/>
        <v>619738.11394851864</v>
      </c>
      <c r="L71" s="104">
        <f t="shared" ca="1" si="25"/>
        <v>619599.22149805946</v>
      </c>
      <c r="M71" s="104">
        <f t="shared" ca="1" si="25"/>
        <v>619738.11394851864</v>
      </c>
      <c r="N71" s="104">
        <f t="shared" ca="1" si="25"/>
        <v>619599.22149805946</v>
      </c>
      <c r="O71" s="104">
        <f t="shared" ca="1" si="25"/>
        <v>619738.11394851864</v>
      </c>
      <c r="P71" s="104">
        <f t="shared" ca="1" si="25"/>
        <v>619599.22149805946</v>
      </c>
      <c r="Q71" s="104">
        <f t="shared" ca="1" si="25"/>
        <v>619738.11394851864</v>
      </c>
      <c r="R71" s="104">
        <f t="shared" ca="1" si="25"/>
        <v>619599.22149805946</v>
      </c>
      <c r="S71" s="104">
        <f t="shared" ca="1" si="25"/>
        <v>619738.11394851864</v>
      </c>
      <c r="T71" s="104">
        <f t="shared" ca="1" si="25"/>
        <v>619599.22149805946</v>
      </c>
      <c r="U71" s="104">
        <f t="shared" ca="1" si="25"/>
        <v>619738.11394851864</v>
      </c>
      <c r="V71" s="104">
        <f t="shared" ca="1" si="25"/>
        <v>619599.22149805946</v>
      </c>
      <c r="W71" s="105">
        <f t="shared" ca="1" si="25"/>
        <v>309869.05697425932</v>
      </c>
      <c r="X71" s="102">
        <f t="shared" ca="1" si="3"/>
        <v>13889245.045910321</v>
      </c>
    </row>
    <row r="72" spans="1:24" ht="15" customHeight="1">
      <c r="A72" s="70">
        <f>IF('Cash Flow Analysis'!C88="","",'Cash Flow Analysis'!C88)</f>
        <v>23</v>
      </c>
      <c r="B72" s="1002">
        <f ca="1">IF(A72="","",IF(A72&lt;1,0,IF(A72=1,$B$44-'Cash Flow Analysis'!I88,-'Cash Flow Analysis'!I88)))</f>
        <v>639639.07691060856</v>
      </c>
      <c r="C72" s="103">
        <f t="shared" ref="C72:W72" ca="1" si="26">IF($B$72="","",IF(AND($B$42="Straight Line",C48&lt;=depr_length),$B$72/depr_length,IF(AND($B$42="MACRS",C48&lt;=depr_length+1),$B$72*INDEX(MACRS_Table,MATCH(C48,recovery_year,0),MATCH($B$43,recovery_period,0)),"")))</f>
        <v>23986.465384147821</v>
      </c>
      <c r="D72" s="104">
        <f t="shared" ca="1" si="26"/>
        <v>46175.544962176835</v>
      </c>
      <c r="E72" s="104">
        <f t="shared" ca="1" si="26"/>
        <v>42708.701165321334</v>
      </c>
      <c r="F72" s="104">
        <f t="shared" ca="1" si="26"/>
        <v>39510.50578076829</v>
      </c>
      <c r="G72" s="104">
        <f t="shared" ca="1" si="26"/>
        <v>36542.580463903068</v>
      </c>
      <c r="H72" s="104">
        <f t="shared" ca="1" si="26"/>
        <v>33804.925214725663</v>
      </c>
      <c r="I72" s="104">
        <f t="shared" ca="1" si="26"/>
        <v>31265.558079390546</v>
      </c>
      <c r="J72" s="104">
        <f t="shared" ca="1" si="26"/>
        <v>28924.479057897723</v>
      </c>
      <c r="K72" s="104">
        <f t="shared" ca="1" si="26"/>
        <v>28540.695611751355</v>
      </c>
      <c r="L72" s="104">
        <f t="shared" ca="1" si="26"/>
        <v>28534.299220982248</v>
      </c>
      <c r="M72" s="104">
        <f t="shared" ca="1" si="26"/>
        <v>28540.695611751355</v>
      </c>
      <c r="N72" s="104">
        <f t="shared" ca="1" si="26"/>
        <v>28534.299220982248</v>
      </c>
      <c r="O72" s="104">
        <f t="shared" ca="1" si="26"/>
        <v>28540.695611751355</v>
      </c>
      <c r="P72" s="104">
        <f t="shared" ca="1" si="26"/>
        <v>28534.299220982248</v>
      </c>
      <c r="Q72" s="104">
        <f t="shared" ca="1" si="26"/>
        <v>28540.695611751355</v>
      </c>
      <c r="R72" s="104">
        <f t="shared" ca="1" si="26"/>
        <v>28534.299220982248</v>
      </c>
      <c r="S72" s="104">
        <f t="shared" ca="1" si="26"/>
        <v>28540.695611751355</v>
      </c>
      <c r="T72" s="104">
        <f t="shared" ca="1" si="26"/>
        <v>28534.299220982248</v>
      </c>
      <c r="U72" s="104">
        <f t="shared" ca="1" si="26"/>
        <v>28540.695611751355</v>
      </c>
      <c r="V72" s="104">
        <f t="shared" ca="1" si="26"/>
        <v>28534.299220982248</v>
      </c>
      <c r="W72" s="105">
        <f t="shared" ca="1" si="26"/>
        <v>14270.347805875677</v>
      </c>
      <c r="X72" s="102">
        <f t="shared" ca="1" si="3"/>
        <v>639639.07691060856</v>
      </c>
    </row>
    <row r="73" spans="1:24" ht="15" customHeight="1">
      <c r="A73" s="70">
        <f>IF('Cash Flow Analysis'!C89="","",'Cash Flow Analysis'!C89)</f>
        <v>24</v>
      </c>
      <c r="B73" s="1002">
        <f ca="1">IF(A73="","",IF(A73&lt;1,0,IF(A73=1,$B$44-'Cash Flow Analysis'!I89,-'Cash Flow Analysis'!I89)))</f>
        <v>651792.21937191009</v>
      </c>
      <c r="C73" s="103">
        <f t="shared" ref="C73:W73" ca="1" si="27">IF($B$73="","",IF(AND($B$42="Straight Line",C48&lt;=depr_length),$B$73/depr_length,IF(AND($B$42="MACRS",C48&lt;=depr_length+1),$B$73*INDEX(MACRS_Table,MATCH(C48,recovery_year,0),MATCH($B$43,recovery_period,0)),"")))</f>
        <v>24442.208226446626</v>
      </c>
      <c r="D73" s="104">
        <f t="shared" ca="1" si="27"/>
        <v>47052.880316458191</v>
      </c>
      <c r="E73" s="104">
        <f t="shared" ca="1" si="27"/>
        <v>43520.166487462433</v>
      </c>
      <c r="F73" s="104">
        <f t="shared" ca="1" si="27"/>
        <v>40261.205390602889</v>
      </c>
      <c r="G73" s="104">
        <f t="shared" ca="1" si="27"/>
        <v>37236.889492717222</v>
      </c>
      <c r="H73" s="104">
        <f t="shared" ca="1" si="27"/>
        <v>34447.218793805449</v>
      </c>
      <c r="I73" s="104">
        <f t="shared" ca="1" si="27"/>
        <v>31859.603682898964</v>
      </c>
      <c r="J73" s="104">
        <f t="shared" ca="1" si="27"/>
        <v>29474.044159997775</v>
      </c>
      <c r="K73" s="104">
        <f t="shared" ca="1" si="27"/>
        <v>29082.968828374629</v>
      </c>
      <c r="L73" s="104">
        <f t="shared" ca="1" si="27"/>
        <v>29076.450906180908</v>
      </c>
      <c r="M73" s="104">
        <f t="shared" ca="1" si="27"/>
        <v>29082.968828374629</v>
      </c>
      <c r="N73" s="104">
        <f t="shared" ca="1" si="27"/>
        <v>29076.450906180908</v>
      </c>
      <c r="O73" s="104">
        <f t="shared" ca="1" si="27"/>
        <v>29082.968828374629</v>
      </c>
      <c r="P73" s="104">
        <f t="shared" ca="1" si="27"/>
        <v>29076.450906180908</v>
      </c>
      <c r="Q73" s="104">
        <f t="shared" ca="1" si="27"/>
        <v>29082.968828374629</v>
      </c>
      <c r="R73" s="104">
        <f t="shared" ca="1" si="27"/>
        <v>29076.450906180908</v>
      </c>
      <c r="S73" s="104">
        <f t="shared" ca="1" si="27"/>
        <v>29082.968828374629</v>
      </c>
      <c r="T73" s="104">
        <f t="shared" ca="1" si="27"/>
        <v>29076.450906180908</v>
      </c>
      <c r="U73" s="104">
        <f t="shared" ca="1" si="27"/>
        <v>29082.968828374629</v>
      </c>
      <c r="V73" s="104">
        <f t="shared" ca="1" si="27"/>
        <v>29076.450906180908</v>
      </c>
      <c r="W73" s="105">
        <f t="shared" ca="1" si="27"/>
        <v>14541.484414187315</v>
      </c>
      <c r="X73" s="102">
        <f t="shared" ca="1" si="3"/>
        <v>651792.21937190997</v>
      </c>
    </row>
    <row r="74" spans="1:24" ht="15" customHeight="1">
      <c r="A74" s="70">
        <f>IF('Cash Flow Analysis'!C90="","",'Cash Flow Analysis'!C90)</f>
        <v>25</v>
      </c>
      <c r="B74" s="1002">
        <f ca="1">IF(A74="","",IF(A74&lt;1,0,IF(A74=1,$B$44-'Cash Flow Analysis'!I90,-'Cash Flow Analysis'!I90)))</f>
        <v>664176.27153997635</v>
      </c>
      <c r="C74" s="103">
        <f t="shared" ref="C74:W74" ca="1" si="28">IF($B$74="","",IF(AND($B$42="Straight Line",C48&lt;=depr_length),$B$74/depr_length,IF(AND($B$42="MACRS",C48&lt;=depr_length+1),$B$74*INDEX(MACRS_Table,MATCH(C48,recovery_year,0),MATCH($B$43,recovery_period,0)),"")))</f>
        <v>24906.610182749111</v>
      </c>
      <c r="D74" s="104">
        <f t="shared" ca="1" si="28"/>
        <v>47946.885042470894</v>
      </c>
      <c r="E74" s="104">
        <f t="shared" ca="1" si="28"/>
        <v>44347.049650724221</v>
      </c>
      <c r="F74" s="104">
        <f t="shared" ca="1" si="28"/>
        <v>41026.168293024341</v>
      </c>
      <c r="G74" s="104">
        <f t="shared" ca="1" si="28"/>
        <v>37944.390393078851</v>
      </c>
      <c r="H74" s="104">
        <f t="shared" ca="1" si="28"/>
        <v>35101.715950887752</v>
      </c>
      <c r="I74" s="104">
        <f t="shared" ca="1" si="28"/>
        <v>32464.936152874045</v>
      </c>
      <c r="J74" s="104">
        <f t="shared" ca="1" si="28"/>
        <v>30034.050999037732</v>
      </c>
      <c r="K74" s="104">
        <f t="shared" ca="1" si="28"/>
        <v>29635.545236113743</v>
      </c>
      <c r="L74" s="104">
        <f t="shared" ca="1" si="28"/>
        <v>29628.903473398343</v>
      </c>
      <c r="M74" s="104">
        <f t="shared" ca="1" si="28"/>
        <v>29635.545236113743</v>
      </c>
      <c r="N74" s="104">
        <f t="shared" ca="1" si="28"/>
        <v>29628.903473398343</v>
      </c>
      <c r="O74" s="104">
        <f t="shared" ca="1" si="28"/>
        <v>29635.545236113743</v>
      </c>
      <c r="P74" s="104">
        <f t="shared" ca="1" si="28"/>
        <v>29628.903473398343</v>
      </c>
      <c r="Q74" s="104">
        <f t="shared" ca="1" si="28"/>
        <v>29635.545236113743</v>
      </c>
      <c r="R74" s="104">
        <f t="shared" ca="1" si="28"/>
        <v>29628.903473398343</v>
      </c>
      <c r="S74" s="104">
        <f t="shared" ca="1" si="28"/>
        <v>29635.545236113743</v>
      </c>
      <c r="T74" s="104">
        <f t="shared" ca="1" si="28"/>
        <v>29628.903473398343</v>
      </c>
      <c r="U74" s="104">
        <f t="shared" ca="1" si="28"/>
        <v>29635.545236113743</v>
      </c>
      <c r="V74" s="104">
        <f t="shared" ca="1" si="28"/>
        <v>29628.903473398343</v>
      </c>
      <c r="W74" s="105">
        <f t="shared" ca="1" si="28"/>
        <v>14817.772618056872</v>
      </c>
      <c r="X74" s="102">
        <f t="shared" ca="1" si="3"/>
        <v>664176.27153997624</v>
      </c>
    </row>
    <row r="75" spans="1:24" ht="15" customHeight="1">
      <c r="A75" s="70">
        <f>IF('Cash Flow Analysis'!C91="","",'Cash Flow Analysis'!C91)</f>
        <v>26</v>
      </c>
      <c r="B75" s="1002">
        <f ca="1">IF(A75="","",IF(A75&lt;1,0,IF(A75=1,$B$44-'Cash Flow Analysis'!I91,-'Cash Flow Analysis'!I91)))</f>
        <v>676795.62069923582</v>
      </c>
      <c r="C75" s="103">
        <f t="shared" ref="C75:W75" ca="1" si="29">IF($B$75="","",IF(AND($B$42="Straight Line",C48&lt;=depr_length),$B$75/depr_length,IF(AND($B$42="MACRS",C48&lt;=depr_length+1),$B$75*INDEX(MACRS_Table,MATCH(C48,recovery_year,0),MATCH($B$43,recovery_period,0)),"")))</f>
        <v>25379.835776221342</v>
      </c>
      <c r="D75" s="104">
        <f t="shared" ca="1" si="29"/>
        <v>48857.875858277839</v>
      </c>
      <c r="E75" s="104">
        <f t="shared" ca="1" si="29"/>
        <v>45189.643594087975</v>
      </c>
      <c r="F75" s="104">
        <f t="shared" ca="1" si="29"/>
        <v>41805.665490591797</v>
      </c>
      <c r="G75" s="104">
        <f t="shared" ca="1" si="29"/>
        <v>38665.333810547345</v>
      </c>
      <c r="H75" s="104">
        <f t="shared" ca="1" si="29"/>
        <v>35768.648553954612</v>
      </c>
      <c r="I75" s="104">
        <f t="shared" ca="1" si="29"/>
        <v>33081.769939778649</v>
      </c>
      <c r="J75" s="104">
        <f t="shared" ca="1" si="29"/>
        <v>30604.697968019445</v>
      </c>
      <c r="K75" s="104">
        <f t="shared" ca="1" si="29"/>
        <v>30198.620595599903</v>
      </c>
      <c r="L75" s="104">
        <f t="shared" ca="1" si="29"/>
        <v>30191.85263939291</v>
      </c>
      <c r="M75" s="104">
        <f t="shared" ca="1" si="29"/>
        <v>30198.620595599903</v>
      </c>
      <c r="N75" s="104">
        <f t="shared" ca="1" si="29"/>
        <v>30191.85263939291</v>
      </c>
      <c r="O75" s="104">
        <f t="shared" ca="1" si="29"/>
        <v>30198.620595599903</v>
      </c>
      <c r="P75" s="104">
        <f t="shared" ca="1" si="29"/>
        <v>30191.85263939291</v>
      </c>
      <c r="Q75" s="104">
        <f t="shared" ca="1" si="29"/>
        <v>30198.620595599903</v>
      </c>
      <c r="R75" s="104">
        <f t="shared" ca="1" si="29"/>
        <v>30191.85263939291</v>
      </c>
      <c r="S75" s="104">
        <f t="shared" ca="1" si="29"/>
        <v>30198.620595599903</v>
      </c>
      <c r="T75" s="104">
        <f t="shared" ca="1" si="29"/>
        <v>30191.85263939291</v>
      </c>
      <c r="U75" s="104">
        <f t="shared" ca="1" si="29"/>
        <v>30198.620595599903</v>
      </c>
      <c r="V75" s="104">
        <f t="shared" ca="1" si="29"/>
        <v>30191.85263939291</v>
      </c>
      <c r="W75" s="105">
        <f t="shared" ca="1" si="29"/>
        <v>15099.310297799952</v>
      </c>
      <c r="X75" s="102">
        <f t="shared" ca="1" si="3"/>
        <v>676795.62069923594</v>
      </c>
    </row>
    <row r="76" spans="1:24" ht="15" customHeight="1">
      <c r="A76" s="70">
        <f>IF('Cash Flow Analysis'!C92="","",'Cash Flow Analysis'!C92)</f>
        <v>27</v>
      </c>
      <c r="B76" s="1002">
        <f ca="1">IF(A76="","",IF(A76&lt;1,0,IF(A76=1,$B$44-'Cash Flow Analysis'!I92,-'Cash Flow Analysis'!I92)))</f>
        <v>689654.73749252129</v>
      </c>
      <c r="C76" s="103">
        <f t="shared" ref="C76:W76" ca="1" si="30">IF($B$76="","",IF(AND($B$42="Straight Line",C48&lt;=depr_length),$B$76/depr_length,IF(AND($B$42="MACRS",C48&lt;=depr_length+1),$B$76*INDEX(MACRS_Table,MATCH(C48,recovery_year,0),MATCH($B$43,recovery_period,0)),"")))</f>
        <v>25862.052655969546</v>
      </c>
      <c r="D76" s="104">
        <f t="shared" ca="1" si="30"/>
        <v>49786.175499585115</v>
      </c>
      <c r="E76" s="104">
        <f t="shared" ca="1" si="30"/>
        <v>46048.246822375644</v>
      </c>
      <c r="F76" s="104">
        <f t="shared" ca="1" si="30"/>
        <v>42599.973134913038</v>
      </c>
      <c r="G76" s="104">
        <f t="shared" ca="1" si="30"/>
        <v>39399.975152947743</v>
      </c>
      <c r="H76" s="104">
        <f t="shared" ca="1" si="30"/>
        <v>36448.252876479753</v>
      </c>
      <c r="I76" s="104">
        <f t="shared" ca="1" si="30"/>
        <v>33710.323568634441</v>
      </c>
      <c r="J76" s="104">
        <f t="shared" ca="1" si="30"/>
        <v>31186.187229411815</v>
      </c>
      <c r="K76" s="104">
        <f t="shared" ca="1" si="30"/>
        <v>30772.394386916301</v>
      </c>
      <c r="L76" s="104">
        <f t="shared" ca="1" si="30"/>
        <v>30765.497839541375</v>
      </c>
      <c r="M76" s="104">
        <f t="shared" ca="1" si="30"/>
        <v>30772.394386916301</v>
      </c>
      <c r="N76" s="104">
        <f t="shared" ca="1" si="30"/>
        <v>30765.497839541375</v>
      </c>
      <c r="O76" s="104">
        <f t="shared" ca="1" si="30"/>
        <v>30772.394386916301</v>
      </c>
      <c r="P76" s="104">
        <f t="shared" ca="1" si="30"/>
        <v>30765.497839541375</v>
      </c>
      <c r="Q76" s="104">
        <f t="shared" ca="1" si="30"/>
        <v>30772.394386916301</v>
      </c>
      <c r="R76" s="104">
        <f t="shared" ca="1" si="30"/>
        <v>30765.497839541375</v>
      </c>
      <c r="S76" s="104">
        <f t="shared" ca="1" si="30"/>
        <v>30772.394386916301</v>
      </c>
      <c r="T76" s="104">
        <f t="shared" ca="1" si="30"/>
        <v>30765.497839541375</v>
      </c>
      <c r="U76" s="104">
        <f t="shared" ca="1" si="30"/>
        <v>30772.394386916301</v>
      </c>
      <c r="V76" s="104">
        <f t="shared" ca="1" si="30"/>
        <v>30765.497839541375</v>
      </c>
      <c r="W76" s="105">
        <f t="shared" ca="1" si="30"/>
        <v>15386.197193458151</v>
      </c>
      <c r="X76" s="102">
        <f t="shared" ca="1" si="3"/>
        <v>689654.73749252129</v>
      </c>
    </row>
    <row r="77" spans="1:24" ht="15" customHeight="1">
      <c r="A77" s="70">
        <f>IF('Cash Flow Analysis'!C93="","",'Cash Flow Analysis'!C93)</f>
        <v>28</v>
      </c>
      <c r="B77" s="1002">
        <f ca="1">IF(A77="","",IF(A77&lt;1,0,IF(A77=1,$B$44-'Cash Flow Analysis'!I93,-'Cash Flow Analysis'!I93)))</f>
        <v>702758.17750487919</v>
      </c>
      <c r="C77" s="103">
        <f t="shared" ref="C77:W77" ca="1" si="31">IF($B$77="","",IF(AND($B$42="Straight Line",C48&lt;=depr_length),$B$77/depr_length,IF(AND($B$42="MACRS",C48&lt;=depr_length+1),$B$77*INDEX(MACRS_Table,MATCH(C48,recovery_year,0),MATCH($B$43,recovery_period,0)),"")))</f>
        <v>26353.431656432967</v>
      </c>
      <c r="D77" s="104">
        <f t="shared" ca="1" si="31"/>
        <v>50732.112834077234</v>
      </c>
      <c r="E77" s="104">
        <f t="shared" ca="1" si="31"/>
        <v>46923.163512000778</v>
      </c>
      <c r="F77" s="104">
        <f t="shared" ca="1" si="31"/>
        <v>43409.372624476389</v>
      </c>
      <c r="G77" s="104">
        <f t="shared" ca="1" si="31"/>
        <v>40148.574680853751</v>
      </c>
      <c r="H77" s="104">
        <f t="shared" ca="1" si="31"/>
        <v>37140.769681132864</v>
      </c>
      <c r="I77" s="104">
        <f t="shared" ca="1" si="31"/>
        <v>34350.819716438498</v>
      </c>
      <c r="J77" s="104">
        <f t="shared" ca="1" si="31"/>
        <v>31778.724786770639</v>
      </c>
      <c r="K77" s="104">
        <f t="shared" ca="1" si="31"/>
        <v>31357.069880267711</v>
      </c>
      <c r="L77" s="104">
        <f t="shared" ca="1" si="31"/>
        <v>31350.042298492659</v>
      </c>
      <c r="M77" s="104">
        <f t="shared" ca="1" si="31"/>
        <v>31357.069880267711</v>
      </c>
      <c r="N77" s="104">
        <f t="shared" ca="1" si="31"/>
        <v>31350.042298492659</v>
      </c>
      <c r="O77" s="104">
        <f t="shared" ca="1" si="31"/>
        <v>31357.069880267711</v>
      </c>
      <c r="P77" s="104">
        <f t="shared" ca="1" si="31"/>
        <v>31350.042298492659</v>
      </c>
      <c r="Q77" s="104">
        <f t="shared" ca="1" si="31"/>
        <v>31357.069880267711</v>
      </c>
      <c r="R77" s="104">
        <f t="shared" ca="1" si="31"/>
        <v>31350.042298492659</v>
      </c>
      <c r="S77" s="104">
        <f t="shared" ca="1" si="31"/>
        <v>31357.069880267711</v>
      </c>
      <c r="T77" s="104">
        <f t="shared" ca="1" si="31"/>
        <v>31350.042298492659</v>
      </c>
      <c r="U77" s="104">
        <f t="shared" ca="1" si="31"/>
        <v>31357.069880267711</v>
      </c>
      <c r="V77" s="104">
        <f t="shared" ca="1" si="31"/>
        <v>31350.042298492659</v>
      </c>
      <c r="W77" s="105">
        <f t="shared" ca="1" si="31"/>
        <v>15678.534940133855</v>
      </c>
      <c r="X77" s="102">
        <f t="shared" ca="1" si="3"/>
        <v>702758.17750487919</v>
      </c>
    </row>
    <row r="78" spans="1:24" ht="15" customHeight="1">
      <c r="A78" s="70">
        <f>IF('Cash Flow Analysis'!C94="","",'Cash Flow Analysis'!C94)</f>
        <v>29</v>
      </c>
      <c r="B78" s="1002">
        <f ca="1">IF(A78="","",IF(A78&lt;1,0,IF(A78=1,$B$44-'Cash Flow Analysis'!I94,-'Cash Flow Analysis'!I94)))</f>
        <v>15845207.404232509</v>
      </c>
      <c r="C78" s="103">
        <f t="shared" ref="C78:W78" ca="1" si="32">IF($B$78="","",IF(AND($B$42="Straight Line",C48&lt;=depr_length),$B$78/depr_length,IF(AND($B$42="MACRS",C48&lt;=depr_length+1),$B$78*INDEX(MACRS_Table,MATCH(C48,recovery_year,0),MATCH($B$43,recovery_period,0)),"")))</f>
        <v>594195.2776587191</v>
      </c>
      <c r="D78" s="104">
        <f t="shared" ca="1" si="32"/>
        <v>1143865.5225115449</v>
      </c>
      <c r="E78" s="104">
        <f t="shared" ca="1" si="32"/>
        <v>1057984.4983806047</v>
      </c>
      <c r="F78" s="104">
        <f t="shared" ca="1" si="32"/>
        <v>978758.4613594421</v>
      </c>
      <c r="G78" s="104">
        <f t="shared" ca="1" si="32"/>
        <v>905236.69900380331</v>
      </c>
      <c r="H78" s="104">
        <f t="shared" ca="1" si="32"/>
        <v>837419.2113136882</v>
      </c>
      <c r="I78" s="104">
        <f t="shared" ca="1" si="32"/>
        <v>774513.73791888508</v>
      </c>
      <c r="J78" s="104">
        <f t="shared" ca="1" si="32"/>
        <v>716520.27881939418</v>
      </c>
      <c r="K78" s="104">
        <f t="shared" ca="1" si="32"/>
        <v>707013.15437685454</v>
      </c>
      <c r="L78" s="104">
        <f t="shared" ca="1" si="32"/>
        <v>706854.70230281225</v>
      </c>
      <c r="M78" s="104">
        <f t="shared" ca="1" si="32"/>
        <v>707013.15437685454</v>
      </c>
      <c r="N78" s="104">
        <f t="shared" ca="1" si="32"/>
        <v>706854.70230281225</v>
      </c>
      <c r="O78" s="104">
        <f t="shared" ca="1" si="32"/>
        <v>707013.15437685454</v>
      </c>
      <c r="P78" s="104">
        <f t="shared" ca="1" si="32"/>
        <v>706854.70230281225</v>
      </c>
      <c r="Q78" s="104">
        <f t="shared" ca="1" si="32"/>
        <v>707013.15437685454</v>
      </c>
      <c r="R78" s="104">
        <f t="shared" ca="1" si="32"/>
        <v>706854.70230281225</v>
      </c>
      <c r="S78" s="104">
        <f t="shared" ca="1" si="32"/>
        <v>707013.15437685454</v>
      </c>
      <c r="T78" s="104">
        <f t="shared" ca="1" si="32"/>
        <v>706854.70230281225</v>
      </c>
      <c r="U78" s="104">
        <f t="shared" ca="1" si="32"/>
        <v>707013.15437685454</v>
      </c>
      <c r="V78" s="104">
        <f t="shared" ca="1" si="32"/>
        <v>706854.70230281225</v>
      </c>
      <c r="W78" s="105">
        <f t="shared" ca="1" si="32"/>
        <v>353506.57718842727</v>
      </c>
      <c r="X78" s="102">
        <f t="shared" ca="1" si="3"/>
        <v>15845207.404232509</v>
      </c>
    </row>
    <row r="79" spans="1:24" ht="15" customHeight="1">
      <c r="A79" s="70">
        <f>IF('Cash Flow Analysis'!C95="","",'Cash Flow Analysis'!C95)</f>
        <v>30</v>
      </c>
      <c r="B79" s="1002">
        <f ca="1">IF(A79="","",IF(A79&lt;1,0,IF(A79=1,$B$44-'Cash Flow Analysis'!I95,-'Cash Flow Analysis'!I95)))</f>
        <v>729716.68395214365</v>
      </c>
      <c r="C79" s="103">
        <f t="shared" ref="C79:W79" ca="1" si="33">IF($B$79="","",IF(AND($B$42="Straight Line",C48&lt;=depr_length),$B$79/depr_length,IF(AND($B$42="MACRS",C48&lt;=depr_length+1),$B$79*INDEX(MACRS_Table,MATCH(C48,recovery_year,0),MATCH($B$43,recovery_period,0)),"")))</f>
        <v>27364.375648205387</v>
      </c>
      <c r="D79" s="104">
        <f t="shared" ca="1" si="33"/>
        <v>52678.247414505255</v>
      </c>
      <c r="E79" s="104">
        <f t="shared" ca="1" si="33"/>
        <v>48723.18298748463</v>
      </c>
      <c r="F79" s="104">
        <f t="shared" ca="1" si="33"/>
        <v>45074.599567723912</v>
      </c>
      <c r="G79" s="104">
        <f t="shared" ca="1" si="33"/>
        <v>41688.714154185967</v>
      </c>
      <c r="H79" s="104">
        <f t="shared" ca="1" si="33"/>
        <v>38565.52674687079</v>
      </c>
      <c r="I79" s="104">
        <f t="shared" ca="1" si="33"/>
        <v>35668.551511580779</v>
      </c>
      <c r="J79" s="104">
        <f t="shared" ca="1" si="33"/>
        <v>32997.788448315936</v>
      </c>
      <c r="K79" s="104">
        <f t="shared" ca="1" si="33"/>
        <v>32559.95843794465</v>
      </c>
      <c r="L79" s="104">
        <f t="shared" ca="1" si="33"/>
        <v>32552.661271105128</v>
      </c>
      <c r="M79" s="104">
        <f t="shared" ca="1" si="33"/>
        <v>32559.95843794465</v>
      </c>
      <c r="N79" s="104">
        <f t="shared" ca="1" si="33"/>
        <v>32552.661271105128</v>
      </c>
      <c r="O79" s="104">
        <f t="shared" ca="1" si="33"/>
        <v>32559.95843794465</v>
      </c>
      <c r="P79" s="104">
        <f t="shared" ca="1" si="33"/>
        <v>32552.661271105128</v>
      </c>
      <c r="Q79" s="104">
        <f t="shared" ca="1" si="33"/>
        <v>32559.95843794465</v>
      </c>
      <c r="R79" s="104">
        <f t="shared" ca="1" si="33"/>
        <v>32552.661271105128</v>
      </c>
      <c r="S79" s="104">
        <f t="shared" ca="1" si="33"/>
        <v>32559.95843794465</v>
      </c>
      <c r="T79" s="104">
        <f t="shared" ca="1" si="33"/>
        <v>32552.661271105128</v>
      </c>
      <c r="U79" s="104">
        <f t="shared" ca="1" si="33"/>
        <v>32559.95843794465</v>
      </c>
      <c r="V79" s="104">
        <f t="shared" ca="1" si="33"/>
        <v>32552.661271105128</v>
      </c>
      <c r="W79" s="105">
        <f t="shared" ca="1" si="33"/>
        <v>16279.979218972325</v>
      </c>
      <c r="X79" s="102">
        <f t="shared" ca="1" si="3"/>
        <v>729716.68395214377</v>
      </c>
    </row>
    <row r="80" spans="1:24" ht="15" customHeight="1">
      <c r="A80" s="70">
        <f>IF('Cash Flow Analysis'!C96="","",'Cash Flow Analysis'!C96)</f>
        <v>31</v>
      </c>
      <c r="B80" s="1002">
        <f ca="1">IF(A80="","",IF(A80&lt;1,0,IF(A80=1,$B$44-'Cash Flow Analysis'!I96,-'Cash Flow Analysis'!I96)))</f>
        <v>743581.3009472345</v>
      </c>
      <c r="C80" s="103">
        <f t="shared" ref="C80:W80" ca="1" si="34">IF($B$80="","",IF(AND($B$42="Straight Line",C48&lt;=depr_length),$B$80/depr_length,IF(AND($B$42="MACRS",C48&lt;=depr_length+1),$B$80*INDEX(MACRS_Table,MATCH(C48,recovery_year,0),MATCH($B$43,recovery_period,0)),"")))</f>
        <v>27884.298785521292</v>
      </c>
      <c r="D80" s="104">
        <f t="shared" ca="1" si="34"/>
        <v>53679.134115380861</v>
      </c>
      <c r="E80" s="104">
        <f t="shared" ca="1" si="34"/>
        <v>49648.923464246844</v>
      </c>
      <c r="F80" s="104">
        <f t="shared" ca="1" si="34"/>
        <v>45931.016959510671</v>
      </c>
      <c r="G80" s="104">
        <f t="shared" ca="1" si="34"/>
        <v>42480.79972311551</v>
      </c>
      <c r="H80" s="104">
        <f t="shared" ca="1" si="34"/>
        <v>39298.271755061345</v>
      </c>
      <c r="I80" s="104">
        <f t="shared" ca="1" si="34"/>
        <v>36346.253990300822</v>
      </c>
      <c r="J80" s="104">
        <f t="shared" ca="1" si="34"/>
        <v>33624.746428833947</v>
      </c>
      <c r="K80" s="104">
        <f t="shared" ca="1" si="34"/>
        <v>33178.597648265604</v>
      </c>
      <c r="L80" s="104">
        <f t="shared" ca="1" si="34"/>
        <v>33171.161835256127</v>
      </c>
      <c r="M80" s="104">
        <f t="shared" ca="1" si="34"/>
        <v>33178.597648265604</v>
      </c>
      <c r="N80" s="104">
        <f t="shared" ca="1" si="34"/>
        <v>33171.161835256127</v>
      </c>
      <c r="O80" s="104">
        <f t="shared" ca="1" si="34"/>
        <v>33178.597648265604</v>
      </c>
      <c r="P80" s="104">
        <f t="shared" ca="1" si="34"/>
        <v>33171.161835256127</v>
      </c>
      <c r="Q80" s="104">
        <f t="shared" ca="1" si="34"/>
        <v>33178.597648265604</v>
      </c>
      <c r="R80" s="104">
        <f t="shared" ca="1" si="34"/>
        <v>33171.161835256127</v>
      </c>
      <c r="S80" s="104">
        <f t="shared" ca="1" si="34"/>
        <v>33178.597648265604</v>
      </c>
      <c r="T80" s="104">
        <f t="shared" ca="1" si="34"/>
        <v>33171.161835256127</v>
      </c>
      <c r="U80" s="104">
        <f t="shared" ca="1" si="34"/>
        <v>33178.597648265604</v>
      </c>
      <c r="V80" s="104">
        <f t="shared" ca="1" si="34"/>
        <v>33171.161835256127</v>
      </c>
      <c r="W80" s="105">
        <f t="shared" ca="1" si="34"/>
        <v>16589.298824132802</v>
      </c>
      <c r="X80" s="102">
        <f t="shared" ca="1" si="3"/>
        <v>743581.30094723462</v>
      </c>
    </row>
    <row r="81" spans="1:24" ht="15" customHeight="1">
      <c r="A81" s="70">
        <f>IF('Cash Flow Analysis'!C97="","",'Cash Flow Analysis'!C97)</f>
        <v>32</v>
      </c>
      <c r="B81" s="1002">
        <f ca="1">IF(A81="","",IF(A81&lt;1,0,IF(A81=1,$B$44-'Cash Flow Analysis'!I97,-'Cash Flow Analysis'!I97)))</f>
        <v>757709.34566523193</v>
      </c>
      <c r="C81" s="103">
        <f t="shared" ref="C81:W81" ca="1" si="35">IF($B$81="","",IF(AND($B$42="Straight Line",C48&lt;=depr_length),$B$81/depr_length,IF(AND($B$42="MACRS",C48&lt;=depr_length+1),$B$81*INDEX(MACRS_Table,MATCH(C48,recovery_year,0),MATCH($B$43,recovery_period,0)),"")))</f>
        <v>28414.100462446197</v>
      </c>
      <c r="D81" s="104">
        <f t="shared" ca="1" si="35"/>
        <v>54699.037663573094</v>
      </c>
      <c r="E81" s="104">
        <f t="shared" ca="1" si="35"/>
        <v>50592.253010067536</v>
      </c>
      <c r="F81" s="104">
        <f t="shared" ca="1" si="35"/>
        <v>46803.706281741375</v>
      </c>
      <c r="G81" s="104">
        <f t="shared" ca="1" si="35"/>
        <v>43287.934917854698</v>
      </c>
      <c r="H81" s="104">
        <f t="shared" ca="1" si="35"/>
        <v>40044.938918407512</v>
      </c>
      <c r="I81" s="104">
        <f t="shared" ca="1" si="35"/>
        <v>37036.832816116534</v>
      </c>
      <c r="J81" s="104">
        <f t="shared" ca="1" si="35"/>
        <v>34263.616610981793</v>
      </c>
      <c r="K81" s="104">
        <f t="shared" ca="1" si="35"/>
        <v>33808.991003582647</v>
      </c>
      <c r="L81" s="104">
        <f t="shared" ca="1" si="35"/>
        <v>33801.413910125993</v>
      </c>
      <c r="M81" s="104">
        <f t="shared" ca="1" si="35"/>
        <v>33808.991003582647</v>
      </c>
      <c r="N81" s="104">
        <f t="shared" ca="1" si="35"/>
        <v>33801.413910125993</v>
      </c>
      <c r="O81" s="104">
        <f t="shared" ca="1" si="35"/>
        <v>33808.991003582647</v>
      </c>
      <c r="P81" s="104">
        <f t="shared" ca="1" si="35"/>
        <v>33801.413910125993</v>
      </c>
      <c r="Q81" s="104">
        <f t="shared" ca="1" si="35"/>
        <v>33808.991003582647</v>
      </c>
      <c r="R81" s="104">
        <f t="shared" ca="1" si="35"/>
        <v>33801.413910125993</v>
      </c>
      <c r="S81" s="104">
        <f t="shared" ca="1" si="35"/>
        <v>33808.991003582647</v>
      </c>
      <c r="T81" s="104">
        <f t="shared" ca="1" si="35"/>
        <v>33801.413910125993</v>
      </c>
      <c r="U81" s="104">
        <f t="shared" ca="1" si="35"/>
        <v>33808.991003582647</v>
      </c>
      <c r="V81" s="104">
        <f t="shared" ca="1" si="35"/>
        <v>33801.413910125993</v>
      </c>
      <c r="W81" s="105">
        <f t="shared" ca="1" si="35"/>
        <v>16904.495501791323</v>
      </c>
      <c r="X81" s="102">
        <f t="shared" ca="1" si="3"/>
        <v>757709.34566523181</v>
      </c>
    </row>
    <row r="82" spans="1:24" ht="15" customHeight="1">
      <c r="A82" s="70">
        <f>IF('Cash Flow Analysis'!C98="","",'Cash Flow Analysis'!C98)</f>
        <v>33</v>
      </c>
      <c r="B82" s="1002">
        <f ca="1">IF(A82="","",IF(A82&lt;1,0,IF(A82=1,$B$44-'Cash Flow Analysis'!I98,-'Cash Flow Analysis'!I98)))</f>
        <v>772105.82323287136</v>
      </c>
      <c r="C82" s="103">
        <f t="shared" ref="C82:W82" ca="1" si="36">IF($B$82="","",IF(AND($B$42="Straight Line",C48&lt;=depr_length),$B$82/depr_length,IF(AND($B$42="MACRS",C48&lt;=depr_length+1),$B$82*INDEX(MACRS_Table,MATCH(C48,recovery_year,0),MATCH($B$43,recovery_period,0)),"")))</f>
        <v>28953.968371232677</v>
      </c>
      <c r="D82" s="104">
        <f t="shared" ca="1" si="36"/>
        <v>55738.31937918099</v>
      </c>
      <c r="E82" s="104">
        <f t="shared" ca="1" si="36"/>
        <v>51553.505817258818</v>
      </c>
      <c r="F82" s="104">
        <f t="shared" ca="1" si="36"/>
        <v>47692.976701094463</v>
      </c>
      <c r="G82" s="104">
        <f t="shared" ca="1" si="36"/>
        <v>44110.405681293938</v>
      </c>
      <c r="H82" s="104">
        <f t="shared" ca="1" si="36"/>
        <v>40805.792757857249</v>
      </c>
      <c r="I82" s="104">
        <f t="shared" ca="1" si="36"/>
        <v>37740.532639622754</v>
      </c>
      <c r="J82" s="104">
        <f t="shared" ca="1" si="36"/>
        <v>34914.625326590445</v>
      </c>
      <c r="K82" s="104">
        <f t="shared" ca="1" si="36"/>
        <v>34451.36183265072</v>
      </c>
      <c r="L82" s="104">
        <f t="shared" ca="1" si="36"/>
        <v>34443.640774418389</v>
      </c>
      <c r="M82" s="104">
        <f t="shared" ca="1" si="36"/>
        <v>34451.36183265072</v>
      </c>
      <c r="N82" s="104">
        <f t="shared" ca="1" si="36"/>
        <v>34443.640774418389</v>
      </c>
      <c r="O82" s="104">
        <f t="shared" ca="1" si="36"/>
        <v>34451.36183265072</v>
      </c>
      <c r="P82" s="104">
        <f t="shared" ca="1" si="36"/>
        <v>34443.640774418389</v>
      </c>
      <c r="Q82" s="104">
        <f t="shared" ca="1" si="36"/>
        <v>34451.36183265072</v>
      </c>
      <c r="R82" s="104">
        <f t="shared" ca="1" si="36"/>
        <v>34443.640774418389</v>
      </c>
      <c r="S82" s="104">
        <f t="shared" ca="1" si="36"/>
        <v>34451.36183265072</v>
      </c>
      <c r="T82" s="104">
        <f t="shared" ca="1" si="36"/>
        <v>34443.640774418389</v>
      </c>
      <c r="U82" s="104">
        <f t="shared" ca="1" si="36"/>
        <v>34451.36183265072</v>
      </c>
      <c r="V82" s="104">
        <f t="shared" ca="1" si="36"/>
        <v>34443.640774418389</v>
      </c>
      <c r="W82" s="105">
        <f t="shared" ca="1" si="36"/>
        <v>17225.68091632536</v>
      </c>
      <c r="X82" s="102">
        <f t="shared" ca="1" si="3"/>
        <v>772105.82323287125</v>
      </c>
    </row>
    <row r="83" spans="1:24" ht="15" customHeight="1">
      <c r="A83" s="70">
        <f>IF('Cash Flow Analysis'!C99="","",'Cash Flow Analysis'!C99)</f>
        <v>34</v>
      </c>
      <c r="B83" s="1002">
        <f ca="1">IF(A83="","",IF(A83&lt;1,0,IF(A83=1,$B$44-'Cash Flow Analysis'!I99,-'Cash Flow Analysis'!I99)))</f>
        <v>786775.83387429581</v>
      </c>
      <c r="C83" s="103">
        <f t="shared" ref="C83:W83" ca="1" si="37">IF($B$83="","",IF(AND($B$42="Straight Line",C48&lt;=depr_length),$B$83/depr_length,IF(AND($B$42="MACRS",C48&lt;=depr_length+1),$B$83*INDEX(MACRS_Table,MATCH(C48,recovery_year,0),MATCH($B$43,recovery_period,0)),"")))</f>
        <v>29504.09377028609</v>
      </c>
      <c r="D83" s="104">
        <f t="shared" ca="1" si="37"/>
        <v>56797.347447385415</v>
      </c>
      <c r="E83" s="104">
        <f t="shared" ca="1" si="37"/>
        <v>52533.022427786731</v>
      </c>
      <c r="F83" s="104">
        <f t="shared" ca="1" si="37"/>
        <v>48599.14325841525</v>
      </c>
      <c r="G83" s="104">
        <f t="shared" ca="1" si="37"/>
        <v>44948.503389238518</v>
      </c>
      <c r="H83" s="104">
        <f t="shared" ca="1" si="37"/>
        <v>41581.102820256536</v>
      </c>
      <c r="I83" s="104">
        <f t="shared" ca="1" si="37"/>
        <v>38457.602759775582</v>
      </c>
      <c r="J83" s="104">
        <f t="shared" ca="1" si="37"/>
        <v>35578.003207795657</v>
      </c>
      <c r="K83" s="104">
        <f t="shared" ca="1" si="37"/>
        <v>35105.937707471079</v>
      </c>
      <c r="L83" s="104">
        <f t="shared" ca="1" si="37"/>
        <v>35098.069949132332</v>
      </c>
      <c r="M83" s="104">
        <f t="shared" ca="1" si="37"/>
        <v>35105.937707471079</v>
      </c>
      <c r="N83" s="104">
        <f t="shared" ca="1" si="37"/>
        <v>35098.069949132332</v>
      </c>
      <c r="O83" s="104">
        <f t="shared" ca="1" si="37"/>
        <v>35105.937707471079</v>
      </c>
      <c r="P83" s="104">
        <f t="shared" ca="1" si="37"/>
        <v>35098.069949132332</v>
      </c>
      <c r="Q83" s="104">
        <f t="shared" ca="1" si="37"/>
        <v>35105.937707471079</v>
      </c>
      <c r="R83" s="104">
        <f t="shared" ca="1" si="37"/>
        <v>35098.069949132332</v>
      </c>
      <c r="S83" s="104">
        <f t="shared" ca="1" si="37"/>
        <v>35105.937707471079</v>
      </c>
      <c r="T83" s="104">
        <f t="shared" ca="1" si="37"/>
        <v>35098.069949132332</v>
      </c>
      <c r="U83" s="104">
        <f t="shared" ca="1" si="37"/>
        <v>35105.937707471079</v>
      </c>
      <c r="V83" s="104">
        <f t="shared" ca="1" si="37"/>
        <v>35098.069949132332</v>
      </c>
      <c r="W83" s="105">
        <f t="shared" ca="1" si="37"/>
        <v>17552.96885373554</v>
      </c>
      <c r="X83" s="102">
        <f t="shared" ca="1" si="3"/>
        <v>786775.8338742957</v>
      </c>
    </row>
    <row r="84" spans="1:24" ht="15" customHeight="1">
      <c r="A84" s="70">
        <f>IF('Cash Flow Analysis'!C100="","",'Cash Flow Analysis'!C100)</f>
        <v>35</v>
      </c>
      <c r="B84" s="1002">
        <f ca="1">IF(A84="","",IF(A84&lt;1,0,IF(A84=1,$B$44-'Cash Flow Analysis'!I100,-'Cash Flow Analysis'!I100)))</f>
        <v>801724.57471790735</v>
      </c>
      <c r="C84" s="103">
        <f t="shared" ref="C84:W84" ca="1" si="38">IF($B$84="","",IF(AND($B$42="Straight Line",C48&lt;=depr_length),$B$84/depr_length,IF(AND($B$42="MACRS",C48&lt;=depr_length+1),$B$84*INDEX(MACRS_Table,MATCH(C48,recovery_year,0),MATCH($B$43,recovery_period,0)),"")))</f>
        <v>30064.671551921525</v>
      </c>
      <c r="D84" s="104">
        <f t="shared" ca="1" si="38"/>
        <v>57876.497048885736</v>
      </c>
      <c r="E84" s="104">
        <f t="shared" ca="1" si="38"/>
        <v>53531.149853914671</v>
      </c>
      <c r="F84" s="104">
        <f t="shared" ca="1" si="38"/>
        <v>49522.526980325136</v>
      </c>
      <c r="G84" s="104">
        <f t="shared" ca="1" si="38"/>
        <v>45802.524953634049</v>
      </c>
      <c r="H84" s="104">
        <f t="shared" ca="1" si="38"/>
        <v>42371.143773841402</v>
      </c>
      <c r="I84" s="104">
        <f t="shared" ca="1" si="38"/>
        <v>39188.297212211313</v>
      </c>
      <c r="J84" s="104">
        <f t="shared" ca="1" si="38"/>
        <v>36253.985268743774</v>
      </c>
      <c r="K84" s="104">
        <f t="shared" ca="1" si="38"/>
        <v>35772.950523913023</v>
      </c>
      <c r="L84" s="104">
        <f t="shared" ca="1" si="38"/>
        <v>35764.933278165845</v>
      </c>
      <c r="M84" s="104">
        <f t="shared" ca="1" si="38"/>
        <v>35772.950523913023</v>
      </c>
      <c r="N84" s="104">
        <f t="shared" ca="1" si="38"/>
        <v>35764.933278165845</v>
      </c>
      <c r="O84" s="104">
        <f t="shared" ca="1" si="38"/>
        <v>35772.950523913023</v>
      </c>
      <c r="P84" s="104">
        <f t="shared" ca="1" si="38"/>
        <v>35764.933278165845</v>
      </c>
      <c r="Q84" s="104">
        <f t="shared" ca="1" si="38"/>
        <v>35772.950523913023</v>
      </c>
      <c r="R84" s="104">
        <f t="shared" ca="1" si="38"/>
        <v>35764.933278165845</v>
      </c>
      <c r="S84" s="104">
        <f t="shared" ca="1" si="38"/>
        <v>35772.950523913023</v>
      </c>
      <c r="T84" s="104">
        <f t="shared" ca="1" si="38"/>
        <v>35764.933278165845</v>
      </c>
      <c r="U84" s="104">
        <f t="shared" ca="1" si="38"/>
        <v>35772.950523913023</v>
      </c>
      <c r="V84" s="104">
        <f t="shared" ca="1" si="38"/>
        <v>35764.933278165845</v>
      </c>
      <c r="W84" s="105">
        <f t="shared" ca="1" si="38"/>
        <v>17886.475261956512</v>
      </c>
      <c r="X84" s="102">
        <f t="shared" ca="1" si="3"/>
        <v>801724.57471790747</v>
      </c>
    </row>
    <row r="85" spans="1:24" ht="15" customHeight="1">
      <c r="A85" s="70">
        <f>IF('Cash Flow Analysis'!C101="","",'Cash Flow Analysis'!C101)</f>
        <v>36</v>
      </c>
      <c r="B85" s="1002">
        <f ca="1">IF(A85="","",IF(A85&lt;1,0,IF(A85=1,$B$44-'Cash Flow Analysis'!I101,-'Cash Flow Analysis'!I101)))</f>
        <v>18076619.48890968</v>
      </c>
      <c r="C85" s="103">
        <f t="shared" ref="C85:W85" ca="1" si="39">IF($B$85="","",IF(AND($B$42="Straight Line",C48&lt;=depr_length),$B$85/depr_length,IF(AND($B$42="MACRS",C48&lt;=depr_length+1),$B$85*INDEX(MACRS_Table,MATCH(C48,recovery_year,0),MATCH($B$43,recovery_period,0)),"")))</f>
        <v>677873.23083411297</v>
      </c>
      <c r="D85" s="104">
        <f t="shared" ca="1" si="39"/>
        <v>1304951.1609043898</v>
      </c>
      <c r="E85" s="104">
        <f t="shared" ca="1" si="39"/>
        <v>1206975.8832744993</v>
      </c>
      <c r="F85" s="104">
        <f t="shared" ca="1" si="39"/>
        <v>1116592.7858299508</v>
      </c>
      <c r="G85" s="104">
        <f t="shared" ca="1" si="39"/>
        <v>1032717.27140141</v>
      </c>
      <c r="H85" s="104">
        <f t="shared" ca="1" si="39"/>
        <v>955349.3399888766</v>
      </c>
      <c r="I85" s="104">
        <f t="shared" ca="1" si="39"/>
        <v>883585.1606179052</v>
      </c>
      <c r="J85" s="104">
        <f t="shared" ca="1" si="39"/>
        <v>817424.7332884958</v>
      </c>
      <c r="K85" s="104">
        <f t="shared" ca="1" si="39"/>
        <v>806578.76159514999</v>
      </c>
      <c r="L85" s="104">
        <f t="shared" ca="1" si="39"/>
        <v>806397.99540026078</v>
      </c>
      <c r="M85" s="104">
        <f t="shared" ca="1" si="39"/>
        <v>806578.76159514999</v>
      </c>
      <c r="N85" s="104">
        <f t="shared" ca="1" si="39"/>
        <v>806397.99540026078</v>
      </c>
      <c r="O85" s="104">
        <f t="shared" ca="1" si="39"/>
        <v>806578.76159514999</v>
      </c>
      <c r="P85" s="104">
        <f t="shared" ca="1" si="39"/>
        <v>806397.99540026078</v>
      </c>
      <c r="Q85" s="104">
        <f t="shared" ca="1" si="39"/>
        <v>806578.76159514999</v>
      </c>
      <c r="R85" s="104">
        <f t="shared" ca="1" si="39"/>
        <v>806397.99540026078</v>
      </c>
      <c r="S85" s="104">
        <f t="shared" ca="1" si="39"/>
        <v>806578.76159514999</v>
      </c>
      <c r="T85" s="104">
        <f t="shared" ca="1" si="39"/>
        <v>806397.99540026078</v>
      </c>
      <c r="U85" s="104">
        <f t="shared" ca="1" si="39"/>
        <v>806578.76159514999</v>
      </c>
      <c r="V85" s="104">
        <f t="shared" ca="1" si="39"/>
        <v>806397.99540026078</v>
      </c>
      <c r="W85" s="105">
        <f t="shared" ca="1" si="39"/>
        <v>403289.380797575</v>
      </c>
      <c r="X85" s="102">
        <f t="shared" ca="1" si="3"/>
        <v>18076619.488909684</v>
      </c>
    </row>
    <row r="86" spans="1:24" ht="15" customHeight="1">
      <c r="A86" s="70">
        <f>IF('Cash Flow Analysis'!C102="","",'Cash Flow Analysis'!C102)</f>
        <v>37</v>
      </c>
      <c r="B86" s="1002">
        <f ca="1">IF(A86="","",IF(A86&lt;1,0,IF(A86=1,$B$44-'Cash Flow Analysis'!I102,-'Cash Flow Analysis'!I102)))</f>
        <v>832479.53112866101</v>
      </c>
      <c r="C86" s="103">
        <f t="shared" ref="C86:W86" ca="1" si="40">IF($B$86="","",IF(AND($B$42="Straight Line",C48&lt;=depr_length),$B$86/depr_length,IF(AND($B$42="MACRS",C48&lt;=depr_length+1),$B$86*INDEX(MACRS_Table,MATCH(C48,recovery_year,0),MATCH($B$43,recovery_period,0)),"")))</f>
        <v>31217.982417324787</v>
      </c>
      <c r="D86" s="104">
        <f t="shared" ca="1" si="40"/>
        <v>60096.697352178038</v>
      </c>
      <c r="E86" s="104">
        <f t="shared" ca="1" si="40"/>
        <v>55584.658293460692</v>
      </c>
      <c r="F86" s="104">
        <f t="shared" ca="1" si="40"/>
        <v>51422.260637817388</v>
      </c>
      <c r="G86" s="104">
        <f t="shared" ca="1" si="40"/>
        <v>47559.555613380406</v>
      </c>
      <c r="H86" s="104">
        <f t="shared" ca="1" si="40"/>
        <v>43996.543220149739</v>
      </c>
      <c r="I86" s="104">
        <f t="shared" ca="1" si="40"/>
        <v>40691.599481568948</v>
      </c>
      <c r="J86" s="104">
        <f t="shared" ca="1" si="40"/>
        <v>37644.724397638056</v>
      </c>
      <c r="K86" s="104">
        <f t="shared" ca="1" si="40"/>
        <v>37145.236678960857</v>
      </c>
      <c r="L86" s="104">
        <f t="shared" ca="1" si="40"/>
        <v>37136.911883649562</v>
      </c>
      <c r="M86" s="104">
        <f t="shared" ca="1" si="40"/>
        <v>37145.236678960857</v>
      </c>
      <c r="N86" s="104">
        <f t="shared" ca="1" si="40"/>
        <v>37136.911883649562</v>
      </c>
      <c r="O86" s="104">
        <f t="shared" ca="1" si="40"/>
        <v>37145.236678960857</v>
      </c>
      <c r="P86" s="104">
        <f t="shared" ca="1" si="40"/>
        <v>37136.911883649562</v>
      </c>
      <c r="Q86" s="104">
        <f t="shared" ca="1" si="40"/>
        <v>37145.236678960857</v>
      </c>
      <c r="R86" s="104">
        <f t="shared" ca="1" si="40"/>
        <v>37136.911883649562</v>
      </c>
      <c r="S86" s="104">
        <f t="shared" ca="1" si="40"/>
        <v>37145.236678960857</v>
      </c>
      <c r="T86" s="104">
        <f t="shared" ca="1" si="40"/>
        <v>37136.911883649562</v>
      </c>
      <c r="U86" s="104">
        <f t="shared" ca="1" si="40"/>
        <v>37145.236678960857</v>
      </c>
      <c r="V86" s="104">
        <f t="shared" ca="1" si="40"/>
        <v>37136.911883649562</v>
      </c>
      <c r="W86" s="105">
        <f t="shared" ca="1" si="40"/>
        <v>18572.618339480428</v>
      </c>
      <c r="X86" s="102">
        <f t="shared" ca="1" si="3"/>
        <v>832479.53112866089</v>
      </c>
    </row>
    <row r="87" spans="1:24" ht="15" customHeight="1">
      <c r="A87" s="70">
        <f>IF('Cash Flow Analysis'!C103="","",'Cash Flow Analysis'!C103)</f>
        <v>38</v>
      </c>
      <c r="B87" s="1002">
        <f ca="1">IF(A87="","",IF(A87&lt;1,0,IF(A87=1,$B$44-'Cash Flow Analysis'!I103,-'Cash Flow Analysis'!I103)))</f>
        <v>848296.64222010528</v>
      </c>
      <c r="C87" s="103">
        <f t="shared" ref="C87:W87" ca="1" si="41">IF($B$87="","",IF(AND($B$42="Straight Line",C48&lt;=depr_length),$B$87/depr_length,IF(AND($B$42="MACRS",C48&lt;=depr_length+1),$B$87*INDEX(MACRS_Table,MATCH(C48,recovery_year,0),MATCH($B$43,recovery_period,0)),"")))</f>
        <v>31811.124083253948</v>
      </c>
      <c r="D87" s="104">
        <f t="shared" ca="1" si="41"/>
        <v>61238.534601869404</v>
      </c>
      <c r="E87" s="104">
        <f t="shared" ca="1" si="41"/>
        <v>56640.766801036429</v>
      </c>
      <c r="F87" s="104">
        <f t="shared" ca="1" si="41"/>
        <v>52399.283589935905</v>
      </c>
      <c r="G87" s="104">
        <f t="shared" ca="1" si="41"/>
        <v>48463.187170034616</v>
      </c>
      <c r="H87" s="104">
        <f t="shared" ca="1" si="41"/>
        <v>44832.477541332562</v>
      </c>
      <c r="I87" s="104">
        <f t="shared" ca="1" si="41"/>
        <v>41464.739871718746</v>
      </c>
      <c r="J87" s="104">
        <f t="shared" ca="1" si="41"/>
        <v>38359.97416119316</v>
      </c>
      <c r="K87" s="104">
        <f t="shared" ca="1" si="41"/>
        <v>37850.996175861095</v>
      </c>
      <c r="L87" s="104">
        <f t="shared" ca="1" si="41"/>
        <v>37842.513209438897</v>
      </c>
      <c r="M87" s="104">
        <f t="shared" ca="1" si="41"/>
        <v>37850.996175861095</v>
      </c>
      <c r="N87" s="104">
        <f t="shared" ca="1" si="41"/>
        <v>37842.513209438897</v>
      </c>
      <c r="O87" s="104">
        <f t="shared" ca="1" si="41"/>
        <v>37850.996175861095</v>
      </c>
      <c r="P87" s="104">
        <f t="shared" ca="1" si="41"/>
        <v>37842.513209438897</v>
      </c>
      <c r="Q87" s="104">
        <f t="shared" ca="1" si="41"/>
        <v>37850.996175861095</v>
      </c>
      <c r="R87" s="104">
        <f t="shared" ca="1" si="41"/>
        <v>37842.513209438897</v>
      </c>
      <c r="S87" s="104">
        <f t="shared" ca="1" si="41"/>
        <v>37850.996175861095</v>
      </c>
      <c r="T87" s="104">
        <f t="shared" ca="1" si="41"/>
        <v>37842.513209438897</v>
      </c>
      <c r="U87" s="104">
        <f t="shared" ca="1" si="41"/>
        <v>37850.996175861095</v>
      </c>
      <c r="V87" s="104">
        <f t="shared" ca="1" si="41"/>
        <v>37842.513209438897</v>
      </c>
      <c r="W87" s="105">
        <f t="shared" ca="1" si="41"/>
        <v>18925.498087930548</v>
      </c>
      <c r="X87" s="102">
        <f t="shared" ca="1" si="3"/>
        <v>848296.64222010516</v>
      </c>
    </row>
    <row r="88" spans="1:24" ht="15" customHeight="1">
      <c r="A88" s="70">
        <f>IF('Cash Flow Analysis'!C104="","",'Cash Flow Analysis'!C104)</f>
        <v>39</v>
      </c>
      <c r="B88" s="1002">
        <f ca="1">IF(A88="","",IF(A88&lt;1,0,IF(A88=1,$B$44-'Cash Flow Analysis'!I104,-'Cash Flow Analysis'!I104)))</f>
        <v>864414.27842228755</v>
      </c>
      <c r="C88" s="103">
        <f t="shared" ref="C88:W88" ca="1" si="42">IF($B$88="","",IF(AND($B$42="Straight Line",C48&lt;=depr_length),$B$88/depr_length,IF(AND($B$42="MACRS",C48&lt;=depr_length+1),$B$88*INDEX(MACRS_Table,MATCH(C48,recovery_year,0),MATCH($B$43,recovery_period,0)),"")))</f>
        <v>32415.535440835782</v>
      </c>
      <c r="D88" s="104">
        <f t="shared" ca="1" si="42"/>
        <v>62402.066759304944</v>
      </c>
      <c r="E88" s="104">
        <f t="shared" ca="1" si="42"/>
        <v>57716.941370256136</v>
      </c>
      <c r="F88" s="104">
        <f t="shared" ca="1" si="42"/>
        <v>53394.869978144699</v>
      </c>
      <c r="G88" s="104">
        <f t="shared" ca="1" si="42"/>
        <v>49383.987726265288</v>
      </c>
      <c r="H88" s="104">
        <f t="shared" ca="1" si="42"/>
        <v>45684.294614617895</v>
      </c>
      <c r="I88" s="104">
        <f t="shared" ca="1" si="42"/>
        <v>42252.569929281417</v>
      </c>
      <c r="J88" s="104">
        <f t="shared" ca="1" si="42"/>
        <v>39088.813670255848</v>
      </c>
      <c r="K88" s="104">
        <f t="shared" ca="1" si="42"/>
        <v>38570.165103202467</v>
      </c>
      <c r="L88" s="104">
        <f t="shared" ca="1" si="42"/>
        <v>38561.520960418246</v>
      </c>
      <c r="M88" s="104">
        <f t="shared" ca="1" si="42"/>
        <v>38570.165103202467</v>
      </c>
      <c r="N88" s="104">
        <f t="shared" ca="1" si="42"/>
        <v>38561.520960418246</v>
      </c>
      <c r="O88" s="104">
        <f t="shared" ca="1" si="42"/>
        <v>38570.165103202467</v>
      </c>
      <c r="P88" s="104">
        <f t="shared" ca="1" si="42"/>
        <v>38561.520960418246</v>
      </c>
      <c r="Q88" s="104">
        <f t="shared" ca="1" si="42"/>
        <v>38570.165103202467</v>
      </c>
      <c r="R88" s="104">
        <f t="shared" ca="1" si="42"/>
        <v>38561.520960418246</v>
      </c>
      <c r="S88" s="104">
        <f t="shared" ca="1" si="42"/>
        <v>38570.165103202467</v>
      </c>
      <c r="T88" s="104">
        <f t="shared" ca="1" si="42"/>
        <v>38561.520960418246</v>
      </c>
      <c r="U88" s="104">
        <f t="shared" ca="1" si="42"/>
        <v>38570.165103202467</v>
      </c>
      <c r="V88" s="104">
        <f t="shared" ca="1" si="42"/>
        <v>38561.520960418246</v>
      </c>
      <c r="W88" s="105">
        <f t="shared" ca="1" si="42"/>
        <v>19285.082551601234</v>
      </c>
      <c r="X88" s="102">
        <f t="shared" ca="1" si="3"/>
        <v>864414.27842228755</v>
      </c>
    </row>
    <row r="89" spans="1:24" ht="15" customHeight="1">
      <c r="A89" s="70">
        <f>IF('Cash Flow Analysis'!C105="","",'Cash Flow Analysis'!C105)</f>
        <v>40</v>
      </c>
      <c r="B89" s="1002">
        <f ca="1">IF(A89="","",IF(A89&lt;1,0,IF(A89=1,$B$44-'Cash Flow Analysis'!I105,-'Cash Flow Analysis'!I105)))</f>
        <v>880838.14971231099</v>
      </c>
      <c r="C89" s="103">
        <f t="shared" ref="C89:W89" ca="1" si="43">IF($B$89="","",IF(AND($B$42="Straight Line",C48&lt;=depr_length),$B$89/depr_length,IF(AND($B$42="MACRS",C48&lt;=depr_length+1),$B$89*INDEX(MACRS_Table,MATCH(C48,recovery_year,0),MATCH($B$43,recovery_period,0)),"")))</f>
        <v>33031.430614211662</v>
      </c>
      <c r="D89" s="104">
        <f t="shared" ca="1" si="43"/>
        <v>63587.706027731736</v>
      </c>
      <c r="E89" s="104">
        <f t="shared" ca="1" si="43"/>
        <v>58813.563256291003</v>
      </c>
      <c r="F89" s="104">
        <f t="shared" ca="1" si="43"/>
        <v>54409.372507729451</v>
      </c>
      <c r="G89" s="104">
        <f t="shared" ca="1" si="43"/>
        <v>50322.283493064329</v>
      </c>
      <c r="H89" s="104">
        <f t="shared" ca="1" si="43"/>
        <v>46552.296212295638</v>
      </c>
      <c r="I89" s="104">
        <f t="shared" ca="1" si="43"/>
        <v>43055.368757937758</v>
      </c>
      <c r="J89" s="104">
        <f t="shared" ca="1" si="43"/>
        <v>39831.501129990706</v>
      </c>
      <c r="K89" s="104">
        <f t="shared" ca="1" si="43"/>
        <v>39302.998240163317</v>
      </c>
      <c r="L89" s="104">
        <f t="shared" ca="1" si="43"/>
        <v>39294.189858666192</v>
      </c>
      <c r="M89" s="104">
        <f t="shared" ca="1" si="43"/>
        <v>39302.998240163317</v>
      </c>
      <c r="N89" s="104">
        <f t="shared" ca="1" si="43"/>
        <v>39294.189858666192</v>
      </c>
      <c r="O89" s="104">
        <f t="shared" ca="1" si="43"/>
        <v>39302.998240163317</v>
      </c>
      <c r="P89" s="104">
        <f t="shared" ca="1" si="43"/>
        <v>39294.189858666192</v>
      </c>
      <c r="Q89" s="104">
        <f t="shared" ca="1" si="43"/>
        <v>39302.998240163317</v>
      </c>
      <c r="R89" s="104">
        <f t="shared" ca="1" si="43"/>
        <v>39294.189858666192</v>
      </c>
      <c r="S89" s="104">
        <f t="shared" ca="1" si="43"/>
        <v>39302.998240163317</v>
      </c>
      <c r="T89" s="104">
        <f t="shared" ca="1" si="43"/>
        <v>39294.189858666192</v>
      </c>
      <c r="U89" s="104">
        <f t="shared" ca="1" si="43"/>
        <v>39302.998240163317</v>
      </c>
      <c r="V89" s="104">
        <f t="shared" ca="1" si="43"/>
        <v>39294.189858666192</v>
      </c>
      <c r="W89" s="105">
        <f t="shared" ca="1" si="43"/>
        <v>19651.499120081658</v>
      </c>
      <c r="X89" s="102">
        <f t="shared" ca="1" si="3"/>
        <v>880838.14971231087</v>
      </c>
    </row>
    <row r="90" spans="1:24" ht="15" customHeight="1">
      <c r="A90" s="70" t="str">
        <f>IF('Cash Flow Analysis'!C106="","",'Cash Flow Analysis'!C106)</f>
        <v/>
      </c>
      <c r="B90" s="1002" t="str">
        <f>IF(A90="","",IF(A90&lt;1,0,IF(A90=1,$B$44-'Cash Flow Analysis'!I106,-'Cash Flow Analysis'!I106)))</f>
        <v/>
      </c>
      <c r="C90" s="103" t="str">
        <f t="shared" ref="C90:W90" si="44">IF($B$90="","",IF(AND($B$42="Straight Line",C48&lt;=depr_length),$B$90/depr_length,IF(AND($B$42="MACRS",C48&lt;=depr_length+1),$B$90*INDEX(MACRS_Table,MATCH(C48,recovery_year,0),MATCH($B$43,recovery_period,0)),"")))</f>
        <v/>
      </c>
      <c r="D90" s="104" t="str">
        <f t="shared" si="44"/>
        <v/>
      </c>
      <c r="E90" s="104" t="str">
        <f t="shared" si="44"/>
        <v/>
      </c>
      <c r="F90" s="104" t="str">
        <f t="shared" si="44"/>
        <v/>
      </c>
      <c r="G90" s="104" t="str">
        <f t="shared" si="44"/>
        <v/>
      </c>
      <c r="H90" s="104" t="str">
        <f t="shared" si="44"/>
        <v/>
      </c>
      <c r="I90" s="104" t="str">
        <f t="shared" si="44"/>
        <v/>
      </c>
      <c r="J90" s="104" t="str">
        <f t="shared" si="44"/>
        <v/>
      </c>
      <c r="K90" s="104" t="str">
        <f t="shared" si="44"/>
        <v/>
      </c>
      <c r="L90" s="104" t="str">
        <f t="shared" si="44"/>
        <v/>
      </c>
      <c r="M90" s="104" t="str">
        <f t="shared" si="44"/>
        <v/>
      </c>
      <c r="N90" s="104" t="str">
        <f t="shared" si="44"/>
        <v/>
      </c>
      <c r="O90" s="104" t="str">
        <f t="shared" si="44"/>
        <v/>
      </c>
      <c r="P90" s="104" t="str">
        <f t="shared" si="44"/>
        <v/>
      </c>
      <c r="Q90" s="104" t="str">
        <f t="shared" si="44"/>
        <v/>
      </c>
      <c r="R90" s="104" t="str">
        <f t="shared" si="44"/>
        <v/>
      </c>
      <c r="S90" s="104" t="str">
        <f t="shared" si="44"/>
        <v/>
      </c>
      <c r="T90" s="104" t="str">
        <f t="shared" si="44"/>
        <v/>
      </c>
      <c r="U90" s="104" t="str">
        <f t="shared" si="44"/>
        <v/>
      </c>
      <c r="V90" s="104" t="str">
        <f t="shared" si="44"/>
        <v/>
      </c>
      <c r="W90" s="105" t="str">
        <f t="shared" si="44"/>
        <v/>
      </c>
      <c r="X90" s="102">
        <f t="shared" si="3"/>
        <v>0</v>
      </c>
    </row>
    <row r="91" spans="1:24" ht="15" customHeight="1">
      <c r="A91" s="70" t="str">
        <f>IF('Cash Flow Analysis'!C107="","",'Cash Flow Analysis'!C107)</f>
        <v/>
      </c>
      <c r="B91" s="1002" t="str">
        <f>IF(A91="","",IF(A91&lt;1,0,IF(A91=1,$B$44-'Cash Flow Analysis'!I107,-'Cash Flow Analysis'!I107)))</f>
        <v/>
      </c>
      <c r="C91" s="103" t="str">
        <f t="shared" ref="C91:W91" si="45">IF($B$91="","",IF(AND($B$42="Straight Line",C48&lt;=depr_length),$B$91/depr_length,IF(AND($B$42="MACRS",C48&lt;=depr_length+1),$B$91*INDEX(MACRS_Table,MATCH(C48,recovery_year,0),MATCH($B$43,recovery_period,0)),"")))</f>
        <v/>
      </c>
      <c r="D91" s="104" t="str">
        <f t="shared" si="45"/>
        <v/>
      </c>
      <c r="E91" s="104" t="str">
        <f t="shared" si="45"/>
        <v/>
      </c>
      <c r="F91" s="104" t="str">
        <f t="shared" si="45"/>
        <v/>
      </c>
      <c r="G91" s="104" t="str">
        <f t="shared" si="45"/>
        <v/>
      </c>
      <c r="H91" s="104" t="str">
        <f t="shared" si="45"/>
        <v/>
      </c>
      <c r="I91" s="104" t="str">
        <f t="shared" si="45"/>
        <v/>
      </c>
      <c r="J91" s="104" t="str">
        <f t="shared" si="45"/>
        <v/>
      </c>
      <c r="K91" s="104" t="str">
        <f t="shared" si="45"/>
        <v/>
      </c>
      <c r="L91" s="104" t="str">
        <f t="shared" si="45"/>
        <v/>
      </c>
      <c r="M91" s="104" t="str">
        <f t="shared" si="45"/>
        <v/>
      </c>
      <c r="N91" s="104" t="str">
        <f t="shared" si="45"/>
        <v/>
      </c>
      <c r="O91" s="104" t="str">
        <f t="shared" si="45"/>
        <v/>
      </c>
      <c r="P91" s="104" t="str">
        <f t="shared" si="45"/>
        <v/>
      </c>
      <c r="Q91" s="104" t="str">
        <f t="shared" si="45"/>
        <v/>
      </c>
      <c r="R91" s="104" t="str">
        <f t="shared" si="45"/>
        <v/>
      </c>
      <c r="S91" s="104" t="str">
        <f t="shared" si="45"/>
        <v/>
      </c>
      <c r="T91" s="104" t="str">
        <f t="shared" si="45"/>
        <v/>
      </c>
      <c r="U91" s="104" t="str">
        <f t="shared" si="45"/>
        <v/>
      </c>
      <c r="V91" s="104" t="str">
        <f t="shared" si="45"/>
        <v/>
      </c>
      <c r="W91" s="105" t="str">
        <f t="shared" si="45"/>
        <v/>
      </c>
      <c r="X91" s="102">
        <f t="shared" si="3"/>
        <v>0</v>
      </c>
    </row>
    <row r="92" spans="1:24" ht="15" customHeight="1" thickBot="1">
      <c r="A92" s="74" t="str">
        <f>IF('Cash Flow Analysis'!C108="","",'Cash Flow Analysis'!C108)</f>
        <v/>
      </c>
      <c r="B92" s="1002" t="str">
        <f>IF(A92="","",IF(A92&lt;1,0,IF(A92=1,$B$44-'Cash Flow Analysis'!I108,-'Cash Flow Analysis'!I108)))</f>
        <v/>
      </c>
      <c r="C92" s="106" t="str">
        <f t="shared" ref="C92:W92" si="46">IF($B$92="","",IF(AND($B$42="Straight Line",C48&lt;=depr_length),$B$92/depr_length,IF(AND($B$42="MACRS",C48&lt;=depr_length+1),$B$92*INDEX(MACRS_Table,MATCH(C48,recovery_year,0),MATCH($B$43,recovery_period,0)),"")))</f>
        <v/>
      </c>
      <c r="D92" s="107" t="str">
        <f t="shared" si="46"/>
        <v/>
      </c>
      <c r="E92" s="107" t="str">
        <f t="shared" si="46"/>
        <v/>
      </c>
      <c r="F92" s="107" t="str">
        <f t="shared" si="46"/>
        <v/>
      </c>
      <c r="G92" s="107" t="str">
        <f t="shared" si="46"/>
        <v/>
      </c>
      <c r="H92" s="107" t="str">
        <f t="shared" si="46"/>
        <v/>
      </c>
      <c r="I92" s="107" t="str">
        <f t="shared" si="46"/>
        <v/>
      </c>
      <c r="J92" s="107" t="str">
        <f t="shared" si="46"/>
        <v/>
      </c>
      <c r="K92" s="107" t="str">
        <f t="shared" si="46"/>
        <v/>
      </c>
      <c r="L92" s="107" t="str">
        <f t="shared" si="46"/>
        <v/>
      </c>
      <c r="M92" s="107" t="str">
        <f t="shared" si="46"/>
        <v/>
      </c>
      <c r="N92" s="107" t="str">
        <f t="shared" si="46"/>
        <v/>
      </c>
      <c r="O92" s="107" t="str">
        <f t="shared" si="46"/>
        <v/>
      </c>
      <c r="P92" s="107" t="str">
        <f t="shared" si="46"/>
        <v/>
      </c>
      <c r="Q92" s="107" t="str">
        <f t="shared" si="46"/>
        <v/>
      </c>
      <c r="R92" s="107" t="str">
        <f t="shared" si="46"/>
        <v/>
      </c>
      <c r="S92" s="107" t="str">
        <f t="shared" si="46"/>
        <v/>
      </c>
      <c r="T92" s="107" t="str">
        <f t="shared" si="46"/>
        <v/>
      </c>
      <c r="U92" s="107" t="str">
        <f t="shared" si="46"/>
        <v/>
      </c>
      <c r="V92" s="107" t="str">
        <f t="shared" si="46"/>
        <v/>
      </c>
      <c r="W92" s="92" t="str">
        <f t="shared" si="46"/>
        <v/>
      </c>
      <c r="X92" s="108">
        <f t="shared" si="3"/>
        <v>0</v>
      </c>
    </row>
    <row r="93" spans="1:24" ht="15" customHeight="1" thickTop="1">
      <c r="B93" s="109"/>
      <c r="C93" s="109"/>
      <c r="D93" s="109"/>
      <c r="E93" s="109"/>
      <c r="F93" s="109"/>
      <c r="G93" s="109"/>
      <c r="H93" s="109"/>
      <c r="I93" s="109"/>
      <c r="J93" s="109"/>
      <c r="K93" s="109"/>
      <c r="L93" s="109"/>
      <c r="M93" s="109"/>
      <c r="N93" s="109"/>
      <c r="O93" s="109"/>
      <c r="P93" s="109"/>
      <c r="Q93" s="109"/>
      <c r="R93" s="109"/>
      <c r="S93" s="109"/>
      <c r="T93" s="109"/>
      <c r="U93" s="109"/>
      <c r="V93" s="109"/>
      <c r="W93" s="109"/>
      <c r="X93" s="109"/>
    </row>
    <row r="94" spans="1:24" ht="15" customHeight="1" thickBot="1">
      <c r="B94" s="109"/>
      <c r="C94" s="109"/>
      <c r="D94" s="109"/>
      <c r="E94" s="109"/>
      <c r="F94" s="109"/>
      <c r="G94" s="109"/>
      <c r="H94" s="109"/>
      <c r="I94" s="109"/>
      <c r="J94" s="109"/>
      <c r="K94" s="109"/>
      <c r="L94" s="109"/>
      <c r="M94" s="109"/>
      <c r="N94" s="109"/>
      <c r="O94" s="109"/>
      <c r="P94" s="109"/>
      <c r="Q94" s="109"/>
      <c r="R94" s="109"/>
      <c r="S94" s="109"/>
      <c r="T94" s="109"/>
      <c r="U94" s="109"/>
      <c r="V94" s="109"/>
      <c r="W94" s="109"/>
      <c r="X94" s="109"/>
    </row>
    <row r="95" spans="1:24" ht="30.75" customHeight="1" thickTop="1" thickBot="1">
      <c r="A95" s="93" t="s">
        <v>59</v>
      </c>
      <c r="B95" s="59"/>
      <c r="C95" s="60"/>
    </row>
    <row r="96" spans="1:24" ht="31.15" customHeight="1" thickTop="1">
      <c r="A96" s="110" t="s">
        <v>56</v>
      </c>
      <c r="B96" s="111" t="s">
        <v>60</v>
      </c>
      <c r="C96" s="112" t="s">
        <v>61</v>
      </c>
    </row>
    <row r="97" spans="1:3" ht="15" customHeight="1">
      <c r="A97" s="89">
        <f>IF('Cash Flow Analysis'!C65="","",'Cash Flow Analysis'!C65)</f>
        <v>-1</v>
      </c>
      <c r="B97" s="104">
        <f>C49</f>
        <v>0</v>
      </c>
      <c r="C97" s="113">
        <f t="shared" ref="C97:C140" si="47">IF(A97="",B97,0)</f>
        <v>0</v>
      </c>
    </row>
    <row r="98" spans="1:3" ht="15" customHeight="1">
      <c r="A98" s="89">
        <f>IF('Cash Flow Analysis'!C66="","",'Cash Flow Analysis'!C66)</f>
        <v>1</v>
      </c>
      <c r="B98" s="104">
        <f ca="1">SUM(D49,C50)</f>
        <v>3127498.655255774</v>
      </c>
      <c r="C98" s="113">
        <f t="shared" si="47"/>
        <v>0</v>
      </c>
    </row>
    <row r="99" spans="1:3" ht="15" customHeight="1">
      <c r="A99" s="89">
        <f>IF('Cash Flow Analysis'!C67="","",'Cash Flow Analysis'!C67)</f>
        <v>2</v>
      </c>
      <c r="B99" s="104">
        <f ca="1">SUM(E49,D50,C51)</f>
        <v>6036798.4644377157</v>
      </c>
      <c r="C99" s="113">
        <f t="shared" si="47"/>
        <v>0</v>
      </c>
    </row>
    <row r="100" spans="1:3" ht="15" customHeight="1">
      <c r="A100" s="89">
        <f>IF('Cash Flow Analysis'!C68="","",'Cash Flow Analysis'!C68)</f>
        <v>3</v>
      </c>
      <c r="B100" s="104">
        <f ca="1">SUM(F49,E50,D51,C52)</f>
        <v>5616177.1591446642</v>
      </c>
      <c r="C100" s="113">
        <f t="shared" si="47"/>
        <v>0</v>
      </c>
    </row>
    <row r="101" spans="1:3" ht="15" customHeight="1">
      <c r="A101" s="89">
        <f>IF('Cash Flow Analysis'!C69="","",'Cash Flow Analysis'!C69)</f>
        <v>4</v>
      </c>
      <c r="B101" s="104">
        <f ca="1">SUM(G49,F50,E51,D52,C53)</f>
        <v>5228845.6186136715</v>
      </c>
      <c r="C101" s="113">
        <f t="shared" si="47"/>
        <v>0</v>
      </c>
    </row>
    <row r="102" spans="1:3" ht="15" customHeight="1">
      <c r="A102" s="89">
        <f>IF('Cash Flow Analysis'!C70="","",'Cash Flow Analysis'!C70)</f>
        <v>5</v>
      </c>
      <c r="B102" s="104">
        <f ca="1">SUM(H49,G50,F51,E52,D53,C54)</f>
        <v>4869947.7554083606</v>
      </c>
      <c r="C102" s="113">
        <f t="shared" si="47"/>
        <v>0</v>
      </c>
    </row>
    <row r="103" spans="1:3" ht="15" customHeight="1">
      <c r="A103" s="89">
        <f>IF('Cash Flow Analysis'!C71="","",'Cash Flow Analysis'!C71)</f>
        <v>6</v>
      </c>
      <c r="B103" s="104">
        <f ca="1">SUM(I49,H50,G51,F52,E53,D54,C55)</f>
        <v>4539608.4421535358</v>
      </c>
      <c r="C103" s="113">
        <f t="shared" si="47"/>
        <v>0</v>
      </c>
    </row>
    <row r="104" spans="1:3" ht="15" customHeight="1">
      <c r="A104" s="89">
        <f>IF('Cash Flow Analysis'!C72="","",'Cash Flow Analysis'!C72)</f>
        <v>7</v>
      </c>
      <c r="B104" s="104">
        <f ca="1">SUM(J49,I50,H51,G52,F53,E54,D55,C56)</f>
        <v>4233784.9258468663</v>
      </c>
      <c r="C104" s="113">
        <f t="shared" si="47"/>
        <v>0</v>
      </c>
    </row>
    <row r="105" spans="1:3" ht="15" customHeight="1">
      <c r="A105" s="89">
        <f>IF('Cash Flow Analysis'!C73="","",'Cash Flow Analysis'!C73)</f>
        <v>8</v>
      </c>
      <c r="B105" s="104">
        <f ca="1">SUM(K49,J50,I51,H52,G53,F54,E55,D56,C57)</f>
        <v>4334693.5716233579</v>
      </c>
      <c r="C105" s="113">
        <f t="shared" si="47"/>
        <v>0</v>
      </c>
    </row>
    <row r="106" spans="1:3" ht="15" customHeight="1">
      <c r="A106" s="89">
        <f>IF('Cash Flow Analysis'!C74="","",'Cash Flow Analysis'!C74)</f>
        <v>9</v>
      </c>
      <c r="B106" s="104">
        <f ca="1">SUM(L49,K50,J51,I52,H53,G54,F55,E56,D57,C58)</f>
        <v>4661053.5713590113</v>
      </c>
      <c r="C106" s="113">
        <f t="shared" si="47"/>
        <v>0</v>
      </c>
    </row>
    <row r="107" spans="1:3" ht="15" customHeight="1">
      <c r="A107" s="89">
        <f>IF('Cash Flow Analysis'!C75="","",'Cash Flow Analysis'!C75)</f>
        <v>10</v>
      </c>
      <c r="B107" s="104">
        <f ca="1">SUM(M49,L50,K51,J52,I53,H54,G55,F56,E57,D58,C59)</f>
        <v>4628093.6563006816</v>
      </c>
      <c r="C107" s="113">
        <f t="shared" si="47"/>
        <v>0</v>
      </c>
    </row>
    <row r="108" spans="1:3" ht="15" customHeight="1">
      <c r="A108" s="89">
        <f>IF('Cash Flow Analysis'!C76="","",'Cash Flow Analysis'!C76)</f>
        <v>11</v>
      </c>
      <c r="B108" s="104">
        <f ca="1">SUM(N49,M50,L51,K52,J53,I54,H55,G56,F57,E58,D59,C60)</f>
        <v>4601515.9726135293</v>
      </c>
      <c r="C108" s="113">
        <f t="shared" si="47"/>
        <v>0</v>
      </c>
    </row>
    <row r="109" spans="1:3" ht="15" customHeight="1">
      <c r="A109" s="89">
        <f>IF('Cash Flow Analysis'!C77="","",'Cash Flow Analysis'!C77)</f>
        <v>12</v>
      </c>
      <c r="B109" s="104">
        <f ca="1">SUM(O49,N50,M51,L52,K53,J54,I55,H56,G57,F58,E59,D60,C61)</f>
        <v>4577390.0223482624</v>
      </c>
      <c r="C109" s="113">
        <f t="shared" si="47"/>
        <v>0</v>
      </c>
    </row>
    <row r="110" spans="1:3" ht="15" customHeight="1">
      <c r="A110" s="89">
        <f>IF('Cash Flow Analysis'!C78="","",'Cash Flow Analysis'!C78)</f>
        <v>13</v>
      </c>
      <c r="B110" s="104">
        <f ca="1">SUM(P49,O50,N51,M52,L53,K54,J55,I56,H57,G58,F59,E60,D61,C62)</f>
        <v>4559051.7664201176</v>
      </c>
      <c r="C110" s="113">
        <f t="shared" si="47"/>
        <v>0</v>
      </c>
    </row>
    <row r="111" spans="1:3" ht="15" customHeight="1">
      <c r="A111" s="89">
        <f>IF('Cash Flow Analysis'!C79="","",'Cash Flow Analysis'!C79)</f>
        <v>14</v>
      </c>
      <c r="B111" s="104">
        <f ca="1">SUM(Q49,P50,O51,N52,M53,L54,K55,J56,I57,H58,G59,F60,E61,D62,C63)</f>
        <v>4542672.922298016</v>
      </c>
      <c r="C111" s="113">
        <f t="shared" si="47"/>
        <v>0</v>
      </c>
    </row>
    <row r="112" spans="1:3" ht="15" customHeight="1">
      <c r="A112" s="89">
        <f>IF('Cash Flow Analysis'!C80="","",'Cash Flow Analysis'!C80)</f>
        <v>15</v>
      </c>
      <c r="B112" s="104">
        <f ca="1">SUM(R49,Q50,P51,O52,N53,M54,L55,K56,J57,I58,H59,G60,F61,E62,D63,C64)</f>
        <v>4967508.6717167739</v>
      </c>
      <c r="C112" s="113">
        <f t="shared" si="47"/>
        <v>0</v>
      </c>
    </row>
    <row r="113" spans="1:3" ht="15" customHeight="1">
      <c r="A113" s="89">
        <f>IF('Cash Flow Analysis'!C81="","",'Cash Flow Analysis'!C81)</f>
        <v>16</v>
      </c>
      <c r="B113" s="104">
        <f ca="1">SUM(S49,R50,Q51,P52,O53,N54,M55,L56,K57,J58,I59,H60,G61,F62,E63,D64,C65)</f>
        <v>5389678.062355713</v>
      </c>
      <c r="C113" s="113">
        <f t="shared" si="47"/>
        <v>0</v>
      </c>
    </row>
    <row r="114" spans="1:3" ht="15" customHeight="1">
      <c r="A114" s="89">
        <f>IF('Cash Flow Analysis'!C82="","",'Cash Flow Analysis'!C82)</f>
        <v>17</v>
      </c>
      <c r="B114" s="104">
        <f ca="1">SUM(T49,S50,R51,Q52,P53,O54,N55,M56,L57,K58,J59,I60,H61,G62,F63,E64,D65,C66)</f>
        <v>5353755.5292527564</v>
      </c>
      <c r="C114" s="113">
        <f t="shared" si="47"/>
        <v>0</v>
      </c>
    </row>
    <row r="115" spans="1:3" ht="15" customHeight="1">
      <c r="A115" s="89">
        <f>IF('Cash Flow Analysis'!C83="","",'Cash Flow Analysis'!C83)</f>
        <v>18</v>
      </c>
      <c r="B115" s="104">
        <f ca="1">SUM(U49,T50,S51,R52,Q53,P54,O55,N56,M57,L58,K59,J60,I61,H62,G63,F64,E65,D66,C67)</f>
        <v>5321756.0408668723</v>
      </c>
      <c r="C115" s="113">
        <f t="shared" si="47"/>
        <v>0</v>
      </c>
    </row>
    <row r="116" spans="1:3" ht="15" customHeight="1">
      <c r="A116" s="89">
        <f>IF('Cash Flow Analysis'!C84="","",'Cash Flow Analysis'!C84)</f>
        <v>19</v>
      </c>
      <c r="B116" s="104">
        <f ca="1">SUM(V49,U50,T51,S52,R53,Q54,P55,O56,N57,M58,L59,K60,J61,I62,H63,G64,F65,E66,D67,C68)</f>
        <v>5295911.5216433629</v>
      </c>
      <c r="C116" s="113">
        <f t="shared" si="47"/>
        <v>0</v>
      </c>
    </row>
    <row r="117" spans="1:3" ht="15" customHeight="1">
      <c r="A117" s="89">
        <f>IF('Cash Flow Analysis'!C85="","",'Cash Flow Analysis'!C85)</f>
        <v>20</v>
      </c>
      <c r="B117" s="104">
        <f t="shared" ref="B117:B140" ca="1" si="48">SUM(W49,V50,U51,T52,S53,R54,Q55,P56,O57,N58,M59,L60,K61,J62,I63,H64,G65,F66,E67,D68,C69)</f>
        <v>5273311.7840216206</v>
      </c>
      <c r="C117" s="113">
        <f t="shared" si="47"/>
        <v>0</v>
      </c>
    </row>
    <row r="118" spans="1:3" ht="15" customHeight="1">
      <c r="A118" s="89">
        <f>IF('Cash Flow Analysis'!C86="","",'Cash Flow Analysis'!C86)</f>
        <v>21</v>
      </c>
      <c r="B118" s="104">
        <f t="shared" ca="1" si="48"/>
        <v>3395652.1624539546</v>
      </c>
      <c r="C118" s="113">
        <f t="shared" si="47"/>
        <v>0</v>
      </c>
    </row>
    <row r="119" spans="1:3" ht="15" customHeight="1">
      <c r="A119" s="89">
        <f>IF('Cash Flow Analysis'!C87="","",'Cash Flow Analysis'!C87)</f>
        <v>22</v>
      </c>
      <c r="B119" s="104">
        <f t="shared" ca="1" si="48"/>
        <v>2009206.3302516162</v>
      </c>
      <c r="C119" s="113">
        <f t="shared" si="47"/>
        <v>0</v>
      </c>
    </row>
    <row r="120" spans="1:3" ht="15" customHeight="1">
      <c r="A120" s="89">
        <f>IF('Cash Flow Analysis'!C88="","",'Cash Flow Analysis'!C88)</f>
        <v>23</v>
      </c>
      <c r="B120" s="104">
        <f t="shared" ca="1" si="48"/>
        <v>2472272.332861342</v>
      </c>
      <c r="C120" s="113">
        <f t="shared" si="47"/>
        <v>0</v>
      </c>
    </row>
    <row r="121" spans="1:3" ht="15" customHeight="1">
      <c r="A121" s="89">
        <f>IF('Cash Flow Analysis'!C89="","",'Cash Flow Analysis'!C89)</f>
        <v>24</v>
      </c>
      <c r="B121" s="104">
        <f t="shared" ca="1" si="48"/>
        <v>2410672.4156653937</v>
      </c>
      <c r="C121" s="113">
        <f t="shared" si="47"/>
        <v>0</v>
      </c>
    </row>
    <row r="122" spans="1:3" ht="15" customHeight="1">
      <c r="A122" s="89">
        <f>IF('Cash Flow Analysis'!C90="","",'Cash Flow Analysis'!C90)</f>
        <v>25</v>
      </c>
      <c r="B122" s="104">
        <f t="shared" ca="1" si="48"/>
        <v>2354866.587968668</v>
      </c>
      <c r="C122" s="113">
        <f t="shared" si="47"/>
        <v>0</v>
      </c>
    </row>
    <row r="123" spans="1:3" ht="15" customHeight="1">
      <c r="A123" s="89">
        <f>IF('Cash Flow Analysis'!C91="","",'Cash Flow Analysis'!C91)</f>
        <v>26</v>
      </c>
      <c r="B123" s="104">
        <f t="shared" ca="1" si="48"/>
        <v>2304005.4751811833</v>
      </c>
      <c r="C123" s="113">
        <f t="shared" si="47"/>
        <v>0</v>
      </c>
    </row>
    <row r="124" spans="1:3" ht="15" customHeight="1">
      <c r="A124" s="89">
        <f>IF('Cash Flow Analysis'!C92="","",'Cash Flow Analysis'!C92)</f>
        <v>27</v>
      </c>
      <c r="B124" s="104">
        <f t="shared" ca="1" si="48"/>
        <v>2258150.2613144922</v>
      </c>
      <c r="C124" s="113">
        <f t="shared" si="47"/>
        <v>0</v>
      </c>
    </row>
    <row r="125" spans="1:3" ht="15" customHeight="1">
      <c r="A125" s="89">
        <f>IF('Cash Flow Analysis'!C93="","",'Cash Flow Analysis'!C93)</f>
        <v>28</v>
      </c>
      <c r="B125" s="104">
        <f t="shared" ca="1" si="48"/>
        <v>1989255.3993188934</v>
      </c>
      <c r="C125" s="113">
        <f t="shared" si="47"/>
        <v>0</v>
      </c>
    </row>
    <row r="126" spans="1:3" ht="15" customHeight="1">
      <c r="A126" s="89">
        <f>IF('Cash Flow Analysis'!C94="","",'Cash Flow Analysis'!C94)</f>
        <v>29</v>
      </c>
      <c r="B126" s="104">
        <f t="shared" ca="1" si="48"/>
        <v>2292154.1750829658</v>
      </c>
      <c r="C126" s="113">
        <f t="shared" si="47"/>
        <v>0</v>
      </c>
    </row>
    <row r="127" spans="1:3" ht="15" customHeight="1">
      <c r="A127" s="89">
        <f>IF('Cash Flow Analysis'!C95="","",'Cash Flow Analysis'!C95)</f>
        <v>30</v>
      </c>
      <c r="B127" s="104">
        <f t="shared" ca="1" si="48"/>
        <v>2820431.7617297973</v>
      </c>
      <c r="C127" s="113">
        <f t="shared" si="47"/>
        <v>0</v>
      </c>
    </row>
    <row r="128" spans="1:3" ht="15" customHeight="1">
      <c r="A128" s="89">
        <f>IF('Cash Flow Analysis'!C96="","",'Cash Flow Analysis'!C96)</f>
        <v>31</v>
      </c>
      <c r="B128" s="104">
        <f t="shared" ca="1" si="48"/>
        <v>2750156.9943952863</v>
      </c>
      <c r="C128" s="113">
        <f t="shared" si="47"/>
        <v>0</v>
      </c>
    </row>
    <row r="129" spans="1:3" ht="15" customHeight="1">
      <c r="A129" s="89">
        <f>IF('Cash Flow Analysis'!C97="","",'Cash Flow Analysis'!C97)</f>
        <v>32</v>
      </c>
      <c r="B129" s="104">
        <f t="shared" ca="1" si="48"/>
        <v>2686492.2731453832</v>
      </c>
      <c r="C129" s="113">
        <f t="shared" si="47"/>
        <v>0</v>
      </c>
    </row>
    <row r="130" spans="1:3" ht="15" customHeight="1">
      <c r="A130" s="89">
        <f>IF('Cash Flow Analysis'!C98="","",'Cash Flow Analysis'!C98)</f>
        <v>33</v>
      </c>
      <c r="B130" s="104">
        <f t="shared" ca="1" si="48"/>
        <v>2628468.6096371175</v>
      </c>
      <c r="C130" s="113">
        <f t="shared" si="47"/>
        <v>0</v>
      </c>
    </row>
    <row r="131" spans="1:3" ht="15" customHeight="1">
      <c r="A131" s="89">
        <f>IF('Cash Flow Analysis'!C99="","",'Cash Flow Analysis'!C99)</f>
        <v>34</v>
      </c>
      <c r="B131" s="104">
        <f t="shared" ca="1" si="48"/>
        <v>2576155.8041619849</v>
      </c>
      <c r="C131" s="113">
        <f t="shared" si="47"/>
        <v>0</v>
      </c>
    </row>
    <row r="132" spans="1:3" ht="15" customHeight="1">
      <c r="A132" s="89">
        <f>IF('Cash Flow Analysis'!C100="","",'Cash Flow Analysis'!C100)</f>
        <v>35</v>
      </c>
      <c r="B132" s="104">
        <f t="shared" ca="1" si="48"/>
        <v>2269393.6407636716</v>
      </c>
      <c r="C132" s="113">
        <f t="shared" si="47"/>
        <v>0</v>
      </c>
    </row>
    <row r="133" spans="1:3" ht="15" customHeight="1">
      <c r="A133" s="89">
        <f>IF('Cash Flow Analysis'!C101="","",'Cash Flow Analysis'!C101)</f>
        <v>36</v>
      </c>
      <c r="B133" s="104">
        <f t="shared" ca="1" si="48"/>
        <v>2614948.3421607111</v>
      </c>
      <c r="C133" s="113">
        <f t="shared" si="47"/>
        <v>0</v>
      </c>
    </row>
    <row r="134" spans="1:3" ht="15" customHeight="1">
      <c r="A134" s="89">
        <f>IF('Cash Flow Analysis'!C102="","",'Cash Flow Analysis'!C102)</f>
        <v>37</v>
      </c>
      <c r="B134" s="104">
        <f t="shared" ca="1" si="48"/>
        <v>3217620.9784168629</v>
      </c>
      <c r="C134" s="113">
        <f t="shared" si="47"/>
        <v>0</v>
      </c>
    </row>
    <row r="135" spans="1:3" ht="15" customHeight="1">
      <c r="A135" s="89">
        <f>IF('Cash Flow Analysis'!C103="","",'Cash Flow Analysis'!C103)</f>
        <v>38</v>
      </c>
      <c r="B135" s="104">
        <f t="shared" ca="1" si="48"/>
        <v>3137449.7192865917</v>
      </c>
      <c r="C135" s="113">
        <f t="shared" si="47"/>
        <v>0</v>
      </c>
    </row>
    <row r="136" spans="1:3" ht="15" customHeight="1">
      <c r="A136" s="89">
        <f>IF('Cash Flow Analysis'!C104="","",'Cash Flow Analysis'!C104)</f>
        <v>39</v>
      </c>
      <c r="B136" s="104">
        <f t="shared" ca="1" si="48"/>
        <v>3064819.3704661271</v>
      </c>
      <c r="C136" s="113">
        <f t="shared" si="47"/>
        <v>0</v>
      </c>
    </row>
    <row r="137" spans="1:3" ht="15" customHeight="1">
      <c r="A137" s="89">
        <f>IF('Cash Flow Analysis'!C105="","",'Cash Flow Analysis'!C105)</f>
        <v>40</v>
      </c>
      <c r="B137" s="104">
        <f t="shared" ca="1" si="48"/>
        <v>2998624.4851715821</v>
      </c>
      <c r="C137" s="113">
        <f t="shared" si="47"/>
        <v>0</v>
      </c>
    </row>
    <row r="138" spans="1:3" ht="15" customHeight="1">
      <c r="A138" s="89" t="str">
        <f>IF('Cash Flow Analysis'!C106="","",'Cash Flow Analysis'!C106)</f>
        <v/>
      </c>
      <c r="B138" s="104">
        <f t="shared" ca="1" si="48"/>
        <v>2905285.6655719816</v>
      </c>
      <c r="C138" s="113">
        <f t="shared" ca="1" si="47"/>
        <v>2905285.6655719816</v>
      </c>
    </row>
    <row r="139" spans="1:3" ht="15" customHeight="1">
      <c r="A139" s="89" t="str">
        <f>IF('Cash Flow Analysis'!C107="","",'Cash Flow Analysis'!C107)</f>
        <v/>
      </c>
      <c r="B139" s="104">
        <f t="shared" ca="1" si="48"/>
        <v>2489888.118385178</v>
      </c>
      <c r="C139" s="113">
        <f t="shared" ca="1" si="47"/>
        <v>2489888.118385178</v>
      </c>
    </row>
    <row r="140" spans="1:3" ht="15" customHeight="1" thickBot="1">
      <c r="A140" s="114" t="str">
        <f>IF('Cash Flow Analysis'!C108="","",'Cash Flow Analysis'!C108)</f>
        <v/>
      </c>
      <c r="B140" s="115">
        <f t="shared" ca="1" si="48"/>
        <v>2083907.0133304116</v>
      </c>
      <c r="C140" s="116">
        <f t="shared" ca="1" si="47"/>
        <v>2083907.0133304116</v>
      </c>
    </row>
    <row r="141" spans="1:3" ht="15" customHeight="1" thickTop="1" thickBot="1">
      <c r="A141" s="117" t="s">
        <v>62</v>
      </c>
      <c r="B141" s="118">
        <f ca="1">SUM(B97:B140)</f>
        <v>156888932.03040177</v>
      </c>
      <c r="C141" s="119">
        <f ca="1">SUM(C97:C140)</f>
        <v>7479080.7972875703</v>
      </c>
    </row>
    <row r="142" spans="1:3" ht="15" customHeight="1" thickTop="1">
      <c r="A142" s="1"/>
      <c r="B142" s="120"/>
      <c r="C142" s="121"/>
    </row>
    <row r="143" spans="1:3" ht="15" customHeight="1" thickBot="1">
      <c r="A143" t="str">
        <f>IF('Cash Flow Analysis'!C109="","",'Cash Flow Analysis'!C109)</f>
        <v/>
      </c>
      <c r="B143" s="109"/>
    </row>
    <row r="144" spans="1:3" ht="31.5" customHeight="1" thickTop="1">
      <c r="A144" s="1595" t="s">
        <v>63</v>
      </c>
      <c r="B144" s="1596"/>
    </row>
    <row r="145" spans="1:2" ht="16.5" customHeight="1" thickBot="1">
      <c r="A145" s="122" t="s">
        <v>64</v>
      </c>
      <c r="B145" s="123" t="s">
        <v>60</v>
      </c>
    </row>
    <row r="146" spans="1:2" ht="15" customHeight="1" thickTop="1">
      <c r="A146" s="124">
        <v>1</v>
      </c>
      <c r="B146" s="100">
        <f ca="1">SUM(D92,E91,F90,G89,H88,I87,J86,K85,L84,M83,N82,O81,P80,Q79,R78,S77,T76,U75,V74,W73)</f>
        <v>2029895.7055148347</v>
      </c>
    </row>
    <row r="147" spans="1:2" ht="15" customHeight="1">
      <c r="A147" s="89">
        <v>2</v>
      </c>
      <c r="B147" s="105">
        <f ca="1">SUM(E92,F91,G90,H89,I88,J87,K86,L85,M84,N83,O82,P81,Q80,R79,S78,T77,U76,V75,W74)</f>
        <v>1989708.3438368978</v>
      </c>
    </row>
    <row r="148" spans="1:2" ht="15" customHeight="1">
      <c r="A148" s="89">
        <v>3</v>
      </c>
      <c r="B148" s="105">
        <f ca="1">SUM(F92,G91,H90,I89,J88,K87,L86,M85,N84,O83,P82,Q81,R80,S79,T78,U77,V76,W75)</f>
        <v>1952642.0554401143</v>
      </c>
    </row>
    <row r="149" spans="1:2" ht="15" customHeight="1">
      <c r="A149" s="89">
        <v>4</v>
      </c>
      <c r="B149" s="105">
        <f ca="1">SUM(G92,H91,I90,J89,K88,L87,M86,N85,O84,P83,Q82,R81,S80,T79,U78,V77,W76)</f>
        <v>1918391.8605258518</v>
      </c>
    </row>
    <row r="150" spans="1:2" ht="15" customHeight="1">
      <c r="A150" s="89">
        <v>5</v>
      </c>
      <c r="B150" s="105">
        <f ca="1">SUM(H92,I91,J90,K89,L88,M87,N86,O85,P84,Q83,R82,S81,T80,U79,V78,W77)</f>
        <v>1886819.049135027</v>
      </c>
    </row>
    <row r="151" spans="1:2" ht="15" customHeight="1">
      <c r="A151" s="89">
        <v>6</v>
      </c>
      <c r="B151" s="105">
        <f ca="1">SUM(I92,J91,K90,L89,M88,N87,O86,P85,Q84,R83,S82,T81,U80,V79,W78)</f>
        <v>1517611.7325741493</v>
      </c>
    </row>
    <row r="152" spans="1:2" ht="15" customHeight="1">
      <c r="A152" s="89">
        <v>7</v>
      </c>
      <c r="B152" s="105">
        <f ca="1">SUM(J92,K91,L90,M89,N88,O87,P86,Q85,R84,S83,T82,U81,V80,W79)</f>
        <v>1148005.8326731087</v>
      </c>
    </row>
    <row r="153" spans="1:2" ht="15" customHeight="1">
      <c r="A153" s="89">
        <v>8</v>
      </c>
      <c r="B153" s="105">
        <f ca="1">SUM(K92,L91,M90,N89,O88,P87,Q86,R85,S84,T83,U82,V81,W80)</f>
        <v>1114963.1952904842</v>
      </c>
    </row>
    <row r="154" spans="1:2" ht="15" customHeight="1">
      <c r="A154" s="89">
        <v>9</v>
      </c>
      <c r="B154" s="105">
        <f ca="1">SUM(L92,M91,N90,O89,P88,Q87,R86,S85,T84,U83,V82,W81)</f>
        <v>1081650.1961170889</v>
      </c>
    </row>
    <row r="155" spans="1:2" ht="15" customHeight="1">
      <c r="A155" s="89">
        <v>10</v>
      </c>
      <c r="B155" s="105">
        <f ca="1">SUM(M92,N91,O90,P89,Q88,R87,S86,T85,U84,V83,W82)</f>
        <v>1047346.8016399</v>
      </c>
    </row>
    <row r="156" spans="1:2" ht="15" customHeight="1">
      <c r="A156" s="89">
        <v>11</v>
      </c>
      <c r="B156" s="105">
        <f ca="1">SUM(N92,O91,P90,Q89,R88,S87,T86,U85,V84,W83)</f>
        <v>1012749.0909871436</v>
      </c>
    </row>
    <row r="157" spans="1:2" ht="15" customHeight="1">
      <c r="A157" s="89">
        <v>12</v>
      </c>
      <c r="B157" s="105">
        <f ca="1">SUM(O92,P91,Q90,R89,S88,T87,U86,V85,W84)</f>
        <v>977136.57551248581</v>
      </c>
    </row>
    <row r="158" spans="1:2" ht="15" customHeight="1">
      <c r="A158" s="89">
        <v>13</v>
      </c>
      <c r="B158" s="105">
        <f ca="1">SUM(P92,Q91,R90,S89,T88,U87,V86,W85)</f>
        <v>556141.80805766722</v>
      </c>
    </row>
    <row r="159" spans="1:2" ht="15" customHeight="1">
      <c r="A159" s="89">
        <v>14</v>
      </c>
      <c r="B159" s="105">
        <f ca="1">SUM(Q92,R91,S90,T89,U88,V87,W86)</f>
        <v>134279.486510788</v>
      </c>
    </row>
    <row r="160" spans="1:2" ht="15" customHeight="1">
      <c r="A160" s="89">
        <v>15</v>
      </c>
      <c r="B160" s="105">
        <f ca="1">SUM(R92,S91,T90,U89,V88,W87)</f>
        <v>96790.017288512114</v>
      </c>
    </row>
    <row r="161" spans="1:2" ht="15" customHeight="1">
      <c r="A161" s="89">
        <v>16</v>
      </c>
      <c r="B161" s="105">
        <f ca="1">SUM(S92,T91,U90,V89,W88)</f>
        <v>58579.272410267426</v>
      </c>
    </row>
    <row r="162" spans="1:2" ht="15" customHeight="1">
      <c r="A162" s="89">
        <v>17</v>
      </c>
      <c r="B162" s="105">
        <f ca="1">SUM(T92,U91,V90,W89)</f>
        <v>19651.499120081658</v>
      </c>
    </row>
    <row r="163" spans="1:2" ht="15" customHeight="1">
      <c r="A163" s="89">
        <v>18</v>
      </c>
      <c r="B163" s="105">
        <f>SUM(U92,V91,W90)</f>
        <v>0</v>
      </c>
    </row>
    <row r="164" spans="1:2" ht="15" customHeight="1">
      <c r="A164" s="89">
        <v>19</v>
      </c>
      <c r="B164" s="105">
        <f>SUM(V92,W91)</f>
        <v>0</v>
      </c>
    </row>
    <row r="165" spans="1:2" ht="15" customHeight="1" thickBot="1">
      <c r="A165" s="91">
        <v>20</v>
      </c>
      <c r="B165" s="92">
        <f>SUM(W92)</f>
        <v>0</v>
      </c>
    </row>
    <row r="166" spans="1:2" ht="14.25" thickTop="1" thickBot="1">
      <c r="A166" s="117" t="s">
        <v>62</v>
      </c>
      <c r="B166" s="125">
        <f ca="1">SUM(B146:B165)</f>
        <v>18542362.522634402</v>
      </c>
    </row>
    <row r="167" spans="1:2" ht="13.5" thickTop="1"/>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75"/>
  <cols>
    <col min="1" max="1" width="33" customWidth="1"/>
    <col min="2" max="2" width="10" customWidth="1"/>
    <col min="3" max="3" width="14" customWidth="1"/>
    <col min="4" max="4" width="11.140625" customWidth="1"/>
    <col min="5" max="5" width="60.85546875" customWidth="1"/>
    <col min="7" max="8" width="14" customWidth="1"/>
    <col min="11" max="11" width="14.140625" customWidth="1"/>
    <col min="12" max="12" width="18.28515625" customWidth="1"/>
    <col min="15" max="15" width="12.42578125" bestFit="1" customWidth="1"/>
    <col min="16" max="16" width="14.28515625" customWidth="1"/>
  </cols>
  <sheetData>
    <row r="1" spans="1:5" s="2" customFormat="1" ht="15">
      <c r="A1" s="2" t="s">
        <v>283</v>
      </c>
      <c r="B1" s="2" t="s">
        <v>284</v>
      </c>
      <c r="C1" s="2" t="s">
        <v>285</v>
      </c>
    </row>
    <row r="2" spans="1:5" ht="15">
      <c r="A2" s="2" t="s">
        <v>286</v>
      </c>
    </row>
    <row r="3" spans="1:5">
      <c r="A3" t="s">
        <v>287</v>
      </c>
      <c r="B3" t="s">
        <v>288</v>
      </c>
      <c r="C3">
        <v>1.6093</v>
      </c>
      <c r="D3" t="s">
        <v>641</v>
      </c>
    </row>
    <row r="4" spans="1:5">
      <c r="A4" t="s">
        <v>289</v>
      </c>
      <c r="B4" t="s">
        <v>290</v>
      </c>
      <c r="C4">
        <v>3.7850000000000001</v>
      </c>
      <c r="D4" t="s">
        <v>642</v>
      </c>
    </row>
    <row r="5" spans="1:5">
      <c r="A5" t="s">
        <v>291</v>
      </c>
      <c r="B5" t="s">
        <v>292</v>
      </c>
      <c r="C5">
        <v>1.8263969224024776E-2</v>
      </c>
      <c r="D5" t="s">
        <v>643</v>
      </c>
    </row>
    <row r="6" spans="1:5">
      <c r="A6" t="s">
        <v>846</v>
      </c>
      <c r="B6" t="s">
        <v>1004</v>
      </c>
      <c r="C6">
        <v>2.6852999999999998E-2</v>
      </c>
      <c r="D6" t="s">
        <v>644</v>
      </c>
      <c r="E6" t="s">
        <v>708</v>
      </c>
    </row>
    <row r="7" spans="1:5">
      <c r="A7" t="s">
        <v>854</v>
      </c>
      <c r="B7" t="s">
        <v>267</v>
      </c>
      <c r="C7">
        <f>1/2.205</f>
        <v>0.45351473922902491</v>
      </c>
      <c r="D7" t="s">
        <v>645</v>
      </c>
    </row>
    <row r="8" spans="1:5">
      <c r="A8" t="s">
        <v>911</v>
      </c>
      <c r="B8" t="s">
        <v>1004</v>
      </c>
      <c r="C8">
        <v>2.8316999999999998E-2</v>
      </c>
      <c r="D8" t="s">
        <v>646</v>
      </c>
      <c r="E8" t="s">
        <v>709</v>
      </c>
    </row>
    <row r="9" spans="1:5">
      <c r="A9" t="s">
        <v>376</v>
      </c>
      <c r="B9" t="s">
        <v>414</v>
      </c>
      <c r="C9">
        <v>145.03800000000001</v>
      </c>
      <c r="D9" t="s">
        <v>550</v>
      </c>
    </row>
    <row r="11" spans="1:5" ht="15">
      <c r="A11" s="2" t="s">
        <v>293</v>
      </c>
    </row>
    <row r="12" spans="1:5">
      <c r="A12" t="s">
        <v>294</v>
      </c>
      <c r="B12" t="s">
        <v>295</v>
      </c>
      <c r="C12">
        <v>0.27777777777777779</v>
      </c>
    </row>
    <row r="13" spans="1:5">
      <c r="A13" t="s">
        <v>296</v>
      </c>
      <c r="B13" t="s">
        <v>295</v>
      </c>
      <c r="C13">
        <v>34.022625288888882</v>
      </c>
    </row>
    <row r="14" spans="1:5">
      <c r="A14" t="s">
        <v>297</v>
      </c>
      <c r="B14" t="s">
        <v>298</v>
      </c>
      <c r="C14">
        <v>0.97933196399532141</v>
      </c>
    </row>
    <row r="15" spans="1:5">
      <c r="A15" t="s">
        <v>297</v>
      </c>
      <c r="B15" t="s">
        <v>295</v>
      </c>
      <c r="C15">
        <f>kgH2_to_GJ*MJ_to_kWh*1000</f>
        <v>33.392121748655818</v>
      </c>
    </row>
    <row r="16" spans="1:5">
      <c r="A16" t="s">
        <v>297</v>
      </c>
      <c r="B16" t="s">
        <v>1070</v>
      </c>
      <c r="C16">
        <f>H2_LHV_MJ_p_kg/1000</f>
        <v>0.12021163829516093</v>
      </c>
    </row>
    <row r="17" spans="1:3">
      <c r="A17" t="s">
        <v>299</v>
      </c>
      <c r="B17" t="s">
        <v>295</v>
      </c>
      <c r="C17">
        <v>2.9308323563892143E-4</v>
      </c>
    </row>
    <row r="18" spans="1:3">
      <c r="A18" t="s">
        <v>1069</v>
      </c>
      <c r="B18" t="s">
        <v>1070</v>
      </c>
      <c r="C18">
        <v>1.0549999999999999</v>
      </c>
    </row>
    <row r="21" spans="1:3" ht="15">
      <c r="A21" s="2" t="s">
        <v>536</v>
      </c>
      <c r="C21" s="40" t="s">
        <v>836</v>
      </c>
    </row>
    <row r="22" spans="1:3">
      <c r="A22" t="s">
        <v>402</v>
      </c>
      <c r="B22">
        <v>1</v>
      </c>
    </row>
    <row r="23" spans="1:3">
      <c r="A23" t="s">
        <v>403</v>
      </c>
      <c r="B23">
        <v>25</v>
      </c>
    </row>
    <row r="24" spans="1:3">
      <c r="A24" t="s">
        <v>404</v>
      </c>
      <c r="B24">
        <v>298</v>
      </c>
    </row>
    <row r="27" spans="1:3" ht="15">
      <c r="A27" s="2" t="s">
        <v>703</v>
      </c>
    </row>
    <row r="28" spans="1:3">
      <c r="A28" t="s">
        <v>704</v>
      </c>
      <c r="B28" t="s">
        <v>705</v>
      </c>
    </row>
    <row r="29" spans="1:3">
      <c r="A29" t="s">
        <v>860</v>
      </c>
      <c r="B29">
        <f>mmBTU_to_GJ</f>
        <v>1.0549999999999999</v>
      </c>
    </row>
    <row r="30" spans="1:3">
      <c r="A30" t="s">
        <v>295</v>
      </c>
      <c r="B30">
        <f>1/MJ_to_kWh/1000</f>
        <v>3.5999999999999995E-3</v>
      </c>
    </row>
    <row r="31" spans="1:3">
      <c r="A31" t="s">
        <v>1070</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topLeftCell="F25" zoomScale="175" zoomScaleNormal="175" workbookViewId="0">
      <selection activeCell="G31" sqref="G31:H31"/>
    </sheetView>
  </sheetViews>
  <sheetFormatPr defaultRowHeight="12.75"/>
  <cols>
    <col min="1" max="1" width="17" customWidth="1"/>
    <col min="3" max="3" width="13.7109375" customWidth="1"/>
    <col min="5" max="5" width="16" customWidth="1"/>
    <col min="7" max="7" width="56.42578125" customWidth="1"/>
    <col min="8" max="8" width="18.85546875" customWidth="1"/>
    <col min="10" max="10" width="22.28515625" customWidth="1"/>
    <col min="11" max="11" width="33.85546875" customWidth="1"/>
    <col min="13" max="13" width="21" customWidth="1"/>
    <col min="15" max="15" width="20.7109375" customWidth="1"/>
    <col min="16" max="16" width="17.140625" customWidth="1"/>
    <col min="17" max="17" width="16.140625" customWidth="1"/>
    <col min="18" max="18" width="21" customWidth="1"/>
    <col min="20" max="20" width="14.5703125" customWidth="1"/>
    <col min="22" max="22" width="18.5703125" customWidth="1"/>
    <col min="25" max="25" width="22.5703125" customWidth="1"/>
    <col min="26" max="26" width="15.140625" customWidth="1"/>
    <col min="27" max="27" width="12.5703125" bestFit="1" customWidth="1"/>
    <col min="28" max="28" width="18.7109375" customWidth="1"/>
    <col min="29" max="29" width="18.5703125" customWidth="1"/>
  </cols>
  <sheetData>
    <row r="1" spans="1:29">
      <c r="A1" s="1" t="s">
        <v>1087</v>
      </c>
    </row>
    <row r="2" spans="1:29">
      <c r="J2" s="1" t="s">
        <v>813</v>
      </c>
    </row>
    <row r="3" spans="1:29">
      <c r="A3" s="1" t="s">
        <v>1001</v>
      </c>
      <c r="C3" s="1" t="s">
        <v>22</v>
      </c>
      <c r="E3" s="1" t="s">
        <v>166</v>
      </c>
      <c r="G3" s="1" t="s">
        <v>11</v>
      </c>
      <c r="J3" s="40" t="s">
        <v>1113</v>
      </c>
      <c r="M3" s="1" t="s">
        <v>75</v>
      </c>
      <c r="O3" s="1" t="s">
        <v>438</v>
      </c>
      <c r="Q3" s="286" t="s">
        <v>1356</v>
      </c>
      <c r="R3" s="1" t="s">
        <v>665</v>
      </c>
      <c r="T3" s="1" t="s">
        <v>433</v>
      </c>
      <c r="V3" s="1" t="s">
        <v>435</v>
      </c>
      <c r="Y3" s="1" t="s">
        <v>345</v>
      </c>
      <c r="AA3" s="286" t="s">
        <v>1356</v>
      </c>
      <c r="AB3" s="1" t="s">
        <v>1062</v>
      </c>
    </row>
    <row r="4" spans="1:29">
      <c r="A4" t="s">
        <v>1002</v>
      </c>
      <c r="C4" t="s">
        <v>23</v>
      </c>
      <c r="E4" s="1">
        <v>100000</v>
      </c>
      <c r="G4" t="s">
        <v>323</v>
      </c>
      <c r="H4" t="s">
        <v>8</v>
      </c>
      <c r="J4" s="40" t="s">
        <v>1101</v>
      </c>
      <c r="M4" t="s">
        <v>1038</v>
      </c>
      <c r="O4" t="str">
        <f>M7</f>
        <v>ref_year</v>
      </c>
      <c r="P4">
        <v>2016</v>
      </c>
      <c r="Q4" t="b">
        <v>1</v>
      </c>
      <c r="R4" s="40" t="s">
        <v>1038</v>
      </c>
      <c r="T4">
        <v>1</v>
      </c>
      <c r="U4" t="s">
        <v>434</v>
      </c>
      <c r="V4" t="s">
        <v>416</v>
      </c>
      <c r="W4">
        <v>1.1000000000000001</v>
      </c>
      <c r="Y4" t="s">
        <v>338</v>
      </c>
      <c r="Z4">
        <v>0.9</v>
      </c>
      <c r="AA4" t="b">
        <v>0</v>
      </c>
      <c r="AB4" t="s">
        <v>27</v>
      </c>
      <c r="AC4" s="40" t="s">
        <v>824</v>
      </c>
    </row>
    <row r="5" spans="1:29">
      <c r="A5" t="s">
        <v>1003</v>
      </c>
      <c r="C5" t="s">
        <v>281</v>
      </c>
      <c r="G5" t="s">
        <v>334</v>
      </c>
      <c r="H5" t="s">
        <v>26</v>
      </c>
      <c r="J5" s="40" t="s">
        <v>1102</v>
      </c>
      <c r="M5" t="s">
        <v>8</v>
      </c>
      <c r="O5" t="str">
        <f>M18</f>
        <v>depr_type</v>
      </c>
      <c r="P5" t="s">
        <v>437</v>
      </c>
      <c r="Q5" t="b">
        <v>1</v>
      </c>
      <c r="R5" s="40" t="s">
        <v>932</v>
      </c>
      <c r="T5">
        <v>1.2</v>
      </c>
      <c r="U5" t="s">
        <v>423</v>
      </c>
      <c r="V5" t="s">
        <v>417</v>
      </c>
      <c r="W5">
        <v>1</v>
      </c>
      <c r="Y5" t="s">
        <v>339</v>
      </c>
      <c r="Z5">
        <v>0.04</v>
      </c>
      <c r="AA5" t="b">
        <v>1</v>
      </c>
      <c r="AB5" t="s">
        <v>179</v>
      </c>
      <c r="AC5" s="40" t="s">
        <v>824</v>
      </c>
    </row>
    <row r="6" spans="1:29">
      <c r="G6" t="s">
        <v>372</v>
      </c>
      <c r="H6" t="s">
        <v>182</v>
      </c>
      <c r="J6" s="40" t="s">
        <v>1103</v>
      </c>
      <c r="M6" t="s">
        <v>26</v>
      </c>
      <c r="O6" t="str">
        <f>M19</f>
        <v>equity</v>
      </c>
      <c r="P6" s="1382">
        <v>0.4</v>
      </c>
      <c r="Q6" t="b">
        <v>1</v>
      </c>
      <c r="R6" s="40" t="s">
        <v>933</v>
      </c>
      <c r="V6" t="s">
        <v>418</v>
      </c>
      <c r="W6">
        <v>1.05</v>
      </c>
      <c r="Y6" t="s">
        <v>549</v>
      </c>
      <c r="Z6">
        <v>14.7</v>
      </c>
      <c r="AA6" t="b">
        <v>1</v>
      </c>
      <c r="AB6" t="s">
        <v>171</v>
      </c>
      <c r="AC6" s="40" t="s">
        <v>824</v>
      </c>
    </row>
    <row r="7" spans="1:29">
      <c r="A7" s="1" t="s">
        <v>269</v>
      </c>
      <c r="C7" s="1" t="s">
        <v>1053</v>
      </c>
      <c r="G7" t="s">
        <v>373</v>
      </c>
      <c r="H7" t="s">
        <v>10</v>
      </c>
      <c r="J7" s="286" t="s">
        <v>1287</v>
      </c>
      <c r="M7" t="s">
        <v>1021</v>
      </c>
      <c r="O7" t="str">
        <f t="shared" ref="O7:O13" si="0">M25</f>
        <v>decom_percent</v>
      </c>
      <c r="P7">
        <v>0.1</v>
      </c>
      <c r="Q7" t="b">
        <v>1</v>
      </c>
      <c r="R7" s="40" t="s">
        <v>934</v>
      </c>
      <c r="V7" t="s">
        <v>419</v>
      </c>
      <c r="W7">
        <v>1.1000000000000001</v>
      </c>
      <c r="Y7" t="s">
        <v>958</v>
      </c>
      <c r="Z7">
        <v>0</v>
      </c>
      <c r="AA7" t="b">
        <v>1</v>
      </c>
      <c r="AB7" t="s">
        <v>173</v>
      </c>
      <c r="AC7" s="40" t="s">
        <v>824</v>
      </c>
    </row>
    <row r="8" spans="1:29">
      <c r="A8" t="s">
        <v>247</v>
      </c>
      <c r="C8" t="s">
        <v>1048</v>
      </c>
      <c r="G8" t="s">
        <v>377</v>
      </c>
      <c r="H8" t="s">
        <v>181</v>
      </c>
      <c r="M8" t="s">
        <v>182</v>
      </c>
      <c r="O8" t="str">
        <f t="shared" si="0"/>
        <v>salvage_perct</v>
      </c>
      <c r="P8">
        <v>0.1</v>
      </c>
      <c r="Q8" t="b">
        <v>1</v>
      </c>
      <c r="R8" s="40" t="s">
        <v>935</v>
      </c>
      <c r="V8" t="s">
        <v>421</v>
      </c>
      <c r="W8">
        <v>1.1000000000000001</v>
      </c>
      <c r="Y8" s="286" t="s">
        <v>1266</v>
      </c>
      <c r="Z8" s="286">
        <v>1</v>
      </c>
      <c r="AA8" t="b">
        <v>1</v>
      </c>
      <c r="AB8" t="s">
        <v>29</v>
      </c>
      <c r="AC8" s="40" t="s">
        <v>824</v>
      </c>
    </row>
    <row r="9" spans="1:29">
      <c r="A9" t="s">
        <v>270</v>
      </c>
      <c r="C9" t="s">
        <v>270</v>
      </c>
      <c r="G9" t="s">
        <v>378</v>
      </c>
      <c r="H9" t="s">
        <v>170</v>
      </c>
      <c r="M9" t="s">
        <v>10</v>
      </c>
      <c r="O9" t="str">
        <f t="shared" si="0"/>
        <v>inflation_rate</v>
      </c>
      <c r="P9">
        <v>1.9E-2</v>
      </c>
      <c r="Q9" t="b">
        <v>1</v>
      </c>
      <c r="R9" s="40" t="s">
        <v>936</v>
      </c>
      <c r="V9" t="s">
        <v>420</v>
      </c>
      <c r="W9">
        <v>1.3</v>
      </c>
      <c r="Y9" s="286" t="s">
        <v>344</v>
      </c>
      <c r="Z9" s="286">
        <v>100</v>
      </c>
      <c r="AA9" t="b">
        <v>1</v>
      </c>
      <c r="AB9" t="s">
        <v>159</v>
      </c>
      <c r="AC9" s="40" t="s">
        <v>824</v>
      </c>
    </row>
    <row r="10" spans="1:29">
      <c r="A10" t="s">
        <v>271</v>
      </c>
      <c r="C10" t="s">
        <v>1054</v>
      </c>
      <c r="G10" t="s">
        <v>324</v>
      </c>
      <c r="H10" t="s">
        <v>18</v>
      </c>
      <c r="M10" t="s">
        <v>161</v>
      </c>
      <c r="O10" t="str">
        <f t="shared" si="0"/>
        <v>real_irr</v>
      </c>
      <c r="P10" s="1382">
        <v>0.08</v>
      </c>
      <c r="Q10" t="b">
        <v>1</v>
      </c>
      <c r="R10" s="40" t="s">
        <v>937</v>
      </c>
      <c r="V10" t="s">
        <v>422</v>
      </c>
      <c r="W10">
        <v>1.5</v>
      </c>
      <c r="Y10" s="286" t="s">
        <v>1248</v>
      </c>
      <c r="Z10" s="286">
        <v>0.75</v>
      </c>
      <c r="AA10" t="b">
        <v>1</v>
      </c>
      <c r="AB10" t="s">
        <v>169</v>
      </c>
      <c r="AC10" s="40" t="s">
        <v>824</v>
      </c>
    </row>
    <row r="11" spans="1:29">
      <c r="C11" t="s">
        <v>1067</v>
      </c>
      <c r="G11" t="s">
        <v>325</v>
      </c>
      <c r="H11" t="s">
        <v>178</v>
      </c>
      <c r="J11" s="1" t="s">
        <v>692</v>
      </c>
      <c r="K11" s="1" t="s">
        <v>693</v>
      </c>
      <c r="M11" t="s">
        <v>162</v>
      </c>
      <c r="O11" t="str">
        <f t="shared" si="0"/>
        <v>state_tax_rate</v>
      </c>
      <c r="P11">
        <v>0.06</v>
      </c>
      <c r="Q11" t="b">
        <v>1</v>
      </c>
      <c r="R11" s="40" t="s">
        <v>938</v>
      </c>
      <c r="Y11" s="286" t="s">
        <v>1249</v>
      </c>
      <c r="Z11" s="1239" t="s">
        <v>23</v>
      </c>
      <c r="AA11" t="b">
        <v>1</v>
      </c>
      <c r="AB11" t="s">
        <v>1089</v>
      </c>
      <c r="AC11" t="s">
        <v>835</v>
      </c>
    </row>
    <row r="12" spans="1:29">
      <c r="C12" t="s">
        <v>271</v>
      </c>
      <c r="G12" t="s">
        <v>326</v>
      </c>
      <c r="H12" t="s">
        <v>30</v>
      </c>
      <c r="J12" s="824" t="str">
        <f>TMP_PriceTable</f>
        <v>AEO_2017_Reference_Case</v>
      </c>
      <c r="K12" t="str">
        <f>J12&amp;"_Feeds"</f>
        <v>AEO_2017_Reference_Case_Feeds</v>
      </c>
      <c r="M12" t="s">
        <v>163</v>
      </c>
      <c r="O12" t="str">
        <f t="shared" si="0"/>
        <v>fed_tax_rate</v>
      </c>
      <c r="P12" s="1382">
        <v>0.21</v>
      </c>
      <c r="Q12" t="b">
        <v>1</v>
      </c>
      <c r="R12" s="40" t="s">
        <v>939</v>
      </c>
      <c r="Y12" s="286" t="s">
        <v>1250</v>
      </c>
      <c r="Z12" s="1239" t="s">
        <v>23</v>
      </c>
      <c r="AA12" t="b">
        <v>1</v>
      </c>
      <c r="AB12" t="s">
        <v>1090</v>
      </c>
      <c r="AC12" t="s">
        <v>1058</v>
      </c>
    </row>
    <row r="13" spans="1:29">
      <c r="G13" t="s">
        <v>327</v>
      </c>
      <c r="H13" t="s">
        <v>174</v>
      </c>
      <c r="K13" s="1" t="s">
        <v>694</v>
      </c>
      <c r="M13" t="s">
        <v>164</v>
      </c>
      <c r="O13" t="str">
        <f t="shared" si="0"/>
        <v>WorkingCap</v>
      </c>
      <c r="P13">
        <v>0.15</v>
      </c>
      <c r="Q13" t="b">
        <v>1</v>
      </c>
      <c r="R13" s="40" t="s">
        <v>940</v>
      </c>
      <c r="Y13" s="286" t="s">
        <v>1251</v>
      </c>
      <c r="Z13" s="286">
        <v>0</v>
      </c>
      <c r="AA13" t="b">
        <v>1</v>
      </c>
      <c r="AB13" t="s">
        <v>1018</v>
      </c>
      <c r="AC13">
        <v>0.25</v>
      </c>
    </row>
    <row r="14" spans="1:29">
      <c r="A14" s="1" t="s">
        <v>16</v>
      </c>
      <c r="C14" s="1" t="s">
        <v>199</v>
      </c>
      <c r="G14" t="s">
        <v>328</v>
      </c>
      <c r="H14" t="s">
        <v>184</v>
      </c>
      <c r="K14" t="str">
        <f>J12&amp;"_Years"</f>
        <v>AEO_2017_Reference_Case_Years</v>
      </c>
      <c r="M14" t="s">
        <v>181</v>
      </c>
      <c r="O14" t="s">
        <v>160</v>
      </c>
      <c r="P14">
        <v>0.2</v>
      </c>
      <c r="Q14" t="b">
        <v>1</v>
      </c>
      <c r="R14" t="s">
        <v>8</v>
      </c>
      <c r="Y14" s="286" t="s">
        <v>1252</v>
      </c>
      <c r="Z14" s="286">
        <v>53</v>
      </c>
      <c r="AA14" t="b">
        <v>1</v>
      </c>
      <c r="AB14" t="s">
        <v>1019</v>
      </c>
      <c r="AC14" t="s">
        <v>835</v>
      </c>
    </row>
    <row r="15" spans="1:29">
      <c r="A15" t="s">
        <v>191</v>
      </c>
      <c r="C15" s="743" t="s">
        <v>200</v>
      </c>
      <c r="G15" t="s">
        <v>329</v>
      </c>
      <c r="H15" t="s">
        <v>28</v>
      </c>
      <c r="M15" t="s">
        <v>170</v>
      </c>
      <c r="O15" t="s">
        <v>186</v>
      </c>
      <c r="P15">
        <v>0.02</v>
      </c>
      <c r="Q15" t="b">
        <v>1</v>
      </c>
      <c r="R15" t="s">
        <v>26</v>
      </c>
      <c r="Y15" s="1236"/>
      <c r="Z15" s="1236"/>
      <c r="AB15" t="s">
        <v>31</v>
      </c>
      <c r="AC15" t="s">
        <v>1058</v>
      </c>
    </row>
    <row r="16" spans="1:29" ht="14.25">
      <c r="A16" t="s">
        <v>192</v>
      </c>
      <c r="C16" s="744" t="s">
        <v>201</v>
      </c>
      <c r="G16" t="s">
        <v>330</v>
      </c>
      <c r="H16" t="s">
        <v>189</v>
      </c>
      <c r="M16" t="s">
        <v>7</v>
      </c>
      <c r="O16" t="s">
        <v>177</v>
      </c>
      <c r="P16">
        <v>0</v>
      </c>
      <c r="R16" t="s">
        <v>1021</v>
      </c>
      <c r="Y16" s="1236"/>
      <c r="Z16" s="1237"/>
      <c r="AB16" t="s">
        <v>175</v>
      </c>
      <c r="AC16" t="s">
        <v>1058</v>
      </c>
    </row>
    <row r="17" spans="1:29">
      <c r="A17" t="s">
        <v>242</v>
      </c>
      <c r="C17" s="775" t="s">
        <v>500</v>
      </c>
      <c r="G17" t="s">
        <v>12</v>
      </c>
      <c r="H17" t="s">
        <v>245</v>
      </c>
      <c r="M17" t="s">
        <v>24</v>
      </c>
      <c r="O17" t="s">
        <v>156</v>
      </c>
      <c r="P17">
        <v>0</v>
      </c>
      <c r="R17" t="s">
        <v>182</v>
      </c>
      <c r="AB17" t="s">
        <v>1020</v>
      </c>
      <c r="AC17" t="s">
        <v>1058</v>
      </c>
    </row>
    <row r="18" spans="1:29">
      <c r="A18" t="s">
        <v>243</v>
      </c>
      <c r="C18" s="745" t="s">
        <v>1028</v>
      </c>
      <c r="G18" t="s">
        <v>117</v>
      </c>
      <c r="H18" t="s">
        <v>970</v>
      </c>
      <c r="M18" t="s">
        <v>25</v>
      </c>
      <c r="O18" t="s">
        <v>185</v>
      </c>
      <c r="P18">
        <v>0</v>
      </c>
      <c r="R18" t="s">
        <v>10</v>
      </c>
      <c r="Y18" s="1236"/>
      <c r="Z18" s="1236"/>
      <c r="AB18" t="s">
        <v>172</v>
      </c>
      <c r="AC18" t="s">
        <v>1058</v>
      </c>
    </row>
    <row r="19" spans="1:29">
      <c r="A19" t="s">
        <v>244</v>
      </c>
      <c r="C19" s="456" t="s">
        <v>202</v>
      </c>
      <c r="G19" t="s">
        <v>633</v>
      </c>
      <c r="H19" t="s">
        <v>634</v>
      </c>
      <c r="M19" t="s">
        <v>246</v>
      </c>
      <c r="O19" t="s">
        <v>960</v>
      </c>
      <c r="P19">
        <v>0</v>
      </c>
      <c r="R19" t="s">
        <v>161</v>
      </c>
      <c r="Y19" s="1236"/>
      <c r="Z19" s="1236"/>
      <c r="AB19" t="s">
        <v>157</v>
      </c>
      <c r="AC19" t="s">
        <v>1057</v>
      </c>
    </row>
    <row r="20" spans="1:29">
      <c r="A20" t="s">
        <v>17</v>
      </c>
      <c r="G20" t="s">
        <v>351</v>
      </c>
      <c r="H20" t="s">
        <v>1089</v>
      </c>
      <c r="M20" t="s">
        <v>13</v>
      </c>
      <c r="O20" t="s">
        <v>961</v>
      </c>
      <c r="P20">
        <v>0</v>
      </c>
      <c r="R20" t="s">
        <v>162</v>
      </c>
      <c r="Y20" s="1236"/>
      <c r="Z20" s="1236"/>
      <c r="AB20" t="s">
        <v>158</v>
      </c>
      <c r="AC20" t="s">
        <v>1058</v>
      </c>
    </row>
    <row r="21" spans="1:29">
      <c r="G21" t="s">
        <v>661</v>
      </c>
      <c r="H21" t="s">
        <v>1018</v>
      </c>
      <c r="M21" t="s">
        <v>14</v>
      </c>
      <c r="R21" t="s">
        <v>163</v>
      </c>
      <c r="AB21" t="s">
        <v>187</v>
      </c>
      <c r="AC21" t="s">
        <v>1057</v>
      </c>
    </row>
    <row r="22" spans="1:29">
      <c r="G22" t="s">
        <v>331</v>
      </c>
      <c r="H22" t="s">
        <v>160</v>
      </c>
      <c r="M22" t="s">
        <v>165</v>
      </c>
      <c r="R22" t="s">
        <v>164</v>
      </c>
      <c r="AB22" t="s">
        <v>279</v>
      </c>
      <c r="AC22" t="s">
        <v>1057</v>
      </c>
    </row>
    <row r="23" spans="1:29">
      <c r="A23" s="1" t="s">
        <v>834</v>
      </c>
      <c r="G23" t="s">
        <v>332</v>
      </c>
      <c r="H23" t="s">
        <v>186</v>
      </c>
      <c r="M23" t="s">
        <v>167</v>
      </c>
      <c r="R23" t="s">
        <v>181</v>
      </c>
      <c r="AB23" t="s">
        <v>188</v>
      </c>
      <c r="AC23" t="s">
        <v>1057</v>
      </c>
    </row>
    <row r="24" spans="1:29">
      <c r="A24" s="40" t="s">
        <v>1057</v>
      </c>
      <c r="G24" t="s">
        <v>358</v>
      </c>
      <c r="H24" t="s">
        <v>175</v>
      </c>
      <c r="M24" t="s">
        <v>168</v>
      </c>
      <c r="R24" t="s">
        <v>170</v>
      </c>
      <c r="AB24" t="s">
        <v>180</v>
      </c>
      <c r="AC24" t="s">
        <v>1057</v>
      </c>
    </row>
    <row r="25" spans="1:29">
      <c r="A25" s="40" t="s">
        <v>1058</v>
      </c>
      <c r="G25" t="s">
        <v>359</v>
      </c>
      <c r="H25" t="s">
        <v>1020</v>
      </c>
      <c r="M25" t="s">
        <v>18</v>
      </c>
      <c r="R25" t="s">
        <v>7</v>
      </c>
      <c r="AB25" t="s">
        <v>177</v>
      </c>
      <c r="AC25" t="s">
        <v>1057</v>
      </c>
    </row>
    <row r="26" spans="1:29">
      <c r="A26" s="40" t="s">
        <v>835</v>
      </c>
      <c r="G26" t="s">
        <v>360</v>
      </c>
      <c r="H26" t="s">
        <v>172</v>
      </c>
      <c r="M26" t="s">
        <v>178</v>
      </c>
      <c r="R26" t="s">
        <v>24</v>
      </c>
      <c r="AB26" t="s">
        <v>156</v>
      </c>
      <c r="AC26" t="s">
        <v>1057</v>
      </c>
    </row>
    <row r="27" spans="1:29">
      <c r="A27" s="40" t="s">
        <v>824</v>
      </c>
      <c r="G27" t="s">
        <v>364</v>
      </c>
      <c r="H27" t="s">
        <v>188</v>
      </c>
      <c r="M27" t="s">
        <v>30</v>
      </c>
      <c r="R27" t="s">
        <v>25</v>
      </c>
      <c r="AB27" t="s">
        <v>185</v>
      </c>
      <c r="AC27" t="s">
        <v>1057</v>
      </c>
    </row>
    <row r="28" spans="1:29">
      <c r="A28">
        <v>0.1</v>
      </c>
      <c r="G28" t="s">
        <v>365</v>
      </c>
      <c r="H28" t="s">
        <v>180</v>
      </c>
      <c r="M28" t="s">
        <v>174</v>
      </c>
      <c r="R28" t="s">
        <v>246</v>
      </c>
      <c r="AB28" t="s">
        <v>1061</v>
      </c>
      <c r="AC28" t="s">
        <v>824</v>
      </c>
    </row>
    <row r="29" spans="1:29">
      <c r="A29">
        <v>0.2</v>
      </c>
      <c r="G29" t="s">
        <v>996</v>
      </c>
      <c r="H29" t="s">
        <v>9</v>
      </c>
      <c r="M29" t="s">
        <v>184</v>
      </c>
      <c r="R29" t="s">
        <v>13</v>
      </c>
    </row>
    <row r="30" spans="1:29">
      <c r="A30">
        <v>0.25</v>
      </c>
      <c r="G30" t="s">
        <v>832</v>
      </c>
      <c r="H30" t="s">
        <v>833</v>
      </c>
      <c r="M30" t="s">
        <v>28</v>
      </c>
      <c r="R30" t="s">
        <v>14</v>
      </c>
    </row>
    <row r="31" spans="1:29">
      <c r="A31">
        <v>0.3</v>
      </c>
      <c r="G31" t="s">
        <v>1423</v>
      </c>
      <c r="H31" t="s">
        <v>1424</v>
      </c>
      <c r="M31" t="s">
        <v>189</v>
      </c>
      <c r="R31" t="s">
        <v>165</v>
      </c>
    </row>
    <row r="32" spans="1:29">
      <c r="A32">
        <v>0.4</v>
      </c>
      <c r="M32" t="s">
        <v>1089</v>
      </c>
      <c r="R32" t="s">
        <v>167</v>
      </c>
    </row>
    <row r="33" spans="1:18">
      <c r="A33">
        <v>0.5</v>
      </c>
      <c r="M33" t="s">
        <v>1090</v>
      </c>
      <c r="R33" t="s">
        <v>168</v>
      </c>
    </row>
    <row r="34" spans="1:18">
      <c r="A34">
        <v>0.6</v>
      </c>
      <c r="M34" t="s">
        <v>1018</v>
      </c>
      <c r="R34" t="s">
        <v>18</v>
      </c>
    </row>
    <row r="35" spans="1:18">
      <c r="A35">
        <v>0.7</v>
      </c>
      <c r="M35" t="s">
        <v>1019</v>
      </c>
      <c r="R35" t="s">
        <v>178</v>
      </c>
    </row>
    <row r="36" spans="1:18">
      <c r="A36">
        <v>0.8</v>
      </c>
      <c r="M36" t="s">
        <v>160</v>
      </c>
      <c r="R36" t="s">
        <v>30</v>
      </c>
    </row>
    <row r="37" spans="1:18">
      <c r="A37">
        <v>0.9</v>
      </c>
      <c r="M37" t="s">
        <v>186</v>
      </c>
      <c r="R37" t="s">
        <v>174</v>
      </c>
    </row>
    <row r="38" spans="1:18">
      <c r="M38" t="s">
        <v>175</v>
      </c>
      <c r="R38" t="s">
        <v>184</v>
      </c>
    </row>
    <row r="39" spans="1:18">
      <c r="M39" t="s">
        <v>1020</v>
      </c>
      <c r="R39" t="s">
        <v>28</v>
      </c>
    </row>
    <row r="40" spans="1:18">
      <c r="M40" t="s">
        <v>172</v>
      </c>
      <c r="R40" t="s">
        <v>189</v>
      </c>
    </row>
    <row r="41" spans="1:18">
      <c r="M41" t="s">
        <v>157</v>
      </c>
      <c r="R41" t="s">
        <v>245</v>
      </c>
    </row>
    <row r="42" spans="1:18">
      <c r="M42" t="s">
        <v>158</v>
      </c>
      <c r="R42" t="s">
        <v>27</v>
      </c>
    </row>
    <row r="43" spans="1:18">
      <c r="M43" t="s">
        <v>279</v>
      </c>
      <c r="R43" t="s">
        <v>179</v>
      </c>
    </row>
    <row r="44" spans="1:18">
      <c r="M44" t="s">
        <v>187</v>
      </c>
      <c r="R44" t="s">
        <v>171</v>
      </c>
    </row>
    <row r="45" spans="1:18">
      <c r="M45" t="s">
        <v>188</v>
      </c>
      <c r="R45" t="s">
        <v>173</v>
      </c>
    </row>
    <row r="46" spans="1:18">
      <c r="M46" t="s">
        <v>180</v>
      </c>
      <c r="R46" t="s">
        <v>29</v>
      </c>
    </row>
    <row r="47" spans="1:18">
      <c r="M47" t="s">
        <v>176</v>
      </c>
      <c r="R47" t="s">
        <v>159</v>
      </c>
    </row>
    <row r="48" spans="1:18">
      <c r="M48" t="s">
        <v>177</v>
      </c>
      <c r="R48" t="s">
        <v>169</v>
      </c>
    </row>
    <row r="49" spans="13:18">
      <c r="M49" t="s">
        <v>156</v>
      </c>
      <c r="R49" t="s">
        <v>1089</v>
      </c>
    </row>
    <row r="50" spans="13:18">
      <c r="M50" t="s">
        <v>185</v>
      </c>
      <c r="R50" t="s">
        <v>1090</v>
      </c>
    </row>
    <row r="51" spans="13:18">
      <c r="M51" t="s">
        <v>9</v>
      </c>
      <c r="R51" t="s">
        <v>1018</v>
      </c>
    </row>
    <row r="52" spans="13:18">
      <c r="M52" t="s">
        <v>1061</v>
      </c>
      <c r="R52" t="s">
        <v>1019</v>
      </c>
    </row>
    <row r="53" spans="13:18">
      <c r="M53" t="s">
        <v>586</v>
      </c>
      <c r="R53" t="s">
        <v>160</v>
      </c>
    </row>
    <row r="54" spans="13:18">
      <c r="M54" t="s">
        <v>339</v>
      </c>
      <c r="R54" t="s">
        <v>186</v>
      </c>
    </row>
    <row r="55" spans="13:18">
      <c r="M55" t="s">
        <v>340</v>
      </c>
      <c r="R55" t="s">
        <v>175</v>
      </c>
    </row>
    <row r="56" spans="13:18">
      <c r="M56" t="s">
        <v>341</v>
      </c>
      <c r="R56" t="s">
        <v>1020</v>
      </c>
    </row>
    <row r="57" spans="13:18">
      <c r="M57" t="s">
        <v>587</v>
      </c>
      <c r="R57" t="s">
        <v>172</v>
      </c>
    </row>
    <row r="58" spans="13:18">
      <c r="M58" t="s">
        <v>342</v>
      </c>
      <c r="R58" t="s">
        <v>157</v>
      </c>
    </row>
    <row r="59" spans="13:18">
      <c r="M59" t="s">
        <v>588</v>
      </c>
      <c r="R59" t="s">
        <v>158</v>
      </c>
    </row>
    <row r="60" spans="13:18">
      <c r="M60" t="s">
        <v>343</v>
      </c>
      <c r="R60" t="s">
        <v>279</v>
      </c>
    </row>
    <row r="61" spans="13:18">
      <c r="M61" t="s">
        <v>344</v>
      </c>
      <c r="R61" t="s">
        <v>280</v>
      </c>
    </row>
    <row r="62" spans="13:18">
      <c r="R62" t="s">
        <v>258</v>
      </c>
    </row>
    <row r="63" spans="13:18">
      <c r="R63" t="s">
        <v>187</v>
      </c>
    </row>
    <row r="64" spans="13:18">
      <c r="R64" t="s">
        <v>188</v>
      </c>
    </row>
    <row r="65" spans="18:18">
      <c r="R65" t="s">
        <v>180</v>
      </c>
    </row>
    <row r="66" spans="18:18">
      <c r="R66" t="s">
        <v>176</v>
      </c>
    </row>
    <row r="67" spans="18:18">
      <c r="R67" t="s">
        <v>177</v>
      </c>
    </row>
    <row r="68" spans="18:18">
      <c r="R68" t="s">
        <v>156</v>
      </c>
    </row>
    <row r="69" spans="18:18">
      <c r="R69" t="s">
        <v>185</v>
      </c>
    </row>
    <row r="70" spans="18:18">
      <c r="R70" t="s">
        <v>9</v>
      </c>
    </row>
    <row r="71" spans="18:18">
      <c r="R71" t="s">
        <v>1061</v>
      </c>
    </row>
    <row r="72" spans="18:18">
      <c r="R72" t="s">
        <v>586</v>
      </c>
    </row>
    <row r="73" spans="18:18">
      <c r="R73" t="s">
        <v>339</v>
      </c>
    </row>
    <row r="74" spans="18:18">
      <c r="R74" t="s">
        <v>340</v>
      </c>
    </row>
    <row r="75" spans="18:18">
      <c r="R75" t="s">
        <v>341</v>
      </c>
    </row>
    <row r="76" spans="18:18">
      <c r="R76" t="s">
        <v>587</v>
      </c>
    </row>
    <row r="77" spans="18:18">
      <c r="R77" t="s">
        <v>342</v>
      </c>
    </row>
    <row r="78" spans="18:18">
      <c r="R78" t="s">
        <v>588</v>
      </c>
    </row>
    <row r="79" spans="18:18">
      <c r="R79" t="s">
        <v>343</v>
      </c>
    </row>
    <row r="80" spans="18:18">
      <c r="R80" t="s">
        <v>344</v>
      </c>
    </row>
  </sheetData>
  <phoneticPr fontId="2"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ContainsCDI_x002f_CUI_x003f_ xmlns="7faa3655-da05-4e64-ad3c-b0c164b698a6">false</ContainsCDI_x002f_CUI_x003f_>
    <_ip_UnifiedCompliancePolicyProperties xmlns="http://schemas.microsoft.com/sharepoint/v3" xsi:nil="true"/>
    <ContainsPII_x003f_ xmlns="7faa3655-da05-4e64-ad3c-b0c164b698a6">false</ContainsPII_x003f_>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AE9BBB92E8470408BDDA22D3A0BA716" ma:contentTypeVersion="13" ma:contentTypeDescription="Create a new document." ma:contentTypeScope="" ma:versionID="e0ea0c8570de72e3ea297a992ef6e714">
  <xsd:schema xmlns:xsd="http://www.w3.org/2001/XMLSchema" xmlns:xs="http://www.w3.org/2001/XMLSchema" xmlns:p="http://schemas.microsoft.com/office/2006/metadata/properties" xmlns:ns1="http://schemas.microsoft.com/sharepoint/v3" xmlns:ns2="7faa3655-da05-4e64-ad3c-b0c164b698a6" xmlns:ns3="9b8bc59e-2d0c-4af9-9454-1310ffcce3cc" targetNamespace="http://schemas.microsoft.com/office/2006/metadata/properties" ma:root="true" ma:fieldsID="0e220a035d55c38192cd976defb16d20" ns1:_="" ns2:_="" ns3:_="">
    <xsd:import namespace="http://schemas.microsoft.com/sharepoint/v3"/>
    <xsd:import namespace="7faa3655-da05-4e64-ad3c-b0c164b698a6"/>
    <xsd:import namespace="9b8bc59e-2d0c-4af9-9454-1310ffcce3c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1:_ip_UnifiedCompliancePolicyProperties" minOccurs="0"/>
                <xsd:element ref="ns1:_ip_UnifiedCompliancePolicyUIAction" minOccurs="0"/>
                <xsd:element ref="ns2:MediaServiceDateTaken" minOccurs="0"/>
                <xsd:element ref="ns2:ContainsCDI_x002f_CUI_x003f_"/>
                <xsd:element ref="ns2:ContainsPII_x003f_"/>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faa3655-da05-4e64-ad3c-b0c164b698a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ContainsCDI_x002f_CUI_x003f_" ma:index="17" ma:displayName="Contains CDI/CUI?" ma:default="0" ma:format="Dropdown" ma:internalName="ContainsCDI_x002f_CUI_x003f_">
      <xsd:simpleType>
        <xsd:restriction base="dms:Boolean"/>
      </xsd:simpleType>
    </xsd:element>
    <xsd:element name="ContainsPII_x003f_" ma:index="18" ma:displayName="Contains PII?" ma:default="0" ma:format="Dropdown" ma:internalName="ContainsPII_x003f_">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9b8bc59e-2d0c-4af9-9454-1310ffcce3cc"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2.xml><?xml version="1.0" encoding="utf-8"?>
<ds:datastoreItem xmlns:ds="http://schemas.openxmlformats.org/officeDocument/2006/customXml" ds:itemID="{8EF8E5CF-3FBC-4639-B789-46FCAB06DA57}">
  <ds:schemaRefs>
    <ds:schemaRef ds:uri="7faa3655-da05-4e64-ad3c-b0c164b698a6"/>
    <ds:schemaRef ds:uri="http://schemas.openxmlformats.org/package/2006/metadata/core-properties"/>
    <ds:schemaRef ds:uri="http://www.w3.org/XML/1998/namespace"/>
    <ds:schemaRef ds:uri="http://purl.org/dc/terms/"/>
    <ds:schemaRef ds:uri="http://purl.org/dc/dcmitype/"/>
    <ds:schemaRef ds:uri="http://schemas.microsoft.com/office/infopath/2007/PartnerControls"/>
    <ds:schemaRef ds:uri="http://schemas.microsoft.com/office/2006/metadata/properties"/>
    <ds:schemaRef ds:uri="http://schemas.microsoft.com/office/2006/documentManagement/types"/>
    <ds:schemaRef ds:uri="9b8bc59e-2d0c-4af9-9454-1310ffcce3cc"/>
    <ds:schemaRef ds:uri="http://schemas.microsoft.com/sharepoint/v3"/>
    <ds:schemaRef ds:uri="http://purl.org/dc/elements/1.1/"/>
  </ds:schemaRefs>
</ds:datastoreItem>
</file>

<file path=customXml/itemProps3.xml><?xml version="1.0" encoding="utf-8"?>
<ds:datastoreItem xmlns:ds="http://schemas.openxmlformats.org/officeDocument/2006/customXml" ds:itemID="{BD2EE7EE-4646-4CD3-A036-FE073844AC1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faa3655-da05-4e64-ad3c-b0c164b698a6"/>
    <ds:schemaRef ds:uri="9b8bc59e-2d0c-4af9-9454-1310ffcce3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DF59CC31-1F39-4F49-8195-FDC0A9322C0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312</vt:i4>
      </vt:variant>
    </vt:vector>
  </HeadingPairs>
  <TitlesOfParts>
    <vt:vector size="331"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'AEO Data'!Area_de_impressao</vt:lpstr>
      <vt:lpstr>'Capital Costs'!Area_de_impressao</vt:lpstr>
      <vt:lpstr>'Cash Flow Analysis'!Area_de_impressao</vt:lpstr>
      <vt:lpstr>'HyARC Physical Property Data'!Area_de_impressao</vt:lpstr>
      <vt:lpstr>Input_Sheet_Template!Area_de_impressao</vt:lpstr>
      <vt:lpstr>'Plant Scaling'!Area_de_impressao</vt:lpstr>
      <vt:lpstr>'Replacement Costs'!Area_de_impressao</vt:lpstr>
      <vt:lpstr>Results!Area_de_impressao</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'Plant Scaling'!Titulos_de_impressao</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utilityIndustrial_Electricity_Price</vt:lpstr>
      <vt:lpstr>utilityIndustrial_Electricity_Usage</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via Biomass Gasification version 3.2018</dc:title>
  <dc:subject>DOE H2A production case study for current central hydrogen production from biomass gasification.</dc:subject>
  <dc:creator>dsteward</dc:creator>
  <cp:lastModifiedBy>Jeydson Lopes</cp:lastModifiedBy>
  <cp:lastPrinted>2008-09-22T17:50:40Z</cp:lastPrinted>
  <dcterms:created xsi:type="dcterms:W3CDTF">2007-03-27T19:45:13Z</dcterms:created>
  <dcterms:modified xsi:type="dcterms:W3CDTF">2024-07-04T14:09:11Z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y fmtid="{D5CDD505-2E9C-101B-9397-08002B2CF9AE}" pid="4" name="ContentTypeId">
    <vt:lpwstr>0x0101000AE9BBB92E8470408BDDA22D3A0BA716</vt:lpwstr>
  </property>
</Properties>
</file>